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375000-21375999\21375072\L\L\"/>
    </mc:Choice>
  </mc:AlternateContent>
  <xr:revisionPtr revIDLastSave="0" documentId="13_ncr:1_{A1ADD21D-AF43-4E85-9FB9-3AD32F66E519}" xr6:coauthVersionLast="47" xr6:coauthVersionMax="47" xr10:uidLastSave="{00000000-0000-0000-0000-000000000000}"/>
  <bookViews>
    <workbookView xWindow="45510" yWindow="2970" windowWidth="19170" windowHeight="1092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Application!$A$1:$AT$134</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System'!$A$550:$AM$780</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7" i="3" l="1"/>
  <c r="C45" i="4"/>
  <c r="AO650" i="3"/>
  <c r="AD189" i="20" l="1"/>
  <c r="AD188" i="20"/>
  <c r="S93" i="4"/>
  <c r="S92" i="4"/>
  <c r="S91" i="4"/>
  <c r="S90" i="4"/>
  <c r="S89" i="4"/>
  <c r="S84" i="4"/>
  <c r="S80" i="4"/>
  <c r="S79" i="4"/>
  <c r="S69" i="4"/>
  <c r="S68" i="4"/>
  <c r="S67" i="4"/>
  <c r="S66" i="4"/>
  <c r="S65" i="4"/>
  <c r="S52" i="4"/>
  <c r="S51" i="4"/>
  <c r="S50" i="4"/>
  <c r="S48" i="4"/>
  <c r="S47" i="4"/>
  <c r="S43" i="4"/>
  <c r="S41" i="4"/>
  <c r="S40" i="4"/>
  <c r="S37" i="4"/>
  <c r="S35" i="4"/>
  <c r="S34" i="4"/>
  <c r="S31" i="4"/>
  <c r="S32" i="4"/>
  <c r="S33" i="4"/>
  <c r="S29" i="4"/>
  <c r="E37" i="4"/>
  <c r="E36" i="4"/>
  <c r="E35" i="4"/>
  <c r="E34" i="4"/>
  <c r="E33" i="4"/>
  <c r="E32" i="4"/>
  <c r="E31" i="4"/>
  <c r="E30" i="4"/>
  <c r="E29" i="4"/>
  <c r="I99" i="4"/>
  <c r="E99" i="4" s="1"/>
  <c r="E83" i="4"/>
  <c r="E103" i="4"/>
  <c r="E102" i="4"/>
  <c r="E101" i="4"/>
  <c r="E100" i="4"/>
  <c r="E95" i="4"/>
  <c r="E94" i="4"/>
  <c r="E93" i="4"/>
  <c r="E92" i="4"/>
  <c r="E91" i="4"/>
  <c r="E90" i="4"/>
  <c r="E89" i="4"/>
  <c r="E88" i="4"/>
  <c r="E87" i="4"/>
  <c r="E86" i="4"/>
  <c r="E84"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6" i="4"/>
  <c r="E4" i="4"/>
  <c r="AA915" i="3"/>
  <c r="AA918" i="3"/>
  <c r="AA916" i="3"/>
  <c r="AC887" i="3"/>
  <c r="AC884" i="3"/>
  <c r="R638" i="3"/>
  <c r="O638" i="3"/>
  <c r="R637" i="3"/>
  <c r="T566" i="3"/>
  <c r="Q566" i="3"/>
  <c r="AO22" i="20" l="1"/>
  <c r="AO29" i="20"/>
  <c r="AP89" i="20"/>
  <c r="AK103" i="20" s="1"/>
  <c r="AP100"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G753" i="3"/>
  <c r="BG671" i="3"/>
  <c r="BG672" i="3"/>
  <c r="BG673" i="3"/>
  <c r="BG674" i="3"/>
  <c r="BG675" i="3"/>
  <c r="BG676" i="3"/>
  <c r="BG677" i="3"/>
  <c r="BG678" i="3"/>
  <c r="BG679" i="3"/>
  <c r="BG680" i="3"/>
  <c r="BG681" i="3"/>
  <c r="BG682" i="3"/>
  <c r="CB799" i="3"/>
  <c r="R971" i="3"/>
  <c r="G112" i="21" s="1"/>
  <c r="G114" i="21" s="1"/>
  <c r="I15" i="21" s="1"/>
  <c r="E112" i="21"/>
  <c r="I9" i="21"/>
  <c r="R969" i="3"/>
  <c r="BN610" i="3"/>
  <c r="BN635" i="3" s="1"/>
  <c r="BN611" i="3"/>
  <c r="BN612" i="3"/>
  <c r="BN613" i="3"/>
  <c r="BN614" i="3"/>
  <c r="BN615" i="3"/>
  <c r="BN616" i="3"/>
  <c r="BN617" i="3"/>
  <c r="BN618" i="3"/>
  <c r="BN619" i="3"/>
  <c r="BN620" i="3"/>
  <c r="BN621" i="3"/>
  <c r="BN640" i="3"/>
  <c r="BN644" i="3" s="1"/>
  <c r="BN648" i="3"/>
  <c r="BN649" i="3"/>
  <c r="BN658" i="3"/>
  <c r="R970" i="3"/>
  <c r="BS610" i="3"/>
  <c r="BS611" i="3"/>
  <c r="BS612" i="3"/>
  <c r="BS613" i="3"/>
  <c r="BS614" i="3"/>
  <c r="BS615" i="3"/>
  <c r="BS616" i="3"/>
  <c r="BS617" i="3"/>
  <c r="BS618" i="3"/>
  <c r="BS619" i="3"/>
  <c r="BS620" i="3"/>
  <c r="BS621" i="3"/>
  <c r="BS640" i="3"/>
  <c r="BS644" i="3" s="1"/>
  <c r="BW645" i="3" s="1"/>
  <c r="BS648" i="3"/>
  <c r="BS649" i="3"/>
  <c r="BS658" i="3"/>
  <c r="BX610" i="3"/>
  <c r="BX611" i="3"/>
  <c r="BX612" i="3"/>
  <c r="EH612" i="3" s="1"/>
  <c r="BX613" i="3"/>
  <c r="BX614" i="3"/>
  <c r="BX615" i="3"/>
  <c r="BX616" i="3"/>
  <c r="BX617" i="3"/>
  <c r="BX618" i="3"/>
  <c r="BX619" i="3"/>
  <c r="BX620" i="3"/>
  <c r="EH620" i="3" s="1"/>
  <c r="BX621" i="3"/>
  <c r="BX640" i="3"/>
  <c r="BX644" i="3" s="1"/>
  <c r="CB645" i="3" s="1"/>
  <c r="BX648" i="3"/>
  <c r="BX649" i="3"/>
  <c r="BX658" i="3"/>
  <c r="R972" i="3"/>
  <c r="CC610" i="3"/>
  <c r="CC611" i="3"/>
  <c r="CC612" i="3"/>
  <c r="CC613" i="3"/>
  <c r="CC614" i="3"/>
  <c r="EM614" i="3" s="1"/>
  <c r="CC615" i="3"/>
  <c r="CC616" i="3"/>
  <c r="CC617" i="3"/>
  <c r="CC618" i="3"/>
  <c r="CC619" i="3"/>
  <c r="CC620" i="3"/>
  <c r="CC621" i="3"/>
  <c r="CC635" i="3"/>
  <c r="CC640" i="3"/>
  <c r="CC644" i="3" s="1"/>
  <c r="CG645" i="3" s="1"/>
  <c r="CC648" i="3"/>
  <c r="CC649" i="3"/>
  <c r="CC658" i="3"/>
  <c r="R973" i="3"/>
  <c r="CM610" i="3"/>
  <c r="CM611" i="3"/>
  <c r="CM612" i="3"/>
  <c r="CM613" i="3"/>
  <c r="CM614" i="3"/>
  <c r="CM615" i="3"/>
  <c r="CM616" i="3"/>
  <c r="CM617" i="3"/>
  <c r="CM618" i="3"/>
  <c r="CM619" i="3"/>
  <c r="CM620" i="3"/>
  <c r="CM621" i="3"/>
  <c r="CM640" i="3"/>
  <c r="CM644" i="3"/>
  <c r="CQ645" i="3" s="1"/>
  <c r="CM648" i="3"/>
  <c r="CM649" i="3"/>
  <c r="CM658" i="3"/>
  <c r="CH610" i="3"/>
  <c r="CH611" i="3"/>
  <c r="CH612" i="3"/>
  <c r="CH613" i="3"/>
  <c r="ER613" i="3" s="1"/>
  <c r="CH614" i="3"/>
  <c r="CH615" i="3"/>
  <c r="CH616" i="3"/>
  <c r="CH617" i="3"/>
  <c r="CH618" i="3"/>
  <c r="CH619" i="3"/>
  <c r="CH620" i="3"/>
  <c r="CH621" i="3"/>
  <c r="ER621" i="3" s="1"/>
  <c r="CH640" i="3"/>
  <c r="CH644" i="3" s="1"/>
  <c r="CL645" i="3" s="1"/>
  <c r="CH648" i="3"/>
  <c r="CH649" i="3"/>
  <c r="CH658" i="3"/>
  <c r="AJ977" i="3"/>
  <c r="I13" i="21" s="1"/>
  <c r="AJ980" i="3"/>
  <c r="AJ986" i="3"/>
  <c r="AJ990" i="3"/>
  <c r="AJ992" i="3"/>
  <c r="AJ995" i="3"/>
  <c r="AJ1008" i="3"/>
  <c r="AZ846" i="3" s="1"/>
  <c r="AJ1011" i="3"/>
  <c r="AJ1015" i="3" s="1"/>
  <c r="AJ1020" i="3"/>
  <c r="BE610" i="3"/>
  <c r="BG610" i="3" s="1"/>
  <c r="BE611" i="3"/>
  <c r="BG611" i="3" s="1"/>
  <c r="BE612" i="3"/>
  <c r="BG612" i="3" s="1"/>
  <c r="BE613" i="3"/>
  <c r="BG613" i="3"/>
  <c r="BE614" i="3"/>
  <c r="BG614" i="3"/>
  <c r="BE615" i="3"/>
  <c r="BG615" i="3" s="1"/>
  <c r="BE616" i="3"/>
  <c r="BG616" i="3" s="1"/>
  <c r="BE617" i="3"/>
  <c r="BG617" i="3" s="1"/>
  <c r="BE618" i="3"/>
  <c r="BG618" i="3"/>
  <c r="BE619" i="3"/>
  <c r="BG619" i="3" s="1"/>
  <c r="BE620" i="3"/>
  <c r="BG620" i="3"/>
  <c r="BE621" i="3"/>
  <c r="BG621" i="3" s="1"/>
  <c r="BE622" i="3"/>
  <c r="BG622" i="3" s="1"/>
  <c r="BI610" i="3"/>
  <c r="BK610" i="3" s="1"/>
  <c r="BI611" i="3"/>
  <c r="BK611" i="3" s="1"/>
  <c r="BI612" i="3"/>
  <c r="BK612" i="3" s="1"/>
  <c r="BI613" i="3"/>
  <c r="BK613" i="3"/>
  <c r="BI614" i="3"/>
  <c r="BK614" i="3"/>
  <c r="BI615" i="3"/>
  <c r="BK615" i="3" s="1"/>
  <c r="BI616" i="3"/>
  <c r="BK616" i="3" s="1"/>
  <c r="BI617" i="3"/>
  <c r="BK617" i="3" s="1"/>
  <c r="BI618" i="3"/>
  <c r="BK618" i="3" s="1"/>
  <c r="BI619" i="3"/>
  <c r="BK619" i="3" s="1"/>
  <c r="BI620" i="3"/>
  <c r="BK620" i="3" s="1"/>
  <c r="BI621" i="3"/>
  <c r="BK621" i="3" s="1"/>
  <c r="BI622" i="3"/>
  <c r="BK622" i="3" s="1"/>
  <c r="T25" i="15"/>
  <c r="Y7" i="15" s="1"/>
  <c r="S26" i="4"/>
  <c r="AO649" i="3"/>
  <c r="C26" i="4"/>
  <c r="Y67" i="15"/>
  <c r="G90" i="21"/>
  <c r="G94" i="21" s="1"/>
  <c r="G77" i="21"/>
  <c r="M20" i="21"/>
  <c r="S20" i="21"/>
  <c r="M21" i="21"/>
  <c r="S21" i="21"/>
  <c r="M22" i="21"/>
  <c r="M23" i="21"/>
  <c r="S23" i="21"/>
  <c r="M24" i="21"/>
  <c r="S24" i="21"/>
  <c r="M25" i="21"/>
  <c r="S25" i="21"/>
  <c r="M26" i="21"/>
  <c r="M27" i="21"/>
  <c r="S27" i="21"/>
  <c r="M28" i="21"/>
  <c r="S28" i="21"/>
  <c r="M29" i="21"/>
  <c r="S29" i="21"/>
  <c r="M30" i="21"/>
  <c r="M31" i="21"/>
  <c r="S31" i="21"/>
  <c r="M32" i="21"/>
  <c r="S32" i="21"/>
  <c r="M33" i="21"/>
  <c r="S33" i="21"/>
  <c r="M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1" i="21"/>
  <c r="Q21" i="21" a="1"/>
  <c r="Q21" i="21" s="1"/>
  <c r="T23" i="21"/>
  <c r="Q23" i="21" a="1"/>
  <c r="Q23" i="21" s="1"/>
  <c r="T24" i="21"/>
  <c r="T25" i="21"/>
  <c r="T27" i="21"/>
  <c r="T28" i="21"/>
  <c r="T29" i="21"/>
  <c r="T31" i="21"/>
  <c r="T32" i="21"/>
  <c r="T33"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Q27" i="21" a="1"/>
  <c r="Q27" i="21" s="1"/>
  <c r="Q28" i="21" a="1"/>
  <c r="Q28" i="21" s="1"/>
  <c r="Q29" i="21" a="1"/>
  <c r="Q29" i="21" s="1"/>
  <c r="Q31" i="21" a="1"/>
  <c r="Q31" i="21" s="1"/>
  <c r="R36" i="21"/>
  <c r="R37" i="21"/>
  <c r="R38" i="21"/>
  <c r="R39" i="21"/>
  <c r="R40" i="21"/>
  <c r="R41" i="21"/>
  <c r="R42" i="21"/>
  <c r="R43" i="21"/>
  <c r="R44" i="21"/>
  <c r="O753" i="3"/>
  <c r="D30" i="8" s="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Q33" i="21" a="1"/>
  <c r="Q33" i="21" s="1"/>
  <c r="Q32" i="21" a="1"/>
  <c r="Q32" i="21" s="1"/>
  <c r="B4" i="8"/>
  <c r="B5" i="8"/>
  <c r="B6" i="8"/>
  <c r="G102" i="21"/>
  <c r="G88" i="21"/>
  <c r="G92" i="21"/>
  <c r="B10" i="8"/>
  <c r="G10" i="8" s="1"/>
  <c r="O796" i="3"/>
  <c r="BA987" i="3"/>
  <c r="I1027" i="3"/>
  <c r="I1031"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EW624" i="3" s="1"/>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J28" i="25" s="1"/>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37" i="3"/>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B59" i="4"/>
  <c r="C80" i="11"/>
  <c r="D80" i="11" s="1"/>
  <c r="C81" i="11"/>
  <c r="B80" i="11"/>
  <c r="B81" i="11"/>
  <c r="I96" i="13"/>
  <c r="J96" i="13"/>
  <c r="J81" i="13"/>
  <c r="I81" i="13"/>
  <c r="G81" i="13"/>
  <c r="F81" i="13"/>
  <c r="D81" i="13"/>
  <c r="C81" i="13"/>
  <c r="H80" i="13"/>
  <c r="E80" i="13"/>
  <c r="B80" i="13"/>
  <c r="R80" i="4"/>
  <c r="R81" i="4"/>
  <c r="R79" i="4"/>
  <c r="S70" i="4"/>
  <c r="E70" i="13" s="1"/>
  <c r="D81" i="4"/>
  <c r="E81" i="4"/>
  <c r="F81" i="4"/>
  <c r="G81" i="4"/>
  <c r="H81" i="4"/>
  <c r="I81" i="4"/>
  <c r="J81" i="4"/>
  <c r="K81" i="4"/>
  <c r="L81" i="4"/>
  <c r="M81" i="4"/>
  <c r="N81" i="4"/>
  <c r="O81" i="4"/>
  <c r="P81" i="4"/>
  <c r="Q81" i="4"/>
  <c r="S81" i="4"/>
  <c r="E81" i="13"/>
  <c r="T81" i="4"/>
  <c r="H81" i="13"/>
  <c r="C81" i="4"/>
  <c r="B81" i="4" s="1"/>
  <c r="B80" i="4"/>
  <c r="C9" i="7"/>
  <c r="C7" i="7"/>
  <c r="C5" i="7"/>
  <c r="A76" i="13"/>
  <c r="A61" i="13"/>
  <c r="A37" i="13"/>
  <c r="A25" i="13"/>
  <c r="A103" i="13"/>
  <c r="A95" i="13"/>
  <c r="A94" i="13"/>
  <c r="A93" i="13"/>
  <c r="G5" i="8"/>
  <c r="G6" i="8"/>
  <c r="G7" i="8"/>
  <c r="B8" i="8"/>
  <c r="G8" i="8"/>
  <c r="B9" i="8"/>
  <c r="G9" i="8" s="1"/>
  <c r="B11" i="8"/>
  <c r="G11" i="8"/>
  <c r="B12" i="8"/>
  <c r="G12" i="8"/>
  <c r="B13" i="8"/>
  <c r="G13" i="8" s="1"/>
  <c r="B14" i="8"/>
  <c r="G14" i="8"/>
  <c r="B15" i="8"/>
  <c r="G15" i="8"/>
  <c r="B16" i="8"/>
  <c r="G16" i="8"/>
  <c r="B17" i="8"/>
  <c r="G17" i="8" s="1"/>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65" i="13"/>
  <c r="E53" i="13"/>
  <c r="E52" i="13"/>
  <c r="E51" i="13"/>
  <c r="E50" i="13"/>
  <c r="E49" i="13"/>
  <c r="E48" i="13"/>
  <c r="E47"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S86" i="4" s="1"/>
  <c r="E86" i="13" s="1"/>
  <c r="R83" i="4"/>
  <c r="R76" i="4"/>
  <c r="R75" i="4"/>
  <c r="R72" i="4"/>
  <c r="R73" i="4"/>
  <c r="R74" i="4"/>
  <c r="R69" i="4"/>
  <c r="R65" i="4"/>
  <c r="R61" i="4"/>
  <c r="R60" i="4"/>
  <c r="R59" i="4"/>
  <c r="R58" i="4"/>
  <c r="R57" i="4"/>
  <c r="R56" i="4"/>
  <c r="R53" i="4"/>
  <c r="R52" i="4"/>
  <c r="R51" i="4"/>
  <c r="R50" i="4"/>
  <c r="R49" i="4"/>
  <c r="R48" i="4"/>
  <c r="R47" i="4"/>
  <c r="R46" i="4"/>
  <c r="S46" i="4" s="1"/>
  <c r="E46" i="13" s="1"/>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D5" i="11" s="1"/>
  <c r="C5" i="11"/>
  <c r="B6" i="11"/>
  <c r="C6" i="11"/>
  <c r="B7" i="11"/>
  <c r="C7" i="11"/>
  <c r="C8" i="11"/>
  <c r="B8" i="11"/>
  <c r="B10" i="11"/>
  <c r="B11" i="11"/>
  <c r="B12" i="11" s="1"/>
  <c r="D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B42" i="11"/>
  <c r="B44" i="11"/>
  <c r="C44" i="11"/>
  <c r="B46" i="11"/>
  <c r="C46" i="11"/>
  <c r="B47" i="11"/>
  <c r="C47" i="11"/>
  <c r="B48" i="11"/>
  <c r="B49" i="11"/>
  <c r="B50" i="11"/>
  <c r="B51" i="11"/>
  <c r="B52" i="11"/>
  <c r="D52" i="11" s="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3" i="3"/>
  <c r="DX641" i="3" s="1"/>
  <c r="DX614" i="3"/>
  <c r="DX615" i="3"/>
  <c r="DX616" i="3"/>
  <c r="DX644" i="3" s="1"/>
  <c r="DX617" i="3"/>
  <c r="DX645" i="3" s="1"/>
  <c r="DX618" i="3"/>
  <c r="DX619" i="3"/>
  <c r="DX647" i="3" s="1"/>
  <c r="DX620" i="3"/>
  <c r="DX621" i="3"/>
  <c r="DX622" i="3"/>
  <c r="DX623" i="3"/>
  <c r="DX624" i="3"/>
  <c r="DX625" i="3"/>
  <c r="DX626" i="3"/>
  <c r="DX627" i="3"/>
  <c r="DX628" i="3"/>
  <c r="DX629" i="3"/>
  <c r="DX630" i="3"/>
  <c r="DX631" i="3"/>
  <c r="DX632" i="3"/>
  <c r="DX633" i="3"/>
  <c r="DX634" i="3"/>
  <c r="EC610" i="3"/>
  <c r="EC611" i="3"/>
  <c r="EC612" i="3"/>
  <c r="EC613" i="3"/>
  <c r="EC614" i="3"/>
  <c r="EC615" i="3"/>
  <c r="EC617" i="3"/>
  <c r="EC618" i="3"/>
  <c r="EC619" i="3"/>
  <c r="EC620" i="3"/>
  <c r="EC621" i="3"/>
  <c r="EC622" i="3"/>
  <c r="EC623" i="3"/>
  <c r="EC624" i="3"/>
  <c r="EC625" i="3"/>
  <c r="EC626" i="3"/>
  <c r="EC627" i="3"/>
  <c r="EC628" i="3"/>
  <c r="EC629" i="3"/>
  <c r="EC630" i="3"/>
  <c r="EC631" i="3"/>
  <c r="EC632" i="3"/>
  <c r="EC633" i="3"/>
  <c r="EC634" i="3"/>
  <c r="EH610" i="3"/>
  <c r="EH611" i="3"/>
  <c r="EH613" i="3"/>
  <c r="EH614" i="3"/>
  <c r="EH615" i="3"/>
  <c r="EH616" i="3"/>
  <c r="EH617" i="3"/>
  <c r="EH618" i="3"/>
  <c r="EH619" i="3"/>
  <c r="EH621" i="3"/>
  <c r="EH622" i="3"/>
  <c r="EH623" i="3"/>
  <c r="EH624" i="3"/>
  <c r="EH625" i="3"/>
  <c r="EH626" i="3"/>
  <c r="EH627" i="3"/>
  <c r="EH628" i="3"/>
  <c r="EH629" i="3"/>
  <c r="EH630" i="3"/>
  <c r="EH631" i="3"/>
  <c r="EH632" i="3"/>
  <c r="EH633" i="3"/>
  <c r="EH634" i="3"/>
  <c r="EM610" i="3"/>
  <c r="EM638" i="3" s="1"/>
  <c r="EM611" i="3"/>
  <c r="EM639" i="3" s="1"/>
  <c r="EM612" i="3"/>
  <c r="EM640" i="3" s="1"/>
  <c r="EM613" i="3"/>
  <c r="EM641" i="3" s="1"/>
  <c r="EM615" i="3"/>
  <c r="EM616" i="3"/>
  <c r="EM644" i="3" s="1"/>
  <c r="EM617" i="3"/>
  <c r="EM645" i="3" s="1"/>
  <c r="EM618" i="3"/>
  <c r="EM646" i="3" s="1"/>
  <c r="EM619" i="3"/>
  <c r="EM620" i="3"/>
  <c r="EM648" i="3" s="1"/>
  <c r="EM621" i="3"/>
  <c r="EM622" i="3"/>
  <c r="EM650" i="3" s="1"/>
  <c r="EM623" i="3"/>
  <c r="EM624" i="3"/>
  <c r="EM625" i="3"/>
  <c r="EM626" i="3"/>
  <c r="EM627" i="3"/>
  <c r="EM628" i="3"/>
  <c r="EM629" i="3"/>
  <c r="EM630" i="3"/>
  <c r="EM631" i="3"/>
  <c r="EM632" i="3"/>
  <c r="EM633" i="3"/>
  <c r="EM634" i="3"/>
  <c r="EW610" i="3"/>
  <c r="EW611" i="3"/>
  <c r="EW612" i="3"/>
  <c r="EW613" i="3"/>
  <c r="EW614" i="3"/>
  <c r="EW615" i="3"/>
  <c r="EW617" i="3"/>
  <c r="EW618" i="3"/>
  <c r="EW619" i="3"/>
  <c r="EW620" i="3"/>
  <c r="EW621" i="3"/>
  <c r="EW622" i="3"/>
  <c r="EW623" i="3"/>
  <c r="EW625" i="3"/>
  <c r="EW626" i="3"/>
  <c r="EW627" i="3"/>
  <c r="EW628" i="3"/>
  <c r="EW629" i="3"/>
  <c r="EW630" i="3"/>
  <c r="EW631" i="3"/>
  <c r="EW632" i="3"/>
  <c r="EW633" i="3"/>
  <c r="EW634" i="3"/>
  <c r="ER610" i="3"/>
  <c r="ER611" i="3"/>
  <c r="ER612" i="3"/>
  <c r="ER614" i="3"/>
  <c r="ER615" i="3"/>
  <c r="ER616" i="3"/>
  <c r="ER617" i="3"/>
  <c r="ER618" i="3"/>
  <c r="ER619" i="3"/>
  <c r="ER620" i="3"/>
  <c r="ER622" i="3"/>
  <c r="ER623" i="3"/>
  <c r="ER624" i="3"/>
  <c r="ER625" i="3"/>
  <c r="ER626" i="3"/>
  <c r="ER627" i="3"/>
  <c r="ER628" i="3"/>
  <c r="ER629" i="3"/>
  <c r="ER630" i="3"/>
  <c r="ER631" i="3"/>
  <c r="ER632" i="3"/>
  <c r="ER633" i="3"/>
  <c r="ER634" i="3"/>
  <c r="C11" i="4"/>
  <c r="B26" i="13"/>
  <c r="C38" i="4"/>
  <c r="B38" i="13" s="1"/>
  <c r="C54" i="4"/>
  <c r="B54" i="4" s="1"/>
  <c r="C62" i="4"/>
  <c r="B62" i="13" s="1"/>
  <c r="C77" i="4"/>
  <c r="B77" i="13" s="1"/>
  <c r="C96" i="4"/>
  <c r="B96" i="13" s="1"/>
  <c r="D8" i="4"/>
  <c r="D11" i="4"/>
  <c r="D26" i="4"/>
  <c r="D38" i="4"/>
  <c r="D42" i="4"/>
  <c r="D54" i="4"/>
  <c r="D62" i="4"/>
  <c r="D77" i="4"/>
  <c r="D96" i="4"/>
  <c r="D97" i="4" s="1"/>
  <c r="D105" i="4" s="1"/>
  <c r="D104" i="4"/>
  <c r="AO651" i="3"/>
  <c r="AM567" i="3" s="1"/>
  <c r="AM576" i="3" s="1"/>
  <c r="E26" i="13"/>
  <c r="S42" i="4"/>
  <c r="E42" i="13"/>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B48" i="15"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AH729" i="3" s="1"/>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AH734" i="3"/>
  <c r="I63" i="13"/>
  <c r="I97" i="13"/>
  <c r="I105" i="13"/>
  <c r="I107" i="13"/>
  <c r="B81" i="13"/>
  <c r="D54" i="11"/>
  <c r="D53" i="11"/>
  <c r="J63" i="13"/>
  <c r="J97" i="13"/>
  <c r="J105" i="13"/>
  <c r="J107" i="13"/>
  <c r="L12" i="4"/>
  <c r="D48" i="11"/>
  <c r="AH732" i="3"/>
  <c r="D93" i="11"/>
  <c r="D70" i="11"/>
  <c r="I12" i="4"/>
  <c r="G12" i="4"/>
  <c r="D46" i="11"/>
  <c r="D6" i="11"/>
  <c r="L63" i="4"/>
  <c r="L97" i="4"/>
  <c r="L105" i="4"/>
  <c r="Q12" i="4"/>
  <c r="B11" i="4"/>
  <c r="O63" i="4"/>
  <c r="O97" i="4"/>
  <c r="O105" i="4"/>
  <c r="D18" i="11"/>
  <c r="R70" i="4"/>
  <c r="D10" i="11"/>
  <c r="D36" i="11"/>
  <c r="G63" i="13"/>
  <c r="G97" i="13"/>
  <c r="G105" i="13"/>
  <c r="G107" i="13"/>
  <c r="D61" i="11"/>
  <c r="D57" i="11"/>
  <c r="D20" i="11"/>
  <c r="D8" i="11"/>
  <c r="B43" i="11"/>
  <c r="D102" i="11"/>
  <c r="D94" i="11"/>
  <c r="K12" i="4"/>
  <c r="C12" i="13"/>
  <c r="D63" i="4"/>
  <c r="B78" i="11"/>
  <c r="D7" i="11"/>
  <c r="F63" i="4"/>
  <c r="F97" i="4" s="1"/>
  <c r="F105" i="4" s="1"/>
  <c r="J12" i="4"/>
  <c r="D22" i="11"/>
  <c r="O12" i="4"/>
  <c r="I63" i="4"/>
  <c r="I97" i="4"/>
  <c r="I105" i="4"/>
  <c r="D95" i="11"/>
  <c r="D25" i="11"/>
  <c r="B82" i="11"/>
  <c r="B11" i="13"/>
  <c r="D12" i="4"/>
  <c r="H12" i="4"/>
  <c r="C82" i="11"/>
  <c r="D82" i="11" s="1"/>
  <c r="D23" i="11"/>
  <c r="D19" i="11"/>
  <c r="D89" i="11"/>
  <c r="D44" i="11"/>
  <c r="D35" i="11"/>
  <c r="D76" i="11"/>
  <c r="D31" i="11"/>
  <c r="D15" i="11"/>
  <c r="D63" i="13"/>
  <c r="D97" i="13"/>
  <c r="D105" i="13"/>
  <c r="D14" i="11"/>
  <c r="Q63" i="4"/>
  <c r="Q97" i="4"/>
  <c r="Q105" i="4"/>
  <c r="C105" i="11"/>
  <c r="D87" i="11"/>
  <c r="N63" i="4"/>
  <c r="N97" i="4"/>
  <c r="N105" i="4"/>
  <c r="N12" i="4"/>
  <c r="H63" i="4"/>
  <c r="H97" i="4" s="1"/>
  <c r="H105" i="4" s="1"/>
  <c r="F12" i="4"/>
  <c r="D60" i="11"/>
  <c r="M12" i="4"/>
  <c r="D74" i="11"/>
  <c r="D59" i="11"/>
  <c r="D38" i="11"/>
  <c r="R42" i="4"/>
  <c r="P63" i="4"/>
  <c r="P97" i="4"/>
  <c r="P105" i="4"/>
  <c r="C63" i="11"/>
  <c r="B63" i="11"/>
  <c r="C9" i="11"/>
  <c r="D12" i="13"/>
  <c r="D58" i="11"/>
  <c r="D100" i="11"/>
  <c r="D62" i="11"/>
  <c r="D24" i="11"/>
  <c r="D101" i="11"/>
  <c r="D90" i="11"/>
  <c r="D66" i="11"/>
  <c r="C63" i="13"/>
  <c r="C97" i="13"/>
  <c r="C105" i="13"/>
  <c r="D92" i="11"/>
  <c r="D75" i="11"/>
  <c r="B71" i="11"/>
  <c r="D28" i="11"/>
  <c r="R54" i="4"/>
  <c r="C55" i="11"/>
  <c r="D103" i="11"/>
  <c r="D88" i="11"/>
  <c r="D42" i="11"/>
  <c r="D21" i="11"/>
  <c r="D16" i="11"/>
  <c r="R26" i="4"/>
  <c r="D81" i="11"/>
  <c r="F63" i="13"/>
  <c r="F97" i="13"/>
  <c r="F105" i="13"/>
  <c r="F107" i="13"/>
  <c r="AH733" i="3"/>
  <c r="AH731" i="3"/>
  <c r="AH730" i="3"/>
  <c r="AD199" i="20"/>
  <c r="B42" i="4"/>
  <c r="D77" i="11"/>
  <c r="D47" i="11"/>
  <c r="C71" i="11"/>
  <c r="D71" i="11" s="1"/>
  <c r="M63" i="4"/>
  <c r="M97" i="4"/>
  <c r="M105" i="4"/>
  <c r="G63" i="4"/>
  <c r="G97" i="4" s="1"/>
  <c r="G105" i="4" s="1"/>
  <c r="D91" i="11"/>
  <c r="J63" i="4"/>
  <c r="J97" i="4" s="1"/>
  <c r="J105" i="4" s="1"/>
  <c r="D41" i="11"/>
  <c r="C12" i="11"/>
  <c r="K63" i="4"/>
  <c r="K97" i="4"/>
  <c r="K105" i="4"/>
  <c r="B62" i="4"/>
  <c r="B105" i="11"/>
  <c r="U39" i="7"/>
  <c r="U42" i="7" s="1"/>
  <c r="S39" i="7"/>
  <c r="S42" i="7"/>
  <c r="E42" i="7"/>
  <c r="I39" i="7"/>
  <c r="I42" i="7" s="1"/>
  <c r="K39" i="7"/>
  <c r="K42" i="7" s="1"/>
  <c r="W39" i="7"/>
  <c r="W42" i="7" s="1"/>
  <c r="Y39" i="7"/>
  <c r="Y42" i="7" s="1"/>
  <c r="E63" i="4"/>
  <c r="G39" i="7"/>
  <c r="G42" i="7" s="1"/>
  <c r="O39" i="7"/>
  <c r="O42" i="7" s="1"/>
  <c r="AE39" i="7"/>
  <c r="AE42" i="7" s="1"/>
  <c r="AA39" i="7"/>
  <c r="AA42" i="7"/>
  <c r="AG39" i="7"/>
  <c r="AG42" i="7" s="1"/>
  <c r="Q39" i="7"/>
  <c r="Q42" i="7" s="1"/>
  <c r="AC39" i="7"/>
  <c r="AC42" i="7"/>
  <c r="K27" i="7"/>
  <c r="O27" i="7"/>
  <c r="I27" i="7"/>
  <c r="W27" i="7"/>
  <c r="S27" i="7"/>
  <c r="Y27" i="7"/>
  <c r="AC27" i="7"/>
  <c r="AG27" i="7"/>
  <c r="M27" i="7"/>
  <c r="G27" i="7"/>
  <c r="AA27" i="7"/>
  <c r="Q27" i="7"/>
  <c r="U27" i="7"/>
  <c r="AC882" i="3"/>
  <c r="AC776" i="3"/>
  <c r="BA995" i="3"/>
  <c r="AC796" i="3"/>
  <c r="D104" i="11"/>
  <c r="E12" i="4"/>
  <c r="T63" i="4"/>
  <c r="T97" i="4"/>
  <c r="EM662" i="3"/>
  <c r="CS660" i="3"/>
  <c r="EM653" i="3"/>
  <c r="EM649" i="3"/>
  <c r="DX640" i="3"/>
  <c r="DX649" i="3"/>
  <c r="EM661" i="3"/>
  <c r="DX652" i="3"/>
  <c r="DX648" i="3"/>
  <c r="EM652" i="3"/>
  <c r="DX643" i="3"/>
  <c r="DX656" i="3"/>
  <c r="EM660" i="3"/>
  <c r="DX651" i="3"/>
  <c r="EM659" i="3"/>
  <c r="DX659" i="3"/>
  <c r="DX653" i="3"/>
  <c r="DX655" i="3"/>
  <c r="EM655" i="3"/>
  <c r="EM654" i="3"/>
  <c r="EM656" i="3"/>
  <c r="DX662" i="3"/>
  <c r="D105" i="11"/>
  <c r="D26" i="11"/>
  <c r="H63" i="13"/>
  <c r="T105" i="4"/>
  <c r="H97" i="13"/>
  <c r="D96" i="11"/>
  <c r="T107" i="4"/>
  <c r="H105" i="13"/>
  <c r="H107" i="13"/>
  <c r="AD11" i="15"/>
  <c r="AD23" i="15"/>
  <c r="AD26" i="15"/>
  <c r="AZ849" i="3"/>
  <c r="R77" i="4" l="1"/>
  <c r="R38" i="4"/>
  <c r="S30" i="4"/>
  <c r="Y799" i="3"/>
  <c r="E4" i="7" s="1"/>
  <c r="R104" i="4"/>
  <c r="S99" i="4"/>
  <c r="B96" i="4"/>
  <c r="D84" i="11"/>
  <c r="B104" i="4"/>
  <c r="C78" i="11"/>
  <c r="D78" i="11" s="1"/>
  <c r="D73" i="11"/>
  <c r="B55" i="11"/>
  <c r="D55" i="11" s="1"/>
  <c r="R62" i="4"/>
  <c r="D63" i="11"/>
  <c r="R8" i="4"/>
  <c r="B54" i="13"/>
  <c r="D34" i="11"/>
  <c r="D27" i="11"/>
  <c r="D11" i="11"/>
  <c r="R12" i="4"/>
  <c r="C12" i="4"/>
  <c r="B12" i="13" s="1"/>
  <c r="C13" i="11"/>
  <c r="R63" i="4"/>
  <c r="B8" i="4"/>
  <c r="N158" i="25" s="1"/>
  <c r="B9" i="11"/>
  <c r="B13" i="11" s="1"/>
  <c r="D13" i="11" s="1"/>
  <c r="C39" i="11"/>
  <c r="B39" i="11"/>
  <c r="C43" i="11"/>
  <c r="D43" i="11" s="1"/>
  <c r="D39" i="11"/>
  <c r="C64" i="11"/>
  <c r="D32" i="11"/>
  <c r="C63" i="4"/>
  <c r="C97" i="4" s="1"/>
  <c r="B38" i="4"/>
  <c r="D9" i="11"/>
  <c r="B8" i="13"/>
  <c r="B64" i="11"/>
  <c r="AC881" i="3"/>
  <c r="AC883" i="3" s="1"/>
  <c r="E21" i="7"/>
  <c r="E34" i="7" s="1"/>
  <c r="G14" i="7"/>
  <c r="I26" i="7"/>
  <c r="G8" i="7"/>
  <c r="E9" i="7"/>
  <c r="Y798" i="3"/>
  <c r="BR645" i="3"/>
  <c r="CS645" i="3" s="1"/>
  <c r="CS644" i="3"/>
  <c r="DR635" i="3"/>
  <c r="J25" i="25"/>
  <c r="J26" i="25"/>
  <c r="J20" i="25"/>
  <c r="J21" i="25"/>
  <c r="AB29" i="25"/>
  <c r="DC635" i="3"/>
  <c r="J30" i="8"/>
  <c r="Z807" i="3" s="1"/>
  <c r="E6" i="7" s="1"/>
  <c r="G6" i="7" s="1"/>
  <c r="DX635" i="3"/>
  <c r="EW616" i="3"/>
  <c r="CM635" i="3"/>
  <c r="DX639" i="3"/>
  <c r="EM635" i="3"/>
  <c r="ER648" i="3"/>
  <c r="AN29" i="25"/>
  <c r="E22" i="21"/>
  <c r="E24" i="21"/>
  <c r="E25" i="21"/>
  <c r="E26" i="21"/>
  <c r="DX650" i="3"/>
  <c r="DX658" i="3"/>
  <c r="DX638" i="3"/>
  <c r="DX654" i="3"/>
  <c r="DX642" i="3"/>
  <c r="DX657" i="3"/>
  <c r="DX660" i="3"/>
  <c r="DX646" i="3"/>
  <c r="DX661" i="3"/>
  <c r="BN663" i="3"/>
  <c r="AB969" i="3" s="1"/>
  <c r="AJ969" i="3" s="1"/>
  <c r="ER635" i="3"/>
  <c r="ER638" i="3"/>
  <c r="BG696" i="3"/>
  <c r="EW639" i="3"/>
  <c r="BG728" i="3"/>
  <c r="DM635" i="3"/>
  <c r="CS635" i="3"/>
  <c r="J24" i="25"/>
  <c r="S22" i="21"/>
  <c r="S18" i="21" s="1"/>
  <c r="G44" i="21" s="1"/>
  <c r="G53" i="21"/>
  <c r="M18" i="21"/>
  <c r="E23" i="21"/>
  <c r="F23" i="21" s="1"/>
  <c r="G23" i="21" s="1"/>
  <c r="T22" i="21"/>
  <c r="G35" i="21" a="1"/>
  <c r="G35" i="21" s="1"/>
  <c r="G36" i="21" s="1"/>
  <c r="O25" i="21" s="1"/>
  <c r="P25" i="21" s="1" a="1"/>
  <c r="P25" i="21" s="1"/>
  <c r="R25" i="21" s="1"/>
  <c r="Q22" i="21" a="1"/>
  <c r="Q22" i="21" s="1"/>
  <c r="EW648" i="3"/>
  <c r="G30" i="8"/>
  <c r="J19" i="25"/>
  <c r="P29" i="25"/>
  <c r="BK635" i="3"/>
  <c r="X1031" i="3" s="1"/>
  <c r="S26" i="21"/>
  <c r="T26" i="21"/>
  <c r="Q26" i="21" a="1"/>
  <c r="Q26" i="21" s="1"/>
  <c r="CX635" i="3"/>
  <c r="BH712" i="3"/>
  <c r="BI712" i="3" s="1"/>
  <c r="BH715" i="3"/>
  <c r="BI715" i="3" s="1"/>
  <c r="V29" i="25"/>
  <c r="J23" i="25"/>
  <c r="S30" i="21"/>
  <c r="Q30" i="21" a="1"/>
  <c r="Q30" i="21" s="1"/>
  <c r="T30" i="21"/>
  <c r="AZ854" i="3"/>
  <c r="CH635" i="3"/>
  <c r="BX635" i="3"/>
  <c r="DH635" i="3"/>
  <c r="BH706" i="3"/>
  <c r="BI706" i="3" s="1"/>
  <c r="J22" i="25"/>
  <c r="J27" i="25"/>
  <c r="S34" i="21"/>
  <c r="T34" i="21"/>
  <c r="Q34" i="21" a="1"/>
  <c r="Q34" i="21" s="1"/>
  <c r="CG637" i="3"/>
  <c r="EM657" i="3"/>
  <c r="EM643" i="3"/>
  <c r="EM647" i="3"/>
  <c r="CC663" i="3"/>
  <c r="AB972" i="3" s="1"/>
  <c r="AJ972" i="3" s="1"/>
  <c r="EM651" i="3"/>
  <c r="EM658" i="3"/>
  <c r="EM642" i="3"/>
  <c r="EM663" i="3" s="1"/>
  <c r="T124" i="20" s="1"/>
  <c r="T127" i="20" s="1"/>
  <c r="BH704" i="3"/>
  <c r="BI704" i="3" s="1"/>
  <c r="EC616" i="3"/>
  <c r="EC644" i="3" s="1"/>
  <c r="BS635" i="3"/>
  <c r="EC638" i="3" s="1"/>
  <c r="EW649" i="3"/>
  <c r="EW640" i="3"/>
  <c r="EH635" i="3"/>
  <c r="AH29" i="25"/>
  <c r="BG635" i="3"/>
  <c r="X1027" i="3" s="1"/>
  <c r="E98" i="20"/>
  <c r="E99" i="20"/>
  <c r="BH671" i="3"/>
  <c r="AG444" i="3"/>
  <c r="T27" i="15" s="1"/>
  <c r="BG243" i="3"/>
  <c r="BO245" i="3" s="1"/>
  <c r="T266" i="3" s="1"/>
  <c r="AI11" i="15"/>
  <c r="AI23" i="15" s="1"/>
  <c r="AI26" i="15" s="1"/>
  <c r="T7" i="15"/>
  <c r="AD7" i="15"/>
  <c r="AI7" i="15"/>
  <c r="I14" i="2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T791" i="20"/>
  <c r="AF791" i="20" s="1"/>
  <c r="AK779" i="20"/>
  <c r="T804" i="20" s="1"/>
  <c r="AF804" i="20" s="1"/>
  <c r="AV116" i="20"/>
  <c r="AW113" i="20" s="1"/>
  <c r="S38" i="4" l="1"/>
  <c r="E30" i="13"/>
  <c r="E99" i="13"/>
  <c r="S104" i="4"/>
  <c r="E104" i="13" s="1"/>
  <c r="B63" i="4"/>
  <c r="B12" i="4"/>
  <c r="B63" i="13"/>
  <c r="D64" i="11"/>
  <c r="B97" i="13"/>
  <c r="C105" i="4"/>
  <c r="B97" i="4"/>
  <c r="I14" i="7"/>
  <c r="G21" i="7"/>
  <c r="G34" i="7" s="1"/>
  <c r="K26" i="7"/>
  <c r="I8" i="7"/>
  <c r="G9" i="7"/>
  <c r="O22" i="21"/>
  <c r="P22" i="21" s="1" a="1"/>
  <c r="P22" i="21" s="1"/>
  <c r="R22" i="21" s="1"/>
  <c r="Z816" i="3"/>
  <c r="E7" i="7"/>
  <c r="G79" i="21"/>
  <c r="CB637" i="3"/>
  <c r="EH659" i="3"/>
  <c r="EH652" i="3"/>
  <c r="EH638" i="3"/>
  <c r="EH654" i="3"/>
  <c r="EH661" i="3"/>
  <c r="EH644" i="3"/>
  <c r="EH648" i="3"/>
  <c r="EH646" i="3"/>
  <c r="EH655" i="3"/>
  <c r="EH662" i="3"/>
  <c r="EH650" i="3"/>
  <c r="EH653" i="3"/>
  <c r="EH657" i="3"/>
  <c r="BX663" i="3"/>
  <c r="AB971" i="3" s="1"/>
  <c r="AJ971" i="3" s="1"/>
  <c r="EH639" i="3"/>
  <c r="EH660" i="3"/>
  <c r="EH642" i="3"/>
  <c r="EH640" i="3"/>
  <c r="EH649" i="3"/>
  <c r="EH658" i="3"/>
  <c r="EH656" i="3"/>
  <c r="G7" i="7"/>
  <c r="I6" i="7"/>
  <c r="BI671" i="3"/>
  <c r="ER662" i="3"/>
  <c r="ER661" i="3"/>
  <c r="CL637" i="3"/>
  <c r="ER651" i="3"/>
  <c r="ER656" i="3"/>
  <c r="CH663" i="3"/>
  <c r="ER649" i="3"/>
  <c r="ER639" i="3"/>
  <c r="ER645" i="3"/>
  <c r="ER643" i="3"/>
  <c r="ER659" i="3"/>
  <c r="ER655" i="3"/>
  <c r="ER658" i="3"/>
  <c r="ER641" i="3"/>
  <c r="ER642" i="3"/>
  <c r="ER654" i="3"/>
  <c r="ER657" i="3"/>
  <c r="ER646" i="3"/>
  <c r="ER653" i="3"/>
  <c r="ER660" i="3"/>
  <c r="BH694" i="3"/>
  <c r="BI694" i="3" s="1"/>
  <c r="BH675" i="3"/>
  <c r="BI675" i="3" s="1"/>
  <c r="BH689" i="3"/>
  <c r="BI689" i="3" s="1"/>
  <c r="BH695" i="3"/>
  <c r="BI695" i="3" s="1"/>
  <c r="BH687" i="3"/>
  <c r="BI687" i="3" s="1"/>
  <c r="BH673" i="3"/>
  <c r="BI673" i="3" s="1"/>
  <c r="BH691" i="3"/>
  <c r="BI691" i="3" s="1"/>
  <c r="BH679" i="3"/>
  <c r="BI679" i="3" s="1"/>
  <c r="BH678" i="3"/>
  <c r="BI678" i="3" s="1"/>
  <c r="BH677" i="3"/>
  <c r="BI677" i="3" s="1"/>
  <c r="BH683" i="3"/>
  <c r="BI683" i="3" s="1"/>
  <c r="BH674" i="3"/>
  <c r="BI674" i="3" s="1"/>
  <c r="BH682" i="3"/>
  <c r="BI682" i="3" s="1"/>
  <c r="BH681" i="3"/>
  <c r="BI681" i="3" s="1"/>
  <c r="BH693" i="3"/>
  <c r="BI693" i="3" s="1"/>
  <c r="BH680" i="3"/>
  <c r="BI680" i="3" s="1"/>
  <c r="BH690" i="3"/>
  <c r="BI690" i="3" s="1"/>
  <c r="BH685" i="3"/>
  <c r="BI685" i="3" s="1"/>
  <c r="BH672" i="3"/>
  <c r="BI672" i="3" s="1"/>
  <c r="BH692" i="3"/>
  <c r="BI692" i="3" s="1"/>
  <c r="BH688" i="3"/>
  <c r="BI688" i="3" s="1"/>
  <c r="BH676" i="3"/>
  <c r="BI676" i="3" s="1"/>
  <c r="F22" i="21"/>
  <c r="E27" i="21"/>
  <c r="EH647" i="3"/>
  <c r="O35" i="21"/>
  <c r="P35" i="21" s="1" a="1"/>
  <c r="P35" i="21" s="1"/>
  <c r="R35" i="21" s="1"/>
  <c r="O27" i="21"/>
  <c r="P27" i="21" s="1" a="1"/>
  <c r="P27" i="21" s="1"/>
  <c r="R27" i="21" s="1"/>
  <c r="O29" i="21"/>
  <c r="P29" i="21" s="1" a="1"/>
  <c r="P29" i="21" s="1"/>
  <c r="R29" i="21" s="1"/>
  <c r="O31" i="21"/>
  <c r="P31" i="21" s="1" a="1"/>
  <c r="P31" i="21" s="1"/>
  <c r="R31" i="21" s="1"/>
  <c r="O32" i="21"/>
  <c r="P32" i="21" s="1" a="1"/>
  <c r="P32" i="21" s="1"/>
  <c r="R32" i="21" s="1"/>
  <c r="O24" i="21"/>
  <c r="P24" i="21" s="1" a="1"/>
  <c r="P24" i="21" s="1"/>
  <c r="R24" i="21" s="1"/>
  <c r="O28" i="21"/>
  <c r="P28" i="21" s="1" a="1"/>
  <c r="P28" i="21" s="1"/>
  <c r="R28" i="21" s="1"/>
  <c r="O23" i="21"/>
  <c r="P23" i="21" s="1" a="1"/>
  <c r="P23" i="21" s="1"/>
  <c r="R23" i="21" s="1"/>
  <c r="ER647" i="3"/>
  <c r="O20" i="21"/>
  <c r="P20" i="21" s="1" a="1"/>
  <c r="P20" i="21" s="1"/>
  <c r="R20" i="21" s="1"/>
  <c r="EH641" i="3"/>
  <c r="O30" i="21"/>
  <c r="P30" i="21" s="1" a="1"/>
  <c r="P30" i="21" s="1"/>
  <c r="R30" i="21" s="1"/>
  <c r="EH651" i="3"/>
  <c r="EC643" i="3"/>
  <c r="DX663" i="3"/>
  <c r="E124" i="20" s="1"/>
  <c r="E127" i="20" s="1"/>
  <c r="BH686" i="3"/>
  <c r="BI686" i="3" s="1"/>
  <c r="O34" i="21"/>
  <c r="P34" i="21" s="1" a="1"/>
  <c r="P34" i="21" s="1"/>
  <c r="R34" i="21" s="1"/>
  <c r="ER652" i="3"/>
  <c r="ER644" i="3"/>
  <c r="O26" i="21"/>
  <c r="P26" i="21" s="1" a="1"/>
  <c r="P26" i="21" s="1"/>
  <c r="R26" i="21" s="1"/>
  <c r="J29" i="25"/>
  <c r="AT19" i="25" s="1"/>
  <c r="O33" i="21"/>
  <c r="P33" i="21" s="1" a="1"/>
  <c r="P33" i="21" s="1"/>
  <c r="R33" i="21" s="1"/>
  <c r="EW662" i="3"/>
  <c r="EW642" i="3"/>
  <c r="CM663" i="3"/>
  <c r="AB973" i="3" s="1"/>
  <c r="AJ973" i="3" s="1"/>
  <c r="EW654" i="3"/>
  <c r="EW660" i="3"/>
  <c r="EW646" i="3"/>
  <c r="CQ637" i="3"/>
  <c r="EW658" i="3"/>
  <c r="EW659" i="3"/>
  <c r="EW653" i="3"/>
  <c r="EW643" i="3"/>
  <c r="EW650" i="3"/>
  <c r="EW655" i="3"/>
  <c r="EW661" i="3"/>
  <c r="EW656" i="3"/>
  <c r="EW645" i="3"/>
  <c r="EW638" i="3"/>
  <c r="EW651" i="3"/>
  <c r="EW641" i="3"/>
  <c r="EW657" i="3"/>
  <c r="EW647" i="3"/>
  <c r="ER650" i="3"/>
  <c r="EW635" i="3"/>
  <c r="EW644" i="3"/>
  <c r="BH684" i="3"/>
  <c r="BI684" i="3" s="1"/>
  <c r="T130" i="20"/>
  <c r="AG1028" i="3"/>
  <c r="BA990" i="3"/>
  <c r="BA989" i="3"/>
  <c r="AG1024" i="3"/>
  <c r="BW637" i="3"/>
  <c r="BS663" i="3"/>
  <c r="AB970" i="3" s="1"/>
  <c r="AJ970" i="3" s="1"/>
  <c r="EC649" i="3"/>
  <c r="EC647" i="3"/>
  <c r="EC657" i="3"/>
  <c r="CM636" i="3"/>
  <c r="EC660" i="3"/>
  <c r="EC655" i="3"/>
  <c r="EC650" i="3"/>
  <c r="EC639" i="3"/>
  <c r="EC645" i="3"/>
  <c r="EC641" i="3"/>
  <c r="EC662" i="3"/>
  <c r="EC646" i="3"/>
  <c r="EC661" i="3"/>
  <c r="EC648" i="3"/>
  <c r="EC651" i="3"/>
  <c r="EC652" i="3"/>
  <c r="EC654" i="3"/>
  <c r="EC642" i="3"/>
  <c r="EC658" i="3"/>
  <c r="EC656" i="3"/>
  <c r="EC653" i="3"/>
  <c r="EC640" i="3"/>
  <c r="EC659" i="3"/>
  <c r="O21" i="21"/>
  <c r="P21" i="21" s="1" a="1"/>
  <c r="P21" i="21" s="1"/>
  <c r="R21" i="21" s="1"/>
  <c r="EH643" i="3"/>
  <c r="BH717" i="3"/>
  <c r="BI717" i="3" s="1"/>
  <c r="BH719" i="3"/>
  <c r="BI719" i="3" s="1"/>
  <c r="BH720" i="3"/>
  <c r="BI720" i="3" s="1"/>
  <c r="BH723" i="3"/>
  <c r="BI723" i="3" s="1"/>
  <c r="BH713" i="3"/>
  <c r="BI713" i="3" s="1"/>
  <c r="BH722" i="3"/>
  <c r="BI722" i="3" s="1"/>
  <c r="BH714" i="3"/>
  <c r="BI714" i="3" s="1"/>
  <c r="BH727" i="3"/>
  <c r="BI727" i="3" s="1"/>
  <c r="BH716" i="3"/>
  <c r="BI716" i="3" s="1"/>
  <c r="BH709" i="3"/>
  <c r="BI709" i="3" s="1"/>
  <c r="BH724" i="3"/>
  <c r="BI724" i="3" s="1"/>
  <c r="BH726" i="3"/>
  <c r="BI726" i="3" s="1"/>
  <c r="BH725" i="3"/>
  <c r="BI725" i="3" s="1"/>
  <c r="BH710" i="3"/>
  <c r="BI710" i="3" s="1"/>
  <c r="BH721" i="3"/>
  <c r="BI721" i="3" s="1"/>
  <c r="BH707" i="3"/>
  <c r="BI707" i="3" s="1"/>
  <c r="BH705" i="3"/>
  <c r="BI705" i="3" s="1"/>
  <c r="BH711" i="3"/>
  <c r="BI711" i="3" s="1"/>
  <c r="BH708" i="3"/>
  <c r="BI708" i="3" s="1"/>
  <c r="BH718" i="3"/>
  <c r="BI718" i="3" s="1"/>
  <c r="EW652" i="3"/>
  <c r="E5" i="7"/>
  <c r="G4" i="7"/>
  <c r="ER640" i="3"/>
  <c r="BH703" i="3"/>
  <c r="EH645" i="3"/>
  <c r="EC635" i="3"/>
  <c r="AD27" i="15"/>
  <c r="AD28" i="15" s="1"/>
  <c r="AI27" i="15"/>
  <c r="Y27" i="15"/>
  <c r="AI28" i="15"/>
  <c r="AS349" i="20"/>
  <c r="AW112" i="20"/>
  <c r="AW114" i="20"/>
  <c r="AW110" i="20"/>
  <c r="AS351" i="20"/>
  <c r="AS347" i="20" s="1"/>
  <c r="AK458" i="20" s="1"/>
  <c r="T802" i="20" s="1"/>
  <c r="AF802" i="20" s="1"/>
  <c r="AW115" i="20"/>
  <c r="T789" i="20"/>
  <c r="AF789" i="20" s="1"/>
  <c r="AK78" i="20"/>
  <c r="AW111" i="20"/>
  <c r="E38" i="13" l="1"/>
  <c r="S63" i="4"/>
  <c r="E10" i="7"/>
  <c r="E36" i="7" s="1"/>
  <c r="E44" i="7" s="1"/>
  <c r="AG258" i="20"/>
  <c r="B105" i="4"/>
  <c r="AC454" i="3"/>
  <c r="B105" i="13"/>
  <c r="K14" i="7"/>
  <c r="I21" i="7"/>
  <c r="I34" i="7" s="1"/>
  <c r="M26" i="7"/>
  <c r="K8" i="7"/>
  <c r="I9" i="7"/>
  <c r="AJ975" i="3"/>
  <c r="AJ1024" i="3" s="1"/>
  <c r="AP541" i="20" s="1"/>
  <c r="AT23" i="25"/>
  <c r="ER663" i="3"/>
  <c r="Y124" i="20" s="1"/>
  <c r="Y127" i="20" s="1"/>
  <c r="Y130" i="20" s="1"/>
  <c r="EC663" i="3"/>
  <c r="J124" i="20" s="1"/>
  <c r="J127" i="20" s="1"/>
  <c r="J130" i="20" s="1"/>
  <c r="G22" i="21"/>
  <c r="G45" i="21"/>
  <c r="G47" i="21" s="1"/>
  <c r="G49" i="21" s="1"/>
  <c r="E11" i="21" s="1"/>
  <c r="G54" i="21"/>
  <c r="G56" i="21" s="1"/>
  <c r="G58" i="21" s="1"/>
  <c r="E12" i="21" s="1"/>
  <c r="F25" i="21"/>
  <c r="F26" i="21"/>
  <c r="G26" i="21" s="1"/>
  <c r="CS637" i="3"/>
  <c r="EW663" i="3"/>
  <c r="AD124" i="20" s="1"/>
  <c r="AD127" i="20" s="1"/>
  <c r="AD130" i="20" s="1"/>
  <c r="I4" i="7"/>
  <c r="G5" i="7"/>
  <c r="G10" i="7" s="1"/>
  <c r="G36" i="7" s="1"/>
  <c r="G38" i="21"/>
  <c r="G40" i="21" s="1"/>
  <c r="E10" i="21" s="1"/>
  <c r="BH728" i="3"/>
  <c r="BI703" i="3"/>
  <c r="BI728" i="3" s="1"/>
  <c r="AH753" i="3" s="1"/>
  <c r="AB974" i="3"/>
  <c r="AT27" i="25"/>
  <c r="AT22" i="25"/>
  <c r="EH663" i="3"/>
  <c r="O124" i="20" s="1"/>
  <c r="O127" i="20" s="1"/>
  <c r="O130" i="20" s="1"/>
  <c r="K6" i="7"/>
  <c r="I7" i="7"/>
  <c r="BH696" i="3"/>
  <c r="AW116" i="20"/>
  <c r="AU44" i="25"/>
  <c r="AU46" i="25"/>
  <c r="AT28" i="25"/>
  <c r="AT29" i="25"/>
  <c r="AU43" i="25"/>
  <c r="AU37" i="25"/>
  <c r="AU45" i="25"/>
  <c r="AU39" i="25"/>
  <c r="AU41" i="25"/>
  <c r="AU47" i="25"/>
  <c r="AU42" i="25"/>
  <c r="AU38" i="25"/>
  <c r="AU36" i="25"/>
  <c r="AU40" i="25"/>
  <c r="AT26" i="25"/>
  <c r="AT25" i="25"/>
  <c r="AT21" i="25"/>
  <c r="AT20" i="25"/>
  <c r="AT24" i="25"/>
  <c r="BI696" i="3"/>
  <c r="AC753" i="3" s="1"/>
  <c r="E130" i="20"/>
  <c r="T790" i="20"/>
  <c r="AF790" i="20" s="1"/>
  <c r="AK180" i="20"/>
  <c r="T796" i="20" s="1"/>
  <c r="AF796" i="20" s="1"/>
  <c r="E63" i="13" l="1"/>
  <c r="E48" i="7"/>
  <c r="AC453" i="3"/>
  <c r="AB47" i="15"/>
  <c r="AB49" i="15" s="1"/>
  <c r="AB54" i="15" s="1"/>
  <c r="AB55" i="15" s="1"/>
  <c r="N154" i="25"/>
  <c r="AB255" i="20"/>
  <c r="AG257" i="20" s="1"/>
  <c r="AG259" i="20" s="1"/>
  <c r="AK262" i="20" s="1"/>
  <c r="T797" i="20" s="1"/>
  <c r="AF797" i="20" s="1"/>
  <c r="M14" i="7"/>
  <c r="K21" i="7"/>
  <c r="K34" i="7" s="1"/>
  <c r="O26" i="7"/>
  <c r="M8" i="7"/>
  <c r="K9" i="7"/>
  <c r="AP539" i="20"/>
  <c r="B1039" i="3"/>
  <c r="AJ1028" i="3"/>
  <c r="E132" i="20"/>
  <c r="E133" i="20" s="1"/>
  <c r="AK137" i="20" s="1"/>
  <c r="T792" i="20" s="1"/>
  <c r="AF792" i="20" s="1"/>
  <c r="P420" i="3"/>
  <c r="CS663" i="3"/>
  <c r="U362" i="20" s="1"/>
  <c r="O756" i="3"/>
  <c r="E97" i="20"/>
  <c r="E100" i="20" s="1"/>
  <c r="E87" i="20"/>
  <c r="E88" i="20" s="1"/>
  <c r="E89" i="20" s="1"/>
  <c r="G25" i="21"/>
  <c r="F24" i="21"/>
  <c r="E47" i="7"/>
  <c r="E46" i="7"/>
  <c r="E59" i="7"/>
  <c r="I5" i="7"/>
  <c r="I10" i="7" s="1"/>
  <c r="I36" i="7" s="1"/>
  <c r="K4" i="7"/>
  <c r="M6" i="7"/>
  <c r="K7" i="7"/>
  <c r="G48" i="7"/>
  <c r="G44" i="7"/>
  <c r="N155" i="25" l="1"/>
  <c r="M21" i="7"/>
  <c r="M34" i="7" s="1"/>
  <c r="O14" i="7"/>
  <c r="Q26" i="7"/>
  <c r="M9" i="7"/>
  <c r="O8" i="7"/>
  <c r="AP542" i="20"/>
  <c r="AP543" i="20" s="1"/>
  <c r="I48" i="7"/>
  <c r="I44" i="7"/>
  <c r="G24" i="21"/>
  <c r="G27" i="21"/>
  <c r="F27" i="21"/>
  <c r="K5" i="7"/>
  <c r="K10" i="7" s="1"/>
  <c r="K36" i="7" s="1"/>
  <c r="M4" i="7"/>
  <c r="E65" i="7"/>
  <c r="E61" i="7"/>
  <c r="E66" i="7"/>
  <c r="G46" i="7"/>
  <c r="G47" i="7"/>
  <c r="G59" i="7"/>
  <c r="O6" i="7"/>
  <c r="M7" i="7"/>
  <c r="Q14" i="7" l="1"/>
  <c r="O21" i="7"/>
  <c r="O34" i="7" s="1"/>
  <c r="S26" i="7"/>
  <c r="O9" i="7"/>
  <c r="Q8" i="7"/>
  <c r="E69" i="7"/>
  <c r="E71" i="7" s="1"/>
  <c r="O7" i="7"/>
  <c r="Q6" i="7"/>
  <c r="G64" i="21"/>
  <c r="G95" i="21"/>
  <c r="G96" i="21" s="1"/>
  <c r="G104" i="21"/>
  <c r="G106" i="21" s="1"/>
  <c r="G29" i="21"/>
  <c r="G31" i="21" s="1"/>
  <c r="E9" i="21" s="1"/>
  <c r="M5" i="7"/>
  <c r="M10" i="7" s="1"/>
  <c r="M36" i="7" s="1"/>
  <c r="O4" i="7"/>
  <c r="K48" i="7"/>
  <c r="K44" i="7"/>
  <c r="G66" i="7"/>
  <c r="G65" i="7"/>
  <c r="G61" i="7"/>
  <c r="I47" i="7"/>
  <c r="I46" i="7"/>
  <c r="I59" i="7"/>
  <c r="Q21" i="7" l="1"/>
  <c r="Q34" i="7" s="1"/>
  <c r="S14" i="7"/>
  <c r="U26" i="7"/>
  <c r="Q9" i="7"/>
  <c r="S8" i="7"/>
  <c r="G69" i="7"/>
  <c r="G71" i="7" s="1"/>
  <c r="M48" i="7"/>
  <c r="M44" i="7"/>
  <c r="E14" i="21"/>
  <c r="E15" i="21" s="1"/>
  <c r="K47" i="7"/>
  <c r="K46" i="7"/>
  <c r="K59" i="7"/>
  <c r="G81" i="21"/>
  <c r="G65" i="21"/>
  <c r="G69" i="21"/>
  <c r="I66" i="7"/>
  <c r="I61" i="7"/>
  <c r="I65" i="7"/>
  <c r="Q7" i="7"/>
  <c r="S6" i="7"/>
  <c r="O5" i="7"/>
  <c r="O10" i="7" s="1"/>
  <c r="O36" i="7" s="1"/>
  <c r="Q4" i="7"/>
  <c r="U14" i="7" l="1"/>
  <c r="S21" i="7"/>
  <c r="S34" i="7" s="1"/>
  <c r="W26" i="7"/>
  <c r="S9" i="7"/>
  <c r="U8" i="7"/>
  <c r="I69" i="7"/>
  <c r="I71" i="7" s="1"/>
  <c r="O48" i="7"/>
  <c r="O44" i="7"/>
  <c r="U6" i="7"/>
  <c r="S7" i="7"/>
  <c r="K61" i="7"/>
  <c r="K65" i="7"/>
  <c r="K66" i="7"/>
  <c r="G83" i="21"/>
  <c r="E13" i="21" s="1"/>
  <c r="E16" i="21" s="1"/>
  <c r="H3" i="21" s="1"/>
  <c r="M59" i="7"/>
  <c r="M46" i="7"/>
  <c r="M47" i="7"/>
  <c r="S4" i="7"/>
  <c r="Q5" i="7"/>
  <c r="Q10" i="7" s="1"/>
  <c r="Q36" i="7" s="1"/>
  <c r="U21" i="7" l="1"/>
  <c r="U34" i="7" s="1"/>
  <c r="W14" i="7"/>
  <c r="Y26" i="7"/>
  <c r="W8" i="7"/>
  <c r="U9" i="7"/>
  <c r="Q44" i="7"/>
  <c r="Q48" i="7"/>
  <c r="U4" i="7"/>
  <c r="S5" i="7"/>
  <c r="S10" i="7" s="1"/>
  <c r="S36" i="7" s="1"/>
  <c r="K69" i="7"/>
  <c r="K71" i="7" s="1"/>
  <c r="M66" i="7"/>
  <c r="M61" i="7"/>
  <c r="M65" i="7"/>
  <c r="O46" i="7"/>
  <c r="O47" i="7"/>
  <c r="O59" i="7"/>
  <c r="W6" i="7"/>
  <c r="U7" i="7"/>
  <c r="W21" i="7" l="1"/>
  <c r="W34" i="7" s="1"/>
  <c r="Y14" i="7"/>
  <c r="AA26" i="7"/>
  <c r="Y8" i="7"/>
  <c r="W9" i="7"/>
  <c r="Y6" i="7"/>
  <c r="W7" i="7"/>
  <c r="S44" i="7"/>
  <c r="S48" i="7"/>
  <c r="O61" i="7"/>
  <c r="O66" i="7"/>
  <c r="O65" i="7"/>
  <c r="W4" i="7"/>
  <c r="U5" i="7"/>
  <c r="U10" i="7" s="1"/>
  <c r="U36" i="7" s="1"/>
  <c r="M69" i="7"/>
  <c r="M71" i="7" s="1"/>
  <c r="Q46" i="7"/>
  <c r="Q59" i="7"/>
  <c r="Q47" i="7"/>
  <c r="Y21" i="7" l="1"/>
  <c r="Y34" i="7" s="1"/>
  <c r="AA14" i="7"/>
  <c r="AC26" i="7"/>
  <c r="Y9" i="7"/>
  <c r="AA8" i="7"/>
  <c r="U48" i="7"/>
  <c r="U44" i="7"/>
  <c r="Q61" i="7"/>
  <c r="Q66" i="7"/>
  <c r="Q65" i="7"/>
  <c r="S59" i="7"/>
  <c r="S46" i="7"/>
  <c r="S47" i="7"/>
  <c r="W5" i="7"/>
  <c r="W10" i="7" s="1"/>
  <c r="W36" i="7" s="1"/>
  <c r="Y4" i="7"/>
  <c r="O69" i="7"/>
  <c r="O71" i="7" s="1"/>
  <c r="Y7" i="7"/>
  <c r="AA6" i="7"/>
  <c r="AA21" i="7" l="1"/>
  <c r="AA34" i="7" s="1"/>
  <c r="AC14" i="7"/>
  <c r="Q69" i="7"/>
  <c r="Q71" i="7" s="1"/>
  <c r="AE26" i="7"/>
  <c r="AC8" i="7"/>
  <c r="AA9" i="7"/>
  <c r="AC6" i="7"/>
  <c r="AA7" i="7"/>
  <c r="S61" i="7"/>
  <c r="S66" i="7"/>
  <c r="S65" i="7"/>
  <c r="W48" i="7"/>
  <c r="W44" i="7"/>
  <c r="Y5" i="7"/>
  <c r="Y10" i="7" s="1"/>
  <c r="Y36" i="7" s="1"/>
  <c r="AA4" i="7"/>
  <c r="U47" i="7"/>
  <c r="U46" i="7"/>
  <c r="U59" i="7"/>
  <c r="AE14" i="7" l="1"/>
  <c r="AC21" i="7"/>
  <c r="AC34" i="7" s="1"/>
  <c r="S69" i="7"/>
  <c r="S71" i="7" s="1"/>
  <c r="AG26" i="7"/>
  <c r="AE8" i="7"/>
  <c r="AC9" i="7"/>
  <c r="Y48" i="7"/>
  <c r="Y44" i="7"/>
  <c r="U66" i="7"/>
  <c r="U61" i="7"/>
  <c r="U65" i="7"/>
  <c r="W59" i="7"/>
  <c r="W46" i="7"/>
  <c r="W47" i="7"/>
  <c r="AA5" i="7"/>
  <c r="AA10" i="7" s="1"/>
  <c r="AA36" i="7" s="1"/>
  <c r="AC4" i="7"/>
  <c r="AC7" i="7"/>
  <c r="AE6" i="7"/>
  <c r="AG14" i="7" l="1"/>
  <c r="AG21" i="7" s="1"/>
  <c r="AG34" i="7" s="1"/>
  <c r="AE21" i="7"/>
  <c r="AE34" i="7" s="1"/>
  <c r="U69" i="7"/>
  <c r="U71" i="7" s="1"/>
  <c r="AE9" i="7"/>
  <c r="AG8" i="7"/>
  <c r="AG9" i="7" s="1"/>
  <c r="AA44" i="7"/>
  <c r="AA48" i="7"/>
  <c r="AG6" i="7"/>
  <c r="AG7" i="7" s="1"/>
  <c r="AE7" i="7"/>
  <c r="W65" i="7"/>
  <c r="W61" i="7"/>
  <c r="W66" i="7"/>
  <c r="AE4" i="7"/>
  <c r="AC5" i="7"/>
  <c r="AC10" i="7" s="1"/>
  <c r="AC36" i="7" s="1"/>
  <c r="Y46" i="7"/>
  <c r="Y47" i="7"/>
  <c r="Y59" i="7"/>
  <c r="AC44" i="7" l="1"/>
  <c r="AC48" i="7"/>
  <c r="Y61" i="7"/>
  <c r="Y66" i="7"/>
  <c r="Y65" i="7"/>
  <c r="AE5" i="7"/>
  <c r="AE10" i="7" s="1"/>
  <c r="AE36" i="7" s="1"/>
  <c r="AG4" i="7"/>
  <c r="W69" i="7"/>
  <c r="W71" i="7" s="1"/>
  <c r="AA59" i="7"/>
  <c r="AA47" i="7"/>
  <c r="AA46" i="7"/>
  <c r="Y69" i="7" l="1"/>
  <c r="Y71" i="7" s="1"/>
  <c r="AE44" i="7"/>
  <c r="AE48" i="7"/>
  <c r="AG5" i="7"/>
  <c r="AG10" i="7" s="1"/>
  <c r="AG36" i="7" s="1"/>
  <c r="AA66" i="7"/>
  <c r="AA65" i="7"/>
  <c r="AA61" i="7"/>
  <c r="AC59" i="7"/>
  <c r="AC47" i="7"/>
  <c r="AC46" i="7"/>
  <c r="AA69" i="7" l="1"/>
  <c r="AA71" i="7" s="1"/>
  <c r="AC61" i="7"/>
  <c r="AC66" i="7"/>
  <c r="AC65" i="7"/>
  <c r="AG48" i="7"/>
  <c r="AG44" i="7"/>
  <c r="AE46" i="7"/>
  <c r="AE47" i="7"/>
  <c r="AE59" i="7"/>
  <c r="AG46" i="7" l="1"/>
  <c r="AG47" i="7"/>
  <c r="AG59" i="7"/>
  <c r="AC69" i="7"/>
  <c r="AC71" i="7" s="1"/>
  <c r="AE66" i="7"/>
  <c r="AE61" i="7"/>
  <c r="AE65" i="7"/>
  <c r="AE69" i="7" l="1"/>
  <c r="AE71" i="7" s="1"/>
  <c r="AG66" i="7"/>
  <c r="AG65" i="7"/>
  <c r="AG61" i="7"/>
  <c r="AG69" i="7" l="1"/>
  <c r="AG71" i="7" s="1"/>
  <c r="AJ1004" i="3"/>
  <c r="AJ1032" i="3"/>
  <c r="B86" i="11"/>
  <c r="B97" i="11" s="1"/>
  <c r="B98" i="11" s="1"/>
  <c r="B106" i="11" s="1"/>
  <c r="C86" i="11"/>
  <c r="C97" i="11" s="1"/>
  <c r="B85" i="13"/>
  <c r="B85" i="4"/>
  <c r="N157" i="25" s="1"/>
  <c r="N164" i="25" s="1"/>
  <c r="N165" i="25" s="1"/>
  <c r="E85" i="4"/>
  <c r="E96" i="4" s="1"/>
  <c r="E97" i="4" s="1"/>
  <c r="E105" i="4" s="1"/>
  <c r="R85" i="4" l="1"/>
  <c r="R96" i="4" s="1"/>
  <c r="R97" i="4" s="1"/>
  <c r="R105" i="4" s="1"/>
  <c r="T24" i="15"/>
  <c r="AP546" i="20"/>
  <c r="AP545" i="20" s="1"/>
  <c r="AP548" i="20" s="1"/>
  <c r="AF541" i="20" s="1"/>
  <c r="D86" i="11"/>
  <c r="D97" i="11"/>
  <c r="C98" i="11"/>
  <c r="S85" i="4" l="1"/>
  <c r="E85" i="13" s="1"/>
  <c r="S96" i="4"/>
  <c r="C106" i="11"/>
  <c r="D106" i="11" s="1"/>
  <c r="D98" i="11"/>
  <c r="E96" i="13" l="1"/>
  <c r="S97" i="4"/>
  <c r="S105" i="4" l="1"/>
  <c r="E97" i="13"/>
  <c r="E105" i="13" l="1"/>
  <c r="S107" i="4"/>
  <c r="AF540" i="20" l="1"/>
  <c r="AF542" i="20" s="1"/>
  <c r="AK548" i="20" s="1"/>
  <c r="T803" i="20" s="1"/>
  <c r="AF803" i="20" s="1"/>
  <c r="AF806" i="20" s="1"/>
  <c r="E107" i="13"/>
  <c r="AC455" i="3"/>
  <c r="T11" i="15" l="1"/>
  <c r="T23" i="15" s="1"/>
  <c r="Y11" i="15"/>
  <c r="Y23" i="15" s="1"/>
  <c r="Y26" i="15" s="1"/>
  <c r="Y28" i="15" s="1"/>
  <c r="Y64" i="15" s="1"/>
  <c r="Y68" i="15" s="1"/>
  <c r="T26" i="15" l="1"/>
  <c r="T28" i="15" s="1"/>
  <c r="T29" i="15" s="1"/>
  <c r="AD38" i="15"/>
  <c r="AD40" i="15" s="1"/>
  <c r="Y38" i="15" l="1"/>
  <c r="Y40" i="15" s="1"/>
  <c r="Y41" i="15" s="1"/>
  <c r="AB56" i="15" s="1"/>
  <c r="AB57" i="15" s="1"/>
  <c r="AB59" i="15" s="1"/>
  <c r="AB76" i="15" s="1"/>
  <c r="AB77" i="15" s="1"/>
  <c r="M26" i="3" l="1"/>
  <c r="P203" i="3" s="1"/>
  <c r="AB78" i="15"/>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AD76055D-A972-4EBB-9B28-9E5F4F60A0FC}">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Chris Dart</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C83" authorId="3" shapeId="0" xr:uid="{8A419650-DE5A-488C-9646-62608E7C80C8}">
      <text>
        <r>
          <rPr>
            <b/>
            <sz val="8"/>
            <color indexed="81"/>
            <rFont val="Tahoma"/>
            <family val="2"/>
          </rPr>
          <t>Chris Dart:</t>
        </r>
        <r>
          <rPr>
            <sz val="8"/>
            <color indexed="81"/>
            <rFont val="Tahoma"/>
            <family val="2"/>
          </rPr>
          <t xml:space="preserve">
=4% of Equity
1% for 4%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<sst xmlns="http://schemas.openxmlformats.org/spreadsheetml/2006/main" count="5169" uniqueCount="2712">
  <si>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</si>
  <si>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</si>
  <si>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</si>
  <si>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</si>
  <si>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</si>
  <si>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</si>
  <si>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</si>
  <si>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</si>
  <si>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</si>
  <si>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</si>
  <si>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</si>
  <si>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</si>
  <si>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</si>
  <si>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</si>
  <si>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</si>
  <si>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</si>
  <si>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</si>
  <si>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</si>
  <si>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</si>
  <si>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</si>
  <si>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</si>
  <si>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</si>
  <si>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</si>
  <si>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</si>
  <si>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</si>
  <si>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</si>
  <si>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</si>
  <si>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</si>
  <si>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</si>
  <si>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</si>
  <si>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</si>
  <si>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</si>
  <si>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</si>
  <si>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</si>
  <si>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</si>
  <si>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</si>
  <si>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</si>
  <si>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</si>
  <si>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</si>
  <si>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</si>
  <si>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</si>
  <si>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</si>
  <si>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</si>
  <si>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</si>
  <si>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</si>
  <si>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</si>
  <si>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</si>
  <si>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</si>
  <si>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</si>
  <si>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</si>
  <si>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</si>
  <si>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</si>
  <si>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</si>
  <si>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</si>
  <si>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</si>
  <si>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</si>
  <si>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</si>
  <si>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</si>
  <si>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</si>
  <si>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</si>
  <si>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</si>
  <si>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</si>
  <si>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</si>
  <si>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</si>
  <si>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</si>
  <si>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</si>
  <si>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</si>
  <si>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</si>
  <si>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</si>
  <si>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</si>
  <si>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</si>
  <si>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</si>
  <si>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</si>
  <si>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</si>
  <si>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</si>
  <si>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</si>
  <si>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</si>
  <si>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</si>
  <si>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</si>
  <si>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</si>
  <si>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</si>
  <si>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</si>
  <si>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</si>
  <si>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</si>
  <si>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</si>
  <si>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</si>
  <si>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</si>
  <si>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</si>
  <si>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</si>
  <si>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</si>
  <si>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</si>
  <si>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</si>
  <si>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</si>
  <si>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</si>
  <si>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</si>
  <si>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</si>
  <si>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</si>
  <si>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</si>
  <si>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</si>
  <si>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</si>
  <si>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</si>
  <si>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</si>
  <si>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</si>
  <si>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</si>
  <si>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</si>
  <si>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</si>
  <si>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</si>
  <si>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</si>
  <si>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</si>
  <si>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</si>
  <si>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</si>
  <si>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</si>
  <si>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</si>
  <si>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</si>
  <si>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</si>
  <si>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</si>
  <si>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</si>
  <si>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</si>
  <si>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</si>
  <si>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</si>
  <si>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</si>
  <si>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</si>
  <si>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</si>
  <si>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</si>
  <si>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</si>
  <si>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</si>
  <si>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</si>
  <si>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</si>
  <si>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</si>
  <si>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</si>
  <si>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</si>
  <si>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</si>
  <si>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</si>
  <si>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</si>
  <si>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</si>
  <si>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</si>
  <si>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</si>
  <si>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</si>
  <si>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</si>
  <si>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</si>
  <si>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</si>
  <si>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</si>
  <si>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</si>
  <si>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</si>
  <si>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</si>
  <si>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</si>
  <si>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</si>
  <si>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</si>
  <si>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</si>
  <si>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</si>
  <si>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</si>
  <si>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</si>
  <si>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</si>
  <si>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</si>
  <si>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</si>
  <si>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</si>
  <si>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</si>
  <si>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</si>
  <si>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</si>
  <si>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</si>
  <si>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</si>
  <si>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</si>
  <si>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</si>
  <si>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</si>
  <si>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</si>
  <si>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</si>
  <si>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</si>
  <si>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</si>
  <si>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</si>
  <si>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</si>
  <si>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</si>
  <si>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</si>
  <si>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</si>
  <si>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</si>
  <si>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</si>
  <si>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</si>
  <si>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</si>
  <si>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</si>
  <si>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</si>
  <si>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</si>
  <si>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</si>
  <si>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</si>
  <si>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</si>
  <si>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</si>
  <si>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</si>
  <si>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</si>
  <si>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</si>
  <si>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</si>
  <si>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</si>
  <si>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</si>
  <si>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</si>
  <si>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</si>
  <si>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</si>
  <si>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</si>
  <si>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</si>
  <si>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</si>
  <si>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</si>
  <si>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</si>
  <si>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</si>
  <si>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</si>
  <si>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</si>
  <si>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</si>
  <si>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</si>
  <si>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</si>
  <si>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</si>
  <si>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</si>
  <si>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</si>
  <si>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</si>
  <si>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</si>
  <si>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</si>
  <si>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</si>
  <si>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</si>
  <si>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</si>
  <si>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</si>
  <si>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</si>
  <si>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</si>
  <si>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</si>
  <si>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</si>
  <si>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</si>
  <si>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</si>
  <si>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</si>
  <si>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</si>
  <si>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</si>
  <si>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</si>
  <si>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</si>
  <si>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</si>
  <si>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</si>
  <si>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</si>
  <si>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</si>
  <si>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</si>
  <si>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</si>
  <si>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</si>
  <si>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</si>
  <si>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</si>
  <si>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</si>
  <si>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</si>
  <si>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</si>
  <si>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</si>
  <si>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</si>
  <si>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</si>
  <si>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</si>
  <si>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</si>
  <si>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</si>
  <si>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</si>
  <si>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</si>
  <si>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</si>
  <si>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</si>
  <si>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</si>
  <si>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</si>
  <si>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</si>
  <si>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</si>
  <si>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</si>
  <si>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</si>
  <si>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</si>
  <si>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</si>
  <si>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</si>
  <si>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</si>
  <si>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</si>
  <si>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</si>
  <si>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</si>
  <si>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</si>
  <si>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</si>
  <si>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</si>
  <si>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</si>
  <si>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</si>
  <si>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</si>
  <si>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</si>
  <si>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</si>
  <si>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</si>
  <si>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</si>
  <si>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</si>
  <si>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</si>
  <si>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</si>
  <si>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</si>
  <si>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</si>
  <si>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</si>
  <si>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</si>
  <si>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</si>
  <si>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</si>
  <si>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</si>
  <si>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</si>
  <si>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</si>
  <si>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</si>
  <si>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</si>
  <si>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</si>
  <si>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</si>
  <si>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</si>
  <si>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</si>
  <si>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</si>
  <si>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</si>
  <si>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</si>
  <si>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</si>
  <si>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</si>
  <si>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</si>
  <si>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</si>
  <si>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</si>
  <si>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</si>
  <si>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</si>
  <si>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</si>
  <si>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</si>
  <si>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</si>
  <si>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</si>
  <si>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</si>
  <si>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</si>
  <si>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</si>
  <si>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</si>
  <si>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</si>
  <si>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</si>
  <si>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</si>
  <si>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</si>
  <si>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</si>
  <si>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</si>
  <si>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</si>
  <si>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</si>
  <si>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</si>
  <si>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</si>
  <si>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</si>
  <si>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</si>
  <si>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</si>
  <si>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</si>
  <si>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</si>
  <si>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</si>
  <si>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</si>
  <si>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</si>
  <si>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</si>
  <si>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</si>
  <si>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</si>
  <si>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</si>
  <si>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</si>
  <si>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</si>
  <si>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</si>
  <si>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</si>
  <si>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</si>
  <si>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</si>
  <si>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</si>
  <si>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</si>
  <si>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</si>
  <si>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</si>
  <si>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</si>
  <si>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</si>
  <si>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</si>
  <si>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</si>
  <si>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</si>
  <si>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</si>
  <si>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</si>
  <si>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</si>
  <si>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</si>
  <si>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</si>
  <si>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</si>
  <si>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</si>
  <si>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</si>
  <si>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</si>
  <si>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</si>
  <si>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</si>
  <si>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</si>
  <si>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</si>
  <si>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</si>
  <si>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</si>
  <si>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</si>
  <si>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</si>
  <si>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</si>
  <si>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</si>
  <si>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</si>
  <si>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</si>
  <si>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</si>
  <si>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</si>
  <si>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</si>
  <si>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</si>
  <si>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</si>
  <si>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</si>
  <si>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</si>
  <si>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</si>
  <si>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</si>
  <si>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</si>
  <si>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</si>
  <si>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</si>
  <si>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</si>
  <si>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</si>
  <si>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</si>
  <si>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</si>
  <si>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</si>
  <si>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</si>
  <si>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</si>
  <si>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</si>
  <si>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</si>
  <si>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</si>
  <si>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</si>
  <si>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</si>
  <si>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</si>
  <si>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</si>
  <si>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</si>
  <si>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</si>
  <si>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</si>
  <si>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</si>
  <si>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</si>
  <si>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</si>
  <si>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</si>
  <si>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</si>
  <si>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</si>
  <si>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</si>
  <si>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</si>
  <si>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</si>
  <si>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</si>
  <si>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</si>
  <si>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</si>
  <si>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</si>
  <si>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</si>
  <si>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</si>
  <si>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</si>
  <si>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</si>
  <si>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</si>
  <si>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</si>
  <si>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</si>
  <si>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</si>
  <si>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</si>
  <si>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</si>
  <si>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</si>
  <si>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</si>
  <si>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</si>
  <si>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</si>
  <si>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</si>
  <si>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</si>
  <si>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</si>
  <si>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</si>
  <si>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</si>
  <si>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</si>
  <si>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</si>
  <si>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</si>
  <si>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</si>
  <si>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</si>
  <si>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</si>
  <si>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</si>
  <si>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</si>
  <si>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</si>
  <si>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</si>
  <si>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</si>
  <si>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</si>
  <si>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</si>
  <si>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</si>
  <si>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</si>
  <si>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</si>
  <si>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</si>
  <si>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</si>
  <si>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</si>
  <si>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</si>
  <si>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</si>
  <si>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</si>
  <si>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</si>
  <si>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</si>
  <si>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</si>
  <si>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</si>
  <si>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</si>
  <si>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</si>
  <si>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</si>
  <si>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</si>
  <si>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</si>
  <si>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</si>
  <si>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</si>
  <si>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</si>
  <si>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</si>
  <si>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</si>
  <si>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</si>
  <si>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</si>
  <si>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</si>
  <si>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</si>
  <si>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</si>
  <si>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</si>
  <si>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</si>
  <si>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</si>
  <si>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</si>
  <si>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</si>
  <si>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</si>
  <si>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</si>
  <si>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</si>
  <si>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</si>
  <si>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</si>
  <si>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</si>
  <si>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</si>
  <si>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</si>
  <si>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</si>
  <si>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</si>
  <si>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</si>
  <si>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</si>
  <si>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</si>
  <si>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</si>
  <si>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</si>
  <si>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</si>
  <si>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</si>
  <si>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</si>
  <si>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</si>
  <si>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</si>
  <si>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</si>
  <si>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</si>
  <si>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</si>
  <si>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</si>
  <si>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</si>
  <si>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</si>
  <si>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</si>
  <si>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</si>
  <si>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</si>
  <si>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</si>
  <si>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</si>
  <si>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</si>
  <si>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</si>
  <si>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</si>
  <si>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</si>
  <si>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</si>
  <si>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</si>
  <si>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</si>
  <si>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</si>
  <si>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</si>
  <si>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</si>
  <si>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</si>
  <si>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</si>
  <si>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</si>
  <si>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</si>
  <si>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</si>
  <si>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</si>
  <si>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</si>
  <si>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</si>
  <si>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</si>
  <si>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</si>
  <si>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</si>
  <si>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</si>
  <si>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</si>
  <si>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</si>
  <si>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</si>
  <si>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</si>
  <si>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</si>
  <si>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</si>
  <si>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</si>
  <si>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</si>
  <si>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</si>
  <si>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</si>
  <si>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</si>
  <si>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</si>
  <si>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</si>
  <si>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</si>
  <si>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</si>
  <si>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</si>
  <si>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</si>
  <si>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</si>
  <si>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</si>
  <si>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</si>
  <si>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</si>
  <si>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</si>
  <si>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</si>
  <si>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</si>
  <si>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</si>
  <si>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</si>
  <si>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</si>
  <si>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</si>
  <si>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</si>
  <si>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</si>
  <si>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</si>
  <si>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</si>
  <si>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</si>
  <si>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</si>
  <si>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</si>
  <si>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</si>
  <si>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</si>
  <si>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</si>
  <si>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</si>
  <si>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</si>
  <si>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</si>
  <si>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</si>
  <si>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</si>
  <si>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</si>
  <si>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</si>
  <si>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</si>
  <si>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</si>
  <si>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</si>
  <si>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</si>
  <si>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</si>
  <si>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</si>
  <si>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</si>
  <si>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</si>
  <si>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</si>
  <si>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</si>
  <si>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</si>
  <si>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</si>
  <si>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</si>
  <si>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</si>
  <si>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</si>
  <si>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</si>
  <si>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</si>
  <si>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</si>
  <si>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</si>
  <si>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</si>
  <si>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</si>
  <si>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</si>
  <si>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</si>
  <si>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</si>
  <si>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</si>
  <si>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</si>
  <si>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</si>
  <si>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</si>
  <si>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</si>
  <si>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</si>
  <si>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</si>
  <si>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</si>
  <si>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</si>
  <si>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</si>
  <si>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</si>
  <si>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</si>
  <si>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</si>
  <si>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</si>
  <si>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</si>
  <si>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</si>
  <si>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</si>
  <si>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</si>
  <si>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</si>
  <si>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</si>
  <si>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</si>
  <si>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</si>
  <si>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</si>
  <si>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</si>
  <si>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</si>
  <si>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</si>
  <si>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</si>
  <si>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</si>
  <si>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</si>
  <si>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</si>
  <si>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</si>
  <si>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</si>
  <si>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</si>
  <si>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</si>
  <si>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</si>
  <si>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</si>
  <si>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</si>
  <si>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</si>
  <si>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</si>
  <si>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</si>
  <si>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</si>
  <si>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</si>
  <si>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</si>
  <si>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</si>
  <si>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</si>
  <si>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</si>
  <si>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</si>
  <si>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</si>
  <si>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</si>
  <si>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</si>
  <si>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</si>
  <si>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</si>
  <si>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</si>
  <si>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</si>
  <si>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</si>
  <si>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</si>
  <si>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</si>
  <si>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</si>
  <si>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</si>
  <si>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</si>
  <si>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</si>
  <si>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</si>
  <si>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</si>
  <si>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</si>
  <si>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</si>
  <si>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</si>
  <si>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</si>
  <si>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</si>
  <si>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</si>
  <si>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</si>
  <si>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</si>
  <si>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</si>
  <si>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</si>
  <si>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</si>
  <si>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</si>
  <si>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</si>
  <si>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</si>
  <si>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</si>
  <si>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</si>
  <si>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</si>
  <si>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</si>
  <si>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</si>
  <si>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</si>
  <si>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</si>
  <si>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</si>
  <si>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</si>
  <si>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</si>
  <si>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</si>
  <si>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</si>
  <si>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</si>
  <si>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</si>
  <si>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</si>
  <si>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</si>
  <si>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</si>
  <si>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</si>
  <si>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</si>
  <si>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</si>
  <si>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</si>
  <si>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</si>
  <si>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</si>
  <si>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</si>
  <si>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</si>
  <si>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</si>
  <si>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</si>
  <si>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</si>
  <si>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</si>
  <si>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</si>
  <si>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</si>
  <si>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</si>
  <si>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</si>
  <si>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</si>
  <si>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</si>
  <si>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</si>
  <si>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</si>
  <si>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</si>
  <si>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</si>
  <si>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</si>
  <si>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</si>
  <si>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</si>
  <si>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</si>
  <si>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</si>
  <si>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</si>
  <si>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</si>
  <si>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</si>
  <si>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</si>
  <si>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</si>
  <si>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</si>
  <si>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</si>
  <si>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</si>
  <si>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</si>
  <si>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</si>
  <si>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</si>
  <si>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</si>
  <si>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</si>
  <si>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</si>
  <si>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</si>
  <si>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</si>
  <si>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</si>
  <si>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</si>
  <si>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</si>
  <si>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</si>
  <si>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</si>
  <si>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</si>
  <si>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</si>
  <si>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</si>
  <si>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</si>
  <si>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</si>
  <si>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</si>
  <si>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</si>
  <si>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</si>
  <si>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</si>
  <si>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</si>
  <si>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</si>
  <si>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</si>
  <si>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</si>
  <si>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</si>
  <si>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</si>
  <si>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</si>
  <si>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</si>
  <si>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</si>
  <si>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</si>
  <si>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</si>
  <si>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</si>
  <si>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</si>
  <si>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</si>
  <si>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</si>
  <si>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</si>
  <si>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</si>
  <si>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</si>
  <si>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</si>
  <si>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</si>
  <si>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</si>
  <si>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</si>
  <si>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</si>
  <si>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</si>
  <si>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</si>
  <si>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</si>
  <si>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</si>
  <si>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</si>
  <si>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</si>
  <si>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</si>
  <si>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</si>
  <si>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</si>
  <si>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</si>
  <si>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</si>
  <si>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</si>
  <si>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</si>
  <si>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</si>
  <si>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</si>
  <si>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</si>
  <si>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</si>
  <si>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</si>
  <si>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</si>
  <si>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</si>
  <si>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</si>
  <si>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</si>
  <si>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</si>
  <si>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</si>
  <si>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</si>
  <si>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</si>
  <si>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</si>
  <si>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</si>
  <si>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</si>
  <si>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</si>
  <si>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</si>
  <si>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</si>
  <si>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</si>
  <si>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</si>
  <si>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</si>
  <si>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</si>
  <si>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</si>
  <si>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</si>
  <si>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</si>
  <si>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</si>
  <si>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</si>
  <si>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</si>
  <si>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</si>
  <si>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</si>
  <si>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</si>
  <si>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</si>
  <si>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</si>
  <si>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</si>
  <si>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</si>
  <si>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</si>
  <si>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</si>
  <si>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</si>
  <si>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</si>
  <si>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</si>
  <si>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</si>
  <si>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</si>
  <si>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</si>
  <si>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</si>
  <si>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</si>
  <si>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</si>
  <si>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</si>
  <si>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</si>
  <si>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</si>
  <si>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</si>
  <si>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</si>
  <si>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</si>
  <si>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</si>
  <si>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</si>
  <si>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</si>
  <si>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</si>
  <si>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</si>
  <si>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</si>
  <si>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</si>
  <si>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</si>
  <si>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</si>
  <si>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</si>
  <si>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</si>
  <si>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</si>
  <si>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</si>
  <si>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</si>
  <si>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</si>
  <si>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</si>
  <si>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</si>
  <si>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</si>
  <si>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</si>
  <si>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</si>
  <si>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</si>
  <si>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</si>
  <si>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</si>
  <si>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</si>
  <si>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</si>
  <si>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</si>
  <si>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</si>
  <si>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</si>
  <si>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</si>
  <si>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</si>
  <si>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</si>
  <si>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</si>
  <si>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</si>
  <si>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</si>
  <si>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</si>
  <si>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</si>
  <si>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</si>
  <si>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</si>
  <si>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</si>
  <si>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</si>
  <si>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</si>
  <si>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</si>
  <si>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</si>
  <si>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</si>
  <si>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</si>
  <si>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</si>
  <si>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</si>
  <si>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</si>
  <si>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</si>
  <si>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</si>
  <si>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</si>
  <si>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</si>
  <si>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</si>
  <si>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</si>
  <si>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</si>
  <si>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</si>
  <si>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</si>
  <si>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</si>
  <si>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</si>
  <si>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</si>
  <si>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</si>
  <si>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</si>
  <si>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</si>
  <si>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</si>
  <si>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</si>
  <si>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</si>
  <si>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</si>
  <si>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</si>
  <si>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</si>
  <si>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</si>
  <si>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</si>
  <si>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</si>
  <si>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</si>
  <si>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</si>
  <si>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</si>
  <si>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</si>
  <si>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</si>
  <si>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</si>
  <si>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</si>
  <si>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</si>
  <si>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</si>
  <si>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</si>
  <si>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</si>
  <si>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</si>
  <si>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</si>
  <si>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</si>
  <si>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</si>
  <si>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</si>
  <si>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</si>
  <si>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</si>
  <si>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</si>
  <si>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</si>
  <si>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</si>
  <si>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</si>
  <si>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</si>
  <si>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</si>
  <si>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</si>
  <si>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</si>
  <si>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</si>
  <si>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</si>
  <si>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</si>
  <si>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</si>
  <si>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</si>
  <si>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</si>
  <si>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</si>
  <si>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</si>
  <si>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</si>
  <si>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</si>
  <si>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</si>
  <si>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</si>
  <si>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</si>
  <si>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</si>
  <si>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</si>
  <si>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</si>
  <si>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</si>
  <si>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</si>
  <si>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</si>
  <si>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</si>
  <si>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</si>
  <si>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</si>
  <si>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</si>
  <si>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</si>
  <si>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</si>
  <si>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</si>
  <si>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</si>
  <si>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</si>
  <si>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</si>
  <si>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</si>
  <si>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</si>
  <si>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</si>
  <si>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</si>
  <si>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</si>
  <si>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</si>
  <si>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</si>
  <si>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</si>
  <si>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</si>
  <si>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</si>
  <si>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</si>
  <si>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</si>
  <si>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</si>
  <si>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</si>
  <si>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</si>
  <si>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</si>
  <si>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</si>
  <si>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</si>
  <si>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</si>
  <si>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</si>
  <si>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</si>
  <si>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</si>
  <si>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</si>
  <si>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</si>
  <si>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</si>
  <si>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</si>
  <si>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</si>
  <si>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</si>
  <si>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</si>
  <si>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</si>
  <si>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</si>
  <si>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</si>
  <si>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</si>
  <si>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</si>
  <si>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</si>
  <si>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</si>
  <si>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</si>
  <si>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</si>
  <si>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</si>
  <si>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</si>
  <si>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</si>
  <si>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</si>
  <si>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</si>
  <si>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</si>
  <si>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</si>
  <si>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</si>
  <si>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</si>
  <si>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</si>
  <si>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</si>
  <si>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</si>
  <si>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</si>
  <si>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</si>
  <si>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</si>
  <si>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</si>
  <si>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</si>
  <si>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</si>
  <si>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</si>
  <si>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</si>
  <si>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</si>
  <si>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</si>
  <si>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</si>
  <si>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</si>
  <si>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</si>
  <si>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</si>
  <si>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</si>
  <si>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</si>
  <si>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</si>
  <si>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</si>
  <si>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</si>
  <si>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</si>
  <si>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</si>
  <si>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</si>
  <si>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</si>
  <si>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</si>
  <si>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</si>
  <si>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</si>
  <si>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</si>
  <si>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</si>
  <si>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</si>
  <si>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</si>
  <si>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</si>
  <si>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</si>
  <si>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</si>
  <si>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</si>
  <si>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</si>
  <si>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</si>
  <si>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</si>
  <si>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</si>
  <si>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</si>
  <si>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</si>
  <si>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</si>
  <si>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</si>
  <si>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</si>
  <si>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</si>
  <si>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</si>
  <si>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</si>
  <si>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</si>
  <si>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</si>
  <si>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</si>
  <si>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</si>
  <si>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</si>
  <si>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</si>
  <si>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</si>
  <si>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</si>
  <si>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</si>
  <si>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</si>
  <si>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</si>
  <si>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</si>
  <si>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</si>
  <si>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</si>
  <si>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</si>
  <si>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</si>
  <si>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</si>
  <si>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</si>
  <si>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</si>
  <si>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</si>
  <si>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</si>
  <si>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</si>
  <si>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</si>
  <si>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</si>
  <si>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</si>
  <si>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</si>
  <si>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</si>
  <si>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</si>
  <si>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</si>
  <si>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</si>
  <si>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</si>
  <si>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</si>
  <si>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</si>
  <si>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</si>
  <si>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</si>
  <si>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</si>
  <si>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</si>
  <si>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</si>
  <si>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</si>
  <si>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</si>
  <si>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</si>
  <si>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</si>
  <si>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</si>
  <si>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</si>
  <si>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</si>
  <si>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</si>
  <si>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</si>
  <si>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</si>
  <si>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</si>
  <si>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</si>
  <si>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</si>
  <si>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</si>
  <si>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</si>
  <si>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</si>
  <si>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</si>
  <si>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</si>
  <si>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</si>
  <si>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</si>
  <si>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</si>
  <si>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</si>
  <si>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</si>
  <si>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</si>
  <si>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</si>
  <si>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</si>
  <si>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</si>
  <si>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</si>
  <si>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</si>
  <si>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</si>
  <si>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</si>
  <si>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</si>
  <si>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</si>
  <si>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</si>
  <si>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</si>
  <si>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</si>
  <si>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</si>
  <si>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</si>
  <si>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</si>
  <si>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</si>
  <si>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</si>
  <si>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</si>
  <si>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</si>
  <si>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</si>
  <si>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</si>
  <si>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</si>
  <si>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</si>
  <si>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</si>
  <si>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</si>
  <si>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</si>
  <si>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</si>
  <si>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</si>
  <si>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</si>
  <si>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</si>
  <si>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</si>
  <si>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</si>
  <si>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</si>
  <si>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</si>
  <si>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</si>
  <si>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</si>
  <si>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</si>
  <si>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</si>
  <si>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</si>
  <si>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</si>
  <si>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</si>
  <si>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</si>
  <si>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</si>
  <si>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</si>
  <si>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</si>
  <si>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</si>
  <si>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</si>
  <si>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</si>
  <si>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</si>
  <si>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</si>
  <si>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</si>
  <si>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</si>
  <si>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</si>
  <si>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</si>
  <si>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</si>
  <si>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</si>
  <si>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</si>
  <si>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</si>
  <si>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</si>
  <si>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</si>
  <si>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</si>
  <si>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</si>
  <si>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</si>
  <si>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</si>
  <si>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</si>
  <si>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</si>
  <si>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</si>
  <si>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</si>
  <si>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</si>
  <si>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</si>
  <si>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</si>
  <si>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</si>
  <si>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</si>
  <si>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</si>
  <si>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</si>
  <si>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</si>
  <si>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</si>
  <si>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</si>
  <si>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</si>
  <si>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</si>
  <si>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</si>
  <si>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</si>
  <si>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</si>
  <si>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</si>
  <si>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</si>
  <si>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</si>
  <si>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</si>
  <si>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</si>
  <si>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</si>
  <si>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</si>
  <si>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</si>
  <si>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</si>
  <si>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</si>
  <si>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</si>
  <si>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</si>
  <si>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</si>
  <si>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</si>
  <si>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</si>
  <si>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</si>
  <si>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</si>
  <si>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</si>
  <si>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</si>
  <si>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</si>
  <si>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</si>
  <si>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</si>
  <si>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</si>
  <si>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</si>
  <si>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</si>
  <si>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</si>
  <si>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</si>
  <si>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</si>
  <si>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</si>
  <si>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</si>
  <si>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</si>
  <si>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</si>
  <si>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</si>
  <si>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</si>
  <si>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</si>
  <si>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</si>
  <si>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</si>
  <si>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</si>
  <si>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</si>
  <si>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</si>
  <si>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</si>
  <si>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</si>
  <si>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</si>
  <si>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</si>
  <si>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</si>
  <si>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</si>
  <si>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</si>
  <si>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</si>
  <si>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</si>
  <si>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</si>
  <si>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</si>
  <si>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</si>
  <si>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</si>
  <si>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</si>
  <si>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</si>
  <si>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</si>
  <si>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</si>
  <si>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</si>
  <si>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</si>
  <si>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</si>
  <si>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</si>
  <si>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</si>
  <si>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</si>
  <si>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</si>
  <si>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</si>
  <si>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</si>
  <si>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</si>
  <si>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</si>
  <si>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</si>
  <si>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</si>
  <si>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</si>
  <si>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</si>
  <si>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</si>
  <si>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</si>
  <si>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</si>
  <si>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</si>
  <si>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</si>
  <si>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</si>
  <si>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</si>
  <si>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</si>
  <si>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</si>
  <si>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</si>
  <si>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</si>
  <si>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</si>
  <si>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</si>
  <si>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</si>
  <si>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</si>
  <si>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</si>
  <si>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</si>
  <si>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</si>
  <si>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</si>
  <si>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</si>
  <si>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</si>
  <si>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</si>
  <si>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</si>
  <si>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</si>
  <si>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</si>
  <si>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</si>
  <si>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</si>
  <si>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</si>
  <si>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</si>
  <si>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</si>
  <si>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</si>
  <si>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</si>
  <si>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</si>
  <si>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</si>
  <si>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</si>
  <si>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</si>
  <si>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</si>
  <si>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</si>
  <si>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</si>
  <si>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</si>
  <si>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</si>
  <si>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</si>
  <si>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</si>
  <si>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</si>
  <si>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</si>
  <si>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</si>
  <si>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</si>
  <si>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</si>
  <si>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</si>
  <si>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</si>
  <si>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</si>
  <si>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</si>
  <si>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</si>
  <si>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</si>
  <si>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</si>
  <si>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</si>
  <si>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</si>
  <si>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</si>
  <si>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</si>
  <si>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</si>
  <si>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</si>
  <si>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</si>
  <si>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</si>
  <si>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</si>
  <si>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</si>
  <si>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</si>
  <si>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</si>
  <si>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</si>
  <si>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</si>
  <si>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</si>
  <si>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</si>
  <si>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</si>
  <si>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</si>
  <si>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</si>
  <si>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</si>
  <si>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</si>
  <si>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</si>
  <si>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</si>
  <si>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</si>
  <si>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</si>
  <si>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</si>
  <si>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</si>
  <si>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</si>
  <si>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</si>
  <si>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</si>
  <si>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</si>
  <si>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</si>
  <si>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</si>
  <si>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</si>
  <si>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</si>
  <si>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</si>
  <si>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</si>
  <si>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</si>
  <si>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</si>
  <si>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</si>
  <si>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</si>
  <si>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</si>
  <si>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</si>
  <si>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</si>
  <si>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</si>
  <si>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</si>
  <si>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</si>
  <si>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</si>
  <si>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</si>
  <si>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</si>
  <si>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</si>
  <si>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</si>
  <si>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</si>
  <si>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</si>
  <si>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</si>
  <si>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</si>
  <si>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</si>
  <si>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</si>
  <si>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</si>
  <si>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</si>
  <si>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</si>
  <si>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</si>
  <si>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</si>
  <si>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</si>
  <si>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</si>
  <si>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</si>
  <si>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</si>
  <si>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</si>
  <si>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</si>
  <si>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</si>
  <si>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</si>
  <si>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</si>
  <si>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</si>
  <si>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</si>
  <si>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</si>
  <si>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</si>
  <si>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</si>
  <si>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</si>
  <si>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</si>
  <si>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</si>
  <si>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</si>
  <si>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</si>
  <si>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</si>
  <si>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</si>
  <si>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</si>
  <si>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</si>
  <si>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</si>
  <si>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</si>
  <si>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</si>
  <si>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</si>
  <si>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</si>
  <si>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</si>
  <si>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</si>
  <si>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</si>
  <si>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</si>
  <si>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</si>
  <si>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</si>
  <si>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</si>
  <si>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</si>
  <si>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</si>
  <si>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</si>
  <si>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</si>
  <si>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</si>
  <si>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</si>
  <si>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</si>
  <si>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</si>
  <si>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</si>
  <si>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</si>
  <si>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</si>
  <si>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</si>
  <si>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</si>
  <si>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</si>
  <si>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</si>
  <si>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</si>
  <si>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</si>
  <si>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</si>
  <si>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</si>
  <si>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</si>
  <si>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</si>
  <si>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</si>
  <si>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</si>
  <si>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</si>
  <si>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</si>
  <si>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</si>
  <si>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</si>
  <si>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</si>
  <si>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</si>
  <si>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</si>
  <si>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</si>
  <si>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</si>
  <si>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</si>
  <si>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</si>
  <si>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</si>
  <si>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</si>
  <si>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</si>
  <si>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</si>
  <si>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</si>
  <si>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</si>
  <si>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</si>
  <si>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</si>
  <si>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</si>
  <si>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</si>
  <si>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</si>
  <si>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</si>
  <si>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</si>
  <si>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</si>
  <si>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</si>
  <si>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</si>
  <si>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</si>
  <si>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</si>
  <si>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</si>
  <si>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</si>
  <si>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</si>
  <si>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</si>
  <si>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</si>
  <si>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</si>
  <si>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</si>
  <si>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</si>
  <si>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</si>
  <si>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</si>
  <si>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</si>
  <si>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</si>
  <si>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</si>
  <si>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</si>
  <si>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</si>
  <si>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</si>
  <si>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</si>
  <si>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</si>
  <si>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</si>
  <si>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</si>
  <si>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</si>
  <si>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</si>
  <si>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</si>
  <si>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</si>
  <si>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</si>
  <si>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</si>
  <si>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</si>
  <si>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</si>
  <si>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</si>
  <si>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</si>
  <si>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</si>
  <si>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</si>
  <si>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</si>
  <si>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</si>
  <si>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</si>
  <si>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</si>
  <si>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</si>
  <si>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</si>
  <si>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</si>
  <si>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</si>
  <si>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</si>
  <si>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</si>
  <si>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</si>
  <si>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</si>
  <si>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</si>
  <si>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</si>
  <si>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</si>
  <si>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</si>
  <si>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</si>
  <si>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</si>
  <si>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</si>
  <si>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</si>
  <si>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</si>
  <si>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</si>
  <si>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</si>
  <si>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</si>
  <si>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</si>
  <si>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</si>
  <si>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</si>
  <si>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</si>
  <si>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</si>
  <si>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</si>
  <si>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</si>
  <si>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</si>
  <si>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</si>
  <si>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</si>
  <si>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</si>
  <si>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</si>
  <si>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</si>
  <si>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</si>
  <si>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</si>
  <si>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</si>
  <si>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</si>
  <si>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</si>
  <si>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</si>
  <si>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</si>
  <si>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</si>
  <si>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</si>
  <si>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</si>
  <si>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</si>
  <si>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</si>
  <si>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</si>
  <si>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</si>
  <si>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</si>
  <si>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</si>
  <si>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</si>
  <si>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</si>
  <si>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</si>
  <si>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</si>
  <si>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</si>
  <si>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</si>
  <si>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</si>
  <si>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</si>
  <si>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</si>
  <si>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</si>
  <si>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</si>
  <si>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</si>
  <si>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</si>
  <si>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</si>
  <si>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</si>
  <si>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</si>
  <si>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</si>
  <si>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</si>
  <si>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</si>
  <si>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</si>
  <si>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</si>
  <si>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</si>
  <si>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</si>
  <si>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</si>
  <si>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</si>
  <si>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</si>
  <si>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</si>
  <si>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</si>
  <si>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</si>
  <si>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</si>
  <si>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</si>
  <si>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</si>
  <si>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</si>
  <si>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</si>
  <si>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</si>
  <si>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</si>
  <si>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</si>
  <si>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</si>
  <si>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</si>
  <si>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</si>
  <si>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</si>
  <si>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</si>
  <si>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</si>
  <si>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</si>
  <si>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</si>
  <si>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</si>
  <si>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</si>
  <si>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</si>
  <si>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</si>
  <si>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</si>
  <si>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</si>
  <si>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</si>
  <si>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</si>
  <si>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</si>
  <si>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</si>
  <si>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</si>
  <si>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</si>
  <si>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</si>
  <si>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</si>
  <si>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</si>
  <si>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</si>
  <si>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</si>
  <si>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</si>
  <si>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</si>
  <si>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</si>
  <si>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</si>
  <si>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</si>
  <si>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</si>
  <si>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</si>
  <si>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</si>
  <si>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</si>
  <si>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</si>
  <si>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</si>
  <si>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</si>
  <si>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</si>
  <si>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</si>
  <si>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</si>
  <si>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</si>
  <si>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</si>
  <si>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</si>
  <si>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</si>
  <si>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</si>
  <si>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</si>
  <si>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</si>
  <si>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</si>
  <si>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</si>
  <si>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</si>
  <si>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</si>
  <si>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</si>
  <si>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</si>
  <si>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</si>
  <si>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</si>
  <si>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</si>
  <si>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</si>
  <si>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</si>
  <si>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</si>
  <si>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</si>
  <si>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</si>
  <si>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</si>
  <si>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</si>
  <si>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</si>
  <si>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</si>
  <si>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</si>
  <si>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</si>
  <si>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</si>
  <si>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</si>
  <si>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</si>
  <si>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</si>
  <si>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</si>
  <si>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</si>
  <si>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</si>
  <si>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</si>
  <si>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</si>
  <si>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</si>
  <si>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</si>
  <si>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</si>
  <si>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</si>
  <si>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</si>
  <si>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</si>
  <si>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</si>
  <si>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</si>
  <si>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</si>
  <si>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</si>
  <si>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</si>
  <si>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</si>
  <si>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</si>
  <si>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</si>
  <si>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</si>
  <si>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</si>
  <si>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</si>
  <si>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</si>
  <si>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</si>
  <si>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</si>
  <si>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</si>
  <si>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</si>
  <si>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</si>
  <si>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</si>
  <si>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</si>
  <si>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</si>
  <si>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</si>
  <si>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</si>
  <si>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</si>
  <si>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</si>
  <si>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</si>
  <si>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</si>
  <si>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</si>
  <si>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</si>
  <si>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</si>
  <si>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</si>
  <si>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</si>
  <si>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</si>
  <si>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</si>
  <si>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</si>
  <si>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</si>
  <si>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</si>
  <si>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</si>
  <si>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</si>
  <si>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</si>
  <si>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</si>
  <si>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</si>
  <si>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</si>
  <si>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</si>
  <si>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</si>
  <si>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</si>
  <si>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</si>
  <si>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</si>
  <si>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</si>
  <si>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</si>
  <si>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</si>
  <si>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</si>
  <si>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</si>
  <si>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</si>
  <si>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</si>
  <si>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</si>
  <si>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</si>
  <si>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</si>
  <si>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</si>
  <si>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</si>
  <si>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</si>
  <si>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</si>
  <si>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</si>
  <si>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</si>
  <si>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</si>
  <si>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</si>
  <si>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</si>
  <si>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</si>
  <si>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</si>
  <si>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</si>
  <si>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</si>
  <si>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</si>
  <si>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</si>
  <si>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</si>
  <si>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</si>
  <si>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</si>
  <si>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</si>
  <si>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</si>
  <si>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</si>
  <si>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</si>
  <si>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</si>
  <si>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</si>
  <si>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</si>
  <si>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</si>
  <si>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</si>
  <si>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</si>
  <si>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</si>
  <si>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</si>
  <si>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</si>
  <si>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</si>
  <si>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</si>
  <si>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</si>
  <si>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</si>
  <si>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</si>
  <si>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</si>
  <si>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</si>
  <si>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</si>
  <si>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</si>
  <si>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</si>
  <si>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</si>
  <si>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</si>
  <si>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</si>
  <si>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</si>
  <si>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</si>
  <si>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</si>
  <si>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</si>
  <si>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</si>
  <si>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</si>
  <si>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</si>
  <si>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</si>
  <si>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</si>
  <si>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</si>
  <si>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</si>
  <si>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</si>
  <si>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</si>
  <si>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</si>
  <si>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</si>
  <si>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</si>
  <si>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</si>
  <si>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</si>
  <si>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</si>
  <si>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</si>
  <si>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</si>
  <si>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</si>
  <si>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</si>
  <si>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</si>
  <si>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</si>
  <si>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</si>
  <si>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</si>
  <si>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</si>
  <si>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</si>
  <si>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</si>
  <si>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</si>
  <si>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</si>
  <si>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</si>
  <si>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</si>
  <si>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</si>
  <si>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</si>
  <si>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</si>
  <si>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</si>
  <si>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</si>
  <si>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</si>
  <si>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</si>
  <si>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</si>
  <si>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</si>
  <si>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</si>
  <si>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</si>
  <si>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</si>
  <si>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</si>
  <si>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</si>
  <si>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</si>
  <si>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</si>
  <si>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</si>
  <si>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</si>
  <si>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</si>
  <si>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</si>
  <si>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</si>
  <si>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</si>
  <si>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</si>
  <si>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</si>
  <si>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</si>
  <si>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</si>
  <si>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</si>
  <si>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</si>
  <si>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</si>
  <si>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</si>
  <si>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</si>
  <si>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</si>
  <si>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</si>
  <si>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</si>
  <si>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</si>
  <si>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</si>
  <si>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</si>
  <si>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</si>
  <si>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</si>
  <si>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</si>
  <si>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</si>
  <si>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</si>
  <si>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</si>
  <si>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</si>
  <si>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</si>
  <si>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</si>
  <si>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</si>
  <si>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</si>
  <si>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</si>
  <si>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</si>
  <si>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</si>
  <si>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</si>
  <si>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</si>
  <si>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</si>
  <si>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</si>
  <si>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</si>
  <si>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</si>
  <si>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</si>
  <si>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</si>
  <si>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</si>
  <si>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</si>
  <si>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</si>
  <si>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</si>
  <si>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</si>
  <si>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</si>
  <si>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</si>
  <si>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</si>
  <si>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</si>
  <si>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</si>
  <si>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</si>
  <si>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</si>
  <si>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</si>
  <si>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</si>
  <si>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</si>
  <si>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</si>
  <si>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</si>
  <si>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</si>
  <si>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</si>
  <si>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</si>
  <si>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</si>
  <si>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</si>
  <si>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</si>
  <si>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</si>
  <si>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</si>
  <si>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</si>
  <si>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</si>
  <si>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</si>
  <si>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</si>
  <si>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</si>
  <si>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</si>
  <si>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</si>
  <si>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</si>
  <si>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</si>
  <si>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</si>
  <si>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</si>
  <si>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</si>
  <si>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</si>
  <si>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</si>
  <si>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</si>
  <si>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</si>
  <si>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</si>
  <si>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</si>
  <si>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</si>
  <si>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</si>
  <si>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</si>
  <si>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</si>
  <si>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</si>
  <si>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</si>
  <si>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</si>
  <si>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</si>
  <si>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</si>
  <si>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</si>
  <si>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</si>
  <si>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</si>
  <si>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</si>
  <si>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</si>
  <si>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</si>
  <si>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</si>
  <si>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</si>
  <si>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</si>
  <si>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</si>
  <si>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</si>
  <si>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</si>
  <si>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</si>
  <si>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</si>
  <si>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</si>
  <si>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</si>
  <si>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</si>
  <si>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</si>
  <si>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</si>
  <si>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</si>
  <si>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</si>
  <si>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</si>
  <si>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</si>
  <si>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</si>
  <si>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</si>
  <si>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</si>
  <si>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</si>
  <si>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</si>
  <si>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</si>
  <si>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</si>
  <si>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</si>
  <si>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</si>
  <si>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</si>
  <si>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</si>
  <si>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</si>
  <si>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</si>
  <si>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</si>
  <si>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</si>
  <si>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</si>
  <si>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</si>
  <si>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</si>
  <si>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</si>
  <si>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</si>
  <si>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</si>
  <si>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</si>
  <si>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</si>
  <si>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</si>
  <si>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</si>
  <si>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</si>
  <si>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</si>
  <si>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</si>
  <si>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</si>
  <si>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</si>
  <si>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</si>
  <si>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</si>
  <si>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</si>
  <si>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</si>
  <si>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</si>
  <si>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</si>
  <si>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</si>
  <si>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</si>
  <si>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</si>
  <si>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</si>
  <si>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</si>
  <si>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</si>
  <si>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</si>
  <si>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</si>
  <si>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</si>
  <si>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</si>
  <si>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</si>
  <si>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</si>
  <si>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</si>
  <si>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</si>
  <si>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</si>
  <si>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</si>
  <si>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</si>
  <si>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</si>
  <si>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</si>
  <si>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</si>
  <si>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</si>
  <si>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</si>
  <si>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</si>
  <si>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</si>
  <si>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</si>
  <si>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</si>
  <si>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</si>
  <si>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</si>
  <si>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</si>
  <si>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</si>
  <si>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</si>
  <si>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</si>
  <si>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</si>
  <si>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</si>
  <si>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</si>
  <si>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</si>
  <si>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</si>
  <si>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</si>
  <si>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</si>
  <si>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</si>
  <si>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</si>
  <si>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</si>
  <si>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</si>
  <si>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</si>
  <si>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</si>
  <si>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</si>
  <si>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</si>
  <si>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</si>
  <si>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</si>
  <si>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</si>
  <si>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</si>
  <si>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</si>
  <si>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</si>
  <si>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</si>
  <si>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</si>
  <si>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</si>
  <si>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</si>
  <si>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</si>
  <si>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</si>
  <si>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</si>
  <si>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</si>
  <si>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</si>
  <si>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</si>
  <si>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</si>
  <si>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</si>
  <si>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</si>
  <si>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</si>
  <si>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</si>
  <si>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</si>
  <si>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</si>
  <si>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</si>
  <si>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</si>
  <si>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</si>
  <si>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</si>
  <si>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</si>
  <si>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</si>
  <si>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</si>
  <si>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</si>
  <si>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</si>
  <si>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</si>
  <si>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</si>
  <si>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</si>
  <si>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</si>
  <si>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</si>
  <si>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</si>
  <si>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</si>
  <si>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</si>
  <si>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</si>
  <si>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</si>
  <si>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</si>
  <si>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</si>
  <si>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</si>
  <si>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</si>
  <si>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</si>
  <si>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</si>
  <si>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</si>
  <si>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</si>
  <si>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</si>
  <si>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</si>
  <si>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</si>
  <si>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</si>
  <si>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</si>
  <si>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</si>
  <si>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</si>
  <si>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</si>
  <si>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</si>
  <si>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</si>
  <si>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</si>
  <si>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</si>
  <si>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</si>
  <si>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</si>
  <si>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</si>
  <si>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</si>
  <si>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</si>
  <si>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</si>
  <si>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</si>
  <si>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</si>
  <si>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</si>
  <si>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</si>
  <si>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</si>
  <si>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</si>
  <si>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</si>
  <si>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</si>
  <si>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</si>
  <si>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</si>
  <si>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</si>
  <si>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</si>
  <si>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</si>
  <si>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</si>
  <si>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</si>
  <si>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</si>
  <si>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</si>
  <si>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</si>
  <si>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</si>
  <si>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</si>
  <si>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</si>
  <si>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</si>
  <si>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</si>
  <si>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</si>
  <si>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</si>
  <si>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</si>
  <si>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</si>
  <si>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</si>
  <si>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</si>
  <si>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</si>
  <si>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</si>
  <si>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</si>
  <si>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</si>
  <si>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</si>
  <si>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</si>
  <si>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</si>
  <si>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</si>
  <si>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</si>
  <si>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</si>
  <si>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</si>
  <si>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</si>
  <si>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</si>
  <si>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</si>
  <si>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</si>
  <si>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</si>
  <si>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</si>
  <si>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</si>
  <si>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</si>
  <si>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</si>
  <si>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</si>
  <si>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</si>
  <si>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</si>
  <si>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</si>
  <si>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</si>
  <si>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</si>
  <si>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</si>
  <si>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</si>
  <si>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</si>
  <si>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</si>
  <si>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</si>
  <si>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</si>
  <si>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</si>
  <si>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</si>
  <si>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</si>
  <si>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</si>
  <si>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</si>
  <si>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</si>
  <si>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</si>
  <si>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</si>
  <si>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</si>
  <si>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</si>
  <si>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</si>
  <si>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</si>
  <si>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</si>
  <si>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</si>
  <si>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</si>
  <si>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</si>
  <si>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</si>
  <si>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</si>
  <si>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</si>
  <si>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</si>
  <si>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</si>
  <si>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</si>
  <si>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</si>
  <si>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</si>
  <si>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</si>
  <si>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</si>
  <si>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</si>
  <si>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</si>
  <si>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</si>
  <si>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</si>
  <si>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</si>
  <si>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</si>
  <si>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</si>
  <si>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</si>
  <si>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</si>
  <si>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</si>
  <si>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</si>
  <si>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</si>
  <si>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</si>
  <si>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</si>
  <si>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</si>
  <si>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</si>
  <si>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</si>
  <si>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</si>
  <si>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</si>
  <si>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</si>
  <si>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</si>
  <si>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</si>
  <si>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</si>
  <si>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</si>
  <si>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</si>
  <si>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</si>
  <si>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</si>
  <si>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</si>
  <si>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</si>
  <si>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</si>
  <si>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</si>
  <si>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</si>
  <si>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</si>
  <si>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</si>
  <si>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</si>
  <si>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</si>
  <si>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</si>
  <si>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</si>
  <si>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</si>
  <si>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</si>
  <si>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</si>
  <si>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</si>
  <si>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</si>
  <si>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</si>
  <si>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</si>
  <si>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</si>
  <si>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</si>
  <si>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</si>
  <si>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</si>
  <si>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</si>
  <si>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</si>
  <si>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</si>
  <si>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</si>
  <si>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</si>
  <si>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</si>
  <si>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</si>
  <si>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</si>
  <si>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</si>
  <si>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</si>
  <si>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</si>
  <si>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</si>
  <si>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</si>
  <si>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</si>
  <si>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</si>
  <si>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</si>
  <si>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</si>
  <si>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</si>
  <si>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</si>
  <si>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</si>
  <si>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</si>
  <si>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</si>
  <si>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</si>
  <si>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</si>
  <si>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</si>
  <si>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</si>
  <si>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</si>
  <si>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</si>
  <si>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</si>
  <si>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</si>
  <si>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</si>
  <si>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</si>
  <si>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</si>
  <si>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</si>
  <si>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</si>
  <si>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</si>
  <si>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</si>
  <si>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</si>
  <si>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</si>
  <si>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</si>
  <si>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</si>
  <si>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</si>
  <si>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</si>
  <si>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</si>
  <si>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</si>
  <si>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</si>
  <si>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</si>
  <si>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</si>
  <si>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</si>
  <si>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</si>
  <si>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</si>
  <si>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</si>
  <si>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</si>
  <si>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</si>
  <si>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</si>
  <si>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</si>
  <si>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</si>
  <si>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</si>
  <si>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</si>
  <si>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</si>
  <si>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</si>
  <si>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</si>
  <si>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</si>
  <si>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</si>
  <si>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</si>
  <si>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</si>
  <si>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</si>
  <si>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</si>
  <si>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</si>
  <si>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</si>
  <si>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</si>
  <si>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</si>
  <si>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</si>
  <si>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</si>
  <si>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</si>
  <si>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</si>
  <si>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</si>
  <si>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</si>
  <si>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</si>
  <si>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</si>
  <si>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</si>
  <si>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</si>
  <si>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</si>
  <si>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</si>
  <si>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</si>
  <si>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</si>
  <si>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</si>
  <si>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</si>
  <si>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</si>
  <si>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</si>
  <si>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</si>
  <si>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</si>
  <si>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</si>
  <si>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</si>
  <si>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</si>
  <si>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</si>
  <si>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</si>
  <si>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</si>
  <si>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</si>
  <si>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</si>
  <si>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</si>
  <si>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</si>
  <si>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</si>
  <si>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</si>
  <si>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</si>
  <si>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</si>
  <si>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</si>
  <si>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</si>
  <si>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</si>
  <si>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</si>
  <si>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</si>
  <si>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</si>
  <si>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</si>
  <si>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</si>
  <si>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</si>
  <si>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</si>
  <si>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</si>
  <si>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</si>
  <si>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</si>
  <si>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</si>
  <si>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</si>
  <si>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</si>
  <si>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</si>
  <si>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</si>
  <si>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</si>
  <si>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</si>
  <si>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</si>
  <si>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</si>
  <si>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</si>
  <si>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</si>
  <si>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</si>
  <si>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</si>
  <si>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</si>
  <si>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</si>
  <si>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</si>
  <si>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</si>
  <si>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</si>
  <si>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</si>
  <si>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</si>
  <si>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</si>
  <si>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</si>
  <si>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</si>
  <si>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</si>
  <si>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</si>
  <si>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</si>
  <si>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</si>
  <si>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</si>
  <si>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</si>
  <si>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</si>
  <si>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</si>
  <si>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</si>
  <si>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</si>
  <si>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</si>
  <si>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</si>
  <si>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</si>
  <si>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</si>
  <si>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</si>
  <si>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</si>
  <si>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</si>
  <si>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</si>
  <si>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</si>
  <si>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</si>
  <si>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</si>
  <si>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</si>
  <si>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</si>
  <si>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</si>
  <si>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</si>
  <si>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</si>
  <si>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</si>
  <si>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</si>
  <si>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</si>
  <si>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</si>
  <si>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</si>
  <si>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</si>
  <si>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</si>
  <si>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</si>
  <si>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</si>
  <si>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</si>
  <si>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</si>
  <si>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</si>
  <si>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</si>
  <si>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</si>
  <si>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</si>
  <si>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</si>
  <si>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</si>
  <si>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</si>
  <si>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</si>
  <si>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</si>
  <si>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</si>
  <si>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</si>
  <si>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</si>
  <si>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</si>
  <si>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</si>
  <si>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</si>
  <si>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</si>
  <si>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</si>
  <si>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</si>
  <si>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</si>
  <si>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</si>
  <si>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</si>
  <si>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</si>
  <si>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</si>
  <si>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</si>
  <si>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</si>
  <si>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</si>
  <si>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</si>
  <si>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</si>
  <si>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</si>
  <si>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</si>
  <si>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</si>
  <si>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</si>
  <si>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</si>
  <si>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</si>
  <si>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</si>
  <si>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</si>
  <si>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</si>
  <si>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</si>
  <si>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</si>
  <si>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</si>
  <si>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</si>
  <si>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</si>
  <si>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</si>
  <si>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</si>
  <si>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</si>
  <si>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</si>
  <si>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</si>
  <si>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</si>
  <si>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</si>
  <si>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</si>
  <si>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</si>
  <si>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</si>
  <si>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</si>
  <si>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</si>
  <si>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</si>
  <si>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</si>
  <si>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</si>
  <si>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</si>
  <si>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</si>
  <si>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</si>
  <si>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</si>
  <si>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</si>
  <si>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</si>
  <si>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</si>
  <si>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</si>
  <si>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</si>
  <si>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</si>
  <si>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</si>
  <si>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</si>
  <si>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</si>
  <si>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</si>
  <si>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</si>
  <si>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</si>
  <si>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</si>
  <si>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</si>
  <si>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</si>
  <si>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</si>
  <si>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</si>
  <si>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</si>
  <si>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</si>
  <si>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</si>
  <si>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</si>
  <si>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</si>
  <si>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</si>
  <si>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</si>
  <si>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</si>
  <si>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</si>
  <si>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</si>
  <si>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</si>
  <si>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</si>
  <si>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</si>
  <si>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</si>
  <si>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</si>
  <si>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</si>
  <si>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</si>
  <si>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</si>
  <si>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</si>
  <si>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</si>
  <si>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</si>
  <si>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</si>
  <si>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</si>
  <si>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</si>
  <si>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</si>
  <si>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</si>
  <si>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</si>
  <si>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</si>
  <si>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</si>
  <si>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</si>
  <si>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</si>
  <si>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</si>
  <si>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</si>
  <si>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</si>
  <si>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</si>
  <si>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</si>
  <si>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</si>
  <si>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</si>
  <si>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</si>
  <si>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</si>
  <si>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</si>
  <si>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</si>
  <si>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</si>
  <si>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</si>
  <si>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</si>
  <si>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</si>
  <si>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</si>
  <si>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</si>
  <si>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</si>
  <si>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</si>
  <si>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</si>
  <si>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</si>
  <si>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</si>
  <si>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</si>
  <si>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</si>
  <si>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</si>
  <si>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</si>
  <si>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</si>
  <si>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</si>
  <si>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</si>
  <si>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</si>
  <si>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</si>
  <si>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</si>
  <si>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</si>
  <si>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</si>
  <si>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</si>
  <si>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</si>
  <si>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</si>
  <si>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</si>
  <si>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</si>
  <si>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</si>
  <si>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</si>
  <si>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</si>
  <si>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</si>
  <si>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</si>
  <si>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</si>
  <si>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</si>
  <si>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</si>
  <si>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</si>
  <si>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</si>
  <si>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</si>
  <si>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</si>
  <si>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</si>
  <si>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</si>
  <si>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</si>
  <si>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</si>
  <si>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</si>
  <si>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</si>
  <si>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</si>
  <si>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</si>
  <si>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</si>
  <si>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</si>
  <si>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</si>
  <si>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</si>
  <si>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</si>
  <si>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</si>
  <si>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</si>
  <si>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</si>
  <si>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</si>
  <si>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</si>
  <si>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</si>
  <si>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</si>
  <si>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</si>
  <si>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</si>
  <si>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</si>
  <si>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Community Revitalization and Development Corporation</t>
  </si>
  <si>
    <t>Cussick Apartments</t>
  </si>
  <si>
    <t>W. East Avenue at Cussick Avenue</t>
  </si>
  <si>
    <t>042-450-022</t>
  </si>
  <si>
    <t>Chico</t>
  </si>
  <si>
    <t>City of Chico</t>
  </si>
  <si>
    <t>MarkOrme</t>
  </si>
  <si>
    <t>411 Main Street</t>
  </si>
  <si>
    <t>Chico, CA</t>
  </si>
  <si>
    <t>cmweb@chicoca.gov</t>
  </si>
  <si>
    <t>$500M</t>
  </si>
  <si>
    <t>40%/60%</t>
  </si>
  <si>
    <t>635 Parkview Avenue</t>
  </si>
  <si>
    <t>Redding</t>
  </si>
  <si>
    <t>CA</t>
  </si>
  <si>
    <t>David Rutledge</t>
  </si>
  <si>
    <t>David@crdc-housing.org</t>
  </si>
  <si>
    <t>Johnson &amp; Johnson Investments, LLC</t>
  </si>
  <si>
    <t>Administrative GP</t>
  </si>
  <si>
    <t>5251 Ericson Way</t>
  </si>
  <si>
    <t>Arcata</t>
  </si>
  <si>
    <t>Chris Dart</t>
  </si>
  <si>
    <t>cdart@danco-group.com</t>
  </si>
  <si>
    <t>Danco Communities</t>
  </si>
  <si>
    <t>Hailey Del Grande</t>
  </si>
  <si>
    <t>hdelgrande@danco-group.com</t>
  </si>
  <si>
    <t>Developer</t>
  </si>
  <si>
    <t>Arcata, CA 95521</t>
  </si>
  <si>
    <t>DG Group Architecture</t>
  </si>
  <si>
    <t>430 E. State Street, Suite 100</t>
  </si>
  <si>
    <t>Eagle, ID 93616</t>
  </si>
  <si>
    <t>Doug Gibson</t>
  </si>
  <si>
    <t>208-908-4871</t>
  </si>
  <si>
    <t>douglasg@tpchousing.com</t>
  </si>
  <si>
    <t>Odu &amp; Associates</t>
  </si>
  <si>
    <t>31805 Temecula Parkway #720</t>
  </si>
  <si>
    <t>Temecula, CA 92592</t>
  </si>
  <si>
    <t>Nkechi Odu</t>
  </si>
  <si>
    <t>nkechi@odulaw.com</t>
  </si>
  <si>
    <t>Danco Builders Northwest</t>
  </si>
  <si>
    <t>707-822-9000</t>
  </si>
  <si>
    <t>707-822-9596</t>
  </si>
  <si>
    <t>Redwood Energy</t>
  </si>
  <si>
    <t>1887 Q Street</t>
  </si>
  <si>
    <t>Sean Armstrong</t>
  </si>
  <si>
    <t>(707) 822-1857</t>
  </si>
  <si>
    <t>sarmstrongpm@gmail.com</t>
  </si>
  <si>
    <t>Raymond James</t>
  </si>
  <si>
    <t>880 Carillon Parkway</t>
  </si>
  <si>
    <t>St Petersburg, FL 37716</t>
  </si>
  <si>
    <t>Kevin Kilbane</t>
  </si>
  <si>
    <t>216-509-1342</t>
  </si>
  <si>
    <t>kevin.kilbane@raymondjames.com</t>
  </si>
  <si>
    <t>Raney Planning &amp; Management</t>
  </si>
  <si>
    <t>1501 Sports Drive</t>
  </si>
  <si>
    <t>Sacramento, CA 96834</t>
  </si>
  <si>
    <t>Stefanie Williams</t>
  </si>
  <si>
    <t>916-372-6100</t>
  </si>
  <si>
    <t>916-419-6108</t>
  </si>
  <si>
    <t>swilliams@laurinassociates.com</t>
  </si>
  <si>
    <t>CMFA</t>
  </si>
  <si>
    <t>2111 Palomar Airport Rd. Suite 320</t>
  </si>
  <si>
    <t>Carlsbad, CA 92011</t>
  </si>
  <si>
    <t>Anthony Stubbs</t>
  </si>
  <si>
    <t>760-930-1333</t>
  </si>
  <si>
    <t>760-683-3390</t>
  </si>
  <si>
    <t>astubbs@cmfa-ca.com</t>
  </si>
  <si>
    <t>Danco Property Management</t>
  </si>
  <si>
    <t>Blair Brown</t>
  </si>
  <si>
    <t>bbrown@danco-group.com</t>
  </si>
  <si>
    <t>East Avenue Properties, LLC</t>
  </si>
  <si>
    <t>Brian Bowen</t>
  </si>
  <si>
    <t>President</t>
  </si>
  <si>
    <t>414 Salem St., Chico, CA 95927</t>
  </si>
  <si>
    <t>Inner City Infill Site</t>
  </si>
  <si>
    <t>Vacant - Residential Land</t>
  </si>
  <si>
    <t>R2 with COS overlay, max 70 units/acre</t>
  </si>
  <si>
    <t>R2 with COS overlay, 25 units/acre</t>
  </si>
  <si>
    <t>Max 65'</t>
  </si>
  <si>
    <t>studio- 0.75, 1bed- 1, +2bed- 1.5</t>
  </si>
  <si>
    <t>HCD Butte County CDBG-DR</t>
  </si>
  <si>
    <t>HCD City of Chico CDBG-DR</t>
  </si>
  <si>
    <t>Developer Note</t>
  </si>
  <si>
    <t>Pacific Western Bank Tax Exempt Bonds</t>
  </si>
  <si>
    <t>Pacific Western Bank Taxable Bonds</t>
  </si>
  <si>
    <t>City of Chico - CDBG-DR Funds</t>
  </si>
  <si>
    <t>Raymond James Tax Credit Funds</t>
  </si>
  <si>
    <t>Butte County - CDBG-DR Funds</t>
  </si>
  <si>
    <t>Variable</t>
  </si>
  <si>
    <t>Fixed</t>
  </si>
  <si>
    <t>130 S. State College Blvd</t>
  </si>
  <si>
    <t>Brea, CA 92821</t>
  </si>
  <si>
    <t>Dan Bronfman</t>
  </si>
  <si>
    <t>925-386-0760</t>
  </si>
  <si>
    <t>Conventional</t>
  </si>
  <si>
    <t>25 County Center Dr, Suite 200</t>
  </si>
  <si>
    <t>Oroville, CA 95965</t>
  </si>
  <si>
    <t>Casey Hatcher</t>
  </si>
  <si>
    <t>Soft Loan</t>
  </si>
  <si>
    <t>St. Petersberg, FL</t>
  </si>
  <si>
    <t>Equity</t>
  </si>
  <si>
    <t>Pacific Western Bank Perm Loan</t>
  </si>
  <si>
    <t>Raymond James Solar Tax Credit Equity</t>
  </si>
  <si>
    <t>530-552-3336</t>
  </si>
  <si>
    <t>CUAC</t>
  </si>
  <si>
    <t>CDBG-DR</t>
  </si>
  <si>
    <t xml:space="preserve">Frontage Construction </t>
  </si>
  <si>
    <t>Borrower's Attorney</t>
  </si>
  <si>
    <t>Prevailing Wage Monitoring</t>
  </si>
  <si>
    <t xml:space="preserve">Danco Property Management </t>
  </si>
  <si>
    <t>City of Chico CDBG Funds</t>
  </si>
  <si>
    <t>County of Butte CDBG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</si>
</sst>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10"/>
      <color rgb="FF0000FF"/>
      <name val="Arial"/>
      <family val="2"/>
    </font>
    <font>
      <b/>
      <sz val="8"/>
      <color indexed="81"/>
      <name val="Tahoma"/>
      <family val="2"/>
    </font>
    <font>
      <sz val="8"/>
      <color indexed="81"/>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58">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8"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68">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12" fillId="5" borderId="3" xfId="569" applyFill="1"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8"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8"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64"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9" fillId="0" borderId="0" xfId="569" applyFont="1" applyAlignment="1">
      <alignment vertical="top"/>
    </xf>
    <xf numFmtId="0" fontId="13" fillId="0" borderId="0" xfId="244" applyAlignment="1"/>
    <xf numFmtId="0" fontId="12" fillId="5" borderId="0" xfId="569" applyFill="1" applyProtection="1">
      <protection locked="0"/>
    </xf>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9"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8"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9"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2" xfId="4496" applyFont="1" applyBorder="1" applyAlignment="1">
      <alignment horizontal="right" indent="1"/>
    </xf>
    <xf numFmtId="0" fontId="94" fillId="0" borderId="82" xfId="4496" quotePrefix="1" applyFont="1" applyBorder="1" applyAlignment="1">
      <alignment horizontal="right" indent="1"/>
    </xf>
    <xf numFmtId="0" fontId="94" fillId="0" borderId="74" xfId="4496" applyFont="1" applyBorder="1" applyAlignment="1">
      <alignment horizontal="right" indent="1"/>
    </xf>
    <xf numFmtId="182" fontId="94" fillId="0" borderId="76" xfId="4496" applyNumberFormat="1" applyFont="1" applyBorder="1"/>
    <xf numFmtId="182" fontId="94" fillId="0" borderId="93" xfId="4496" applyNumberFormat="1" applyFont="1" applyBorder="1"/>
    <xf numFmtId="182" fontId="94" fillId="0" borderId="95"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5"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49" fillId="5" borderId="11" xfId="0" applyFont="1" applyFill="1" applyBorder="1" applyAlignment="1" applyProtection="1">
      <alignment horizontal="right" vertical="top" wrapText="1"/>
      <protection locked="0"/>
    </xf>
    <xf numFmtId="181" fontId="170" fillId="43" borderId="11" xfId="0" applyNumberFormat="1" applyFont="1" applyFill="1" applyBorder="1" applyProtection="1">
      <protection locked="0"/>
    </xf>
    <xf numFmtId="181" fontId="118" fillId="43" borderId="11" xfId="0" applyNumberFormat="1" applyFont="1" applyFill="1" applyBorder="1" applyProtection="1">
      <protection locked="0"/>
    </xf>
    <xf numFmtId="181" fontId="114" fillId="43" borderId="11" xfId="0" applyNumberFormat="1" applyFont="1" applyFill="1" applyBorder="1" applyProtection="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0" fillId="0" borderId="6" xfId="0" applyBorder="1" applyAlignment="1">
      <alignment horizontal="left"/>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21" fillId="45" borderId="11" xfId="0" applyFont="1" applyFill="1" applyBorder="1" applyAlignment="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0" fillId="5" borderId="6" xfId="0" applyFill="1" applyBorder="1" applyAlignment="1" applyProtection="1">
      <alignment horizontal="center"/>
      <protection locked="0"/>
    </xf>
    <xf numFmtId="0" fontId="21" fillId="0" borderId="11"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lignment horizontal="center" wrapText="1"/>
    </xf>
    <xf numFmtId="172" fontId="19" fillId="0" borderId="7" xfId="0" applyNumberFormat="1" applyFont="1" applyBorder="1" applyAlignment="1">
      <alignment horizontal="center" wrapText="1"/>
    </xf>
    <xf numFmtId="172" fontId="19" fillId="0" borderId="0" xfId="0" applyNumberFormat="1" applyFont="1" applyAlignment="1">
      <alignment horizontal="center" wrapText="1"/>
    </xf>
    <xf numFmtId="172" fontId="19" fillId="0" borderId="12" xfId="0" applyNumberFormat="1" applyFont="1" applyBorder="1" applyAlignment="1">
      <alignment horizontal="center" wrapText="1"/>
    </xf>
    <xf numFmtId="172" fontId="19" fillId="0" borderId="6" xfId="0" applyNumberFormat="1" applyFont="1" applyBorder="1" applyAlignment="1">
      <alignment horizontal="center" wrapText="1"/>
    </xf>
    <xf numFmtId="172" fontId="19"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Border="1" applyAlignment="1">
      <alignment horizontal="center"/>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39" fillId="0" borderId="9" xfId="543" applyFont="1" applyBorder="1" applyAlignment="1">
      <alignment horizontal="center" vertical="center" wrapText="1"/>
    </xf>
    <xf numFmtId="0" fontId="39" fillId="0" borderId="6" xfId="543" applyFont="1" applyBorder="1" applyAlignment="1">
      <alignment horizontal="center" vertical="center" wrapText="1"/>
    </xf>
    <xf numFmtId="0" fontId="39" fillId="0" borderId="10" xfId="543" applyFont="1" applyBorder="1" applyAlignment="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21"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lignment horizontal="center"/>
    </xf>
    <xf numFmtId="9" fontId="164" fillId="44" borderId="0" xfId="0" applyNumberFormat="1" applyFont="1" applyFill="1" applyAlignment="1">
      <alignment horizontal="center"/>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45"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80" fontId="0" fillId="0" borderId="6" xfId="0" applyNumberFormat="1" applyBorder="1" applyAlignment="1">
      <alignment horizontal="center"/>
    </xf>
    <xf numFmtId="0" fontId="21" fillId="5" borderId="5"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lignment horizontal="center" wrapText="1"/>
    </xf>
    <xf numFmtId="0" fontId="50" fillId="0" borderId="2" xfId="0" applyFont="1" applyBorder="1" applyAlignment="1">
      <alignment horizontal="center" wrapText="1"/>
    </xf>
    <xf numFmtId="0" fontId="50" fillId="0" borderId="7" xfId="0" applyFont="1" applyBorder="1" applyAlignment="1">
      <alignment horizontal="center" wrapText="1"/>
    </xf>
    <xf numFmtId="0" fontId="50" fillId="0" borderId="8" xfId="0" applyFont="1" applyBorder="1" applyAlignment="1">
      <alignment horizontal="center" wrapText="1"/>
    </xf>
    <xf numFmtId="0" fontId="50" fillId="0" borderId="0" xfId="0" applyFont="1" applyAlignment="1">
      <alignment horizontal="center" wrapText="1"/>
    </xf>
    <xf numFmtId="0" fontId="50" fillId="0" borderId="12" xfId="0" applyFont="1" applyBorder="1" applyAlignment="1">
      <alignment horizontal="center" wrapText="1"/>
    </xf>
    <xf numFmtId="0" fontId="50" fillId="0" borderId="9" xfId="0" applyFont="1" applyBorder="1" applyAlignment="1">
      <alignment horizontal="center" wrapText="1"/>
    </xf>
    <xf numFmtId="0" fontId="50" fillId="0" borderId="6" xfId="0" applyFont="1" applyBorder="1" applyAlignment="1">
      <alignment horizontal="center" wrapText="1"/>
    </xf>
    <xf numFmtId="0" fontId="50"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2" fillId="0" borderId="1" xfId="0" applyFont="1" applyBorder="1" applyAlignment="1">
      <alignment horizontal="center" vertical="top"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6" fontId="0" fillId="5" borderId="4" xfId="0" applyNumberFormat="1" applyFill="1" applyBorder="1" applyAlignment="1" applyProtection="1">
      <alignment horizontal="left"/>
      <protection locked="0"/>
    </xf>
    <xf numFmtId="171" fontId="12" fillId="0" borderId="0" xfId="543" applyNumberFormat="1" applyAlignment="1">
      <alignment horizontal="center"/>
    </xf>
    <xf numFmtId="0" fontId="19"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8" fontId="0" fillId="0" borderId="11" xfId="0" applyNumberFormat="1" applyBorder="1" applyAlignment="1">
      <alignment horizontal="center"/>
    </xf>
    <xf numFmtId="3" fontId="40"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2" fillId="5" borderId="6" xfId="244"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9" fillId="0" borderId="8" xfId="0" applyFont="1" applyBorder="1" applyAlignment="1">
      <alignment horizontal="center"/>
    </xf>
    <xf numFmtId="0" fontId="19" fillId="0" borderId="12" xfId="0" applyFont="1" applyBorder="1" applyAlignment="1">
      <alignment horizontal="center"/>
    </xf>
    <xf numFmtId="0" fontId="19" fillId="0" borderId="9" xfId="0" applyFont="1" applyBorder="1" applyAlignment="1">
      <alignment horizontal="center"/>
    </xf>
    <xf numFmtId="0" fontId="19" fillId="0" borderId="11" xfId="0" applyFont="1" applyBorder="1" applyAlignment="1">
      <alignment horizontal="center" wrapText="1"/>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2" fillId="0" borderId="0" xfId="543" applyNumberFormat="1" applyAlignment="1">
      <alignment horizontal="center"/>
    </xf>
    <xf numFmtId="0" fontId="19" fillId="0" borderId="6" xfId="0" applyFont="1" applyBorder="1" applyAlignment="1">
      <alignment horizontal="center"/>
    </xf>
    <xf numFmtId="0" fontId="21" fillId="0" borderId="3" xfId="0" applyFont="1" applyBorder="1" applyAlignment="1">
      <alignment horizontal="left"/>
    </xf>
    <xf numFmtId="168" fontId="0" fillId="0" borderId="11" xfId="0" applyNumberFormat="1" applyBorder="1"/>
    <xf numFmtId="171" fontId="12" fillId="0" borderId="0" xfId="543" applyNumberFormat="1" applyAlignment="1">
      <alignment horizontal="righ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64" fillId="44" borderId="8" xfId="0" applyFont="1" applyFill="1" applyBorder="1" applyAlignment="1">
      <alignment horizontal="center" vertical="top" wrapText="1"/>
    </xf>
    <xf numFmtId="0" fontId="164"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168" fontId="12" fillId="5" borderId="11" xfId="0" applyNumberFormat="1" applyFont="1" applyFill="1" applyBorder="1" applyAlignment="1" applyProtection="1">
      <alignment horizontal="center"/>
      <protection locked="0"/>
    </xf>
    <xf numFmtId="0" fontId="19" fillId="0" borderId="0" xfId="0" applyFont="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Border="1" applyAlignment="1">
      <alignment horizontal="center"/>
    </xf>
    <xf numFmtId="0" fontId="19" fillId="0" borderId="4"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0" borderId="6" xfId="0" applyFont="1" applyBorder="1" applyAlignment="1">
      <alignment horizontal="left"/>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2" fillId="0" borderId="0" xfId="0" applyFont="1" applyAlignment="1" applyProtection="1">
      <alignment horizontal="left"/>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0" fontId="12" fillId="0" borderId="6" xfId="0" applyFont="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Border="1" applyAlignment="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top" wrapText="1"/>
    </xf>
    <xf numFmtId="0" fontId="21" fillId="5" borderId="9"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9"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5" xfId="0" applyFont="1" applyBorder="1" applyAlignment="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9" fillId="0" borderId="10" xfId="0" applyFont="1" applyBorder="1" applyAlignment="1">
      <alignment horizontal="center"/>
    </xf>
    <xf numFmtId="175" fontId="0" fillId="43" borderId="3" xfId="0" applyNumberFormat="1" applyFill="1" applyBorder="1" applyAlignment="1" applyProtection="1">
      <alignment horizontal="center"/>
      <protection locked="0"/>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3" fontId="21" fillId="0" borderId="11" xfId="0" applyNumberFormat="1" applyFont="1" applyBorder="1" applyAlignment="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42" xfId="8719" applyFont="1" applyFill="1" applyBorder="1" applyAlignment="1">
      <alignment horizontal="center"/>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12934" applyNumberForma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2" xfId="4496" applyFont="1" applyBorder="1" applyAlignment="1">
      <alignment horizontal="right"/>
    </xf>
    <xf numFmtId="0" fontId="94" fillId="0" borderId="11" xfId="4496" applyFont="1" applyBorder="1" applyAlignment="1">
      <alignment horizontal="right"/>
    </xf>
    <xf numFmtId="0" fontId="94" fillId="0" borderId="74" xfId="4496" applyFont="1" applyBorder="1" applyAlignment="1">
      <alignment horizontal="right"/>
    </xf>
    <xf numFmtId="0" fontId="94" fillId="0" borderId="75" xfId="4496" applyFont="1" applyBorder="1" applyAlignment="1">
      <alignment horizontal="right"/>
    </xf>
    <xf numFmtId="0" fontId="94" fillId="0" borderId="11" xfId="4496" applyFont="1" applyBorder="1"/>
    <xf numFmtId="0" fontId="94" fillId="0" borderId="93" xfId="4496" applyFont="1" applyBorder="1"/>
    <xf numFmtId="0" fontId="94" fillId="0" borderId="75" xfId="4496" applyFont="1" applyBorder="1"/>
    <xf numFmtId="0" fontId="94" fillId="0" borderId="95"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2" xfId="4496" applyFont="1" applyBorder="1" applyAlignment="1">
      <alignment horizontal="center" vertical="top" wrapText="1"/>
    </xf>
    <xf numFmtId="0" fontId="133" fillId="0" borderId="91" xfId="4496" applyFont="1" applyBorder="1" applyAlignment="1">
      <alignment horizontal="center" vertical="top" wrapText="1"/>
    </xf>
    <xf numFmtId="0" fontId="94" fillId="0" borderId="72" xfId="4496" applyFont="1" applyBorder="1"/>
    <xf numFmtId="0" fontId="94" fillId="0" borderId="76"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6" xfId="4499" applyNumberFormat="1" applyFont="1" applyFill="1" applyBorder="1" applyAlignment="1" applyProtection="1">
      <alignment horizontal="left" vertical="center" indent="1"/>
    </xf>
    <xf numFmtId="168" fontId="94" fillId="0" borderId="85" xfId="4499" applyNumberFormat="1" applyFont="1" applyFill="1" applyBorder="1" applyAlignment="1" applyProtection="1">
      <alignment horizontal="left" vertical="center" indent="1"/>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lignment horizontal="center"/>
    </xf>
  </cellXfs>
  <cellStyles count="17158">
    <cellStyle name="20% - Accent1" xfId="1" builtinId="30" customBuiltin="1"/>
    <cellStyle name="20% - Accent1 10" xfId="4505" xr:uid="{00000000-0005-0000-0000-000001000000}"/>
    <cellStyle name="20% - Accent1 10 2" xfId="12941" xr:uid="{ABA74436-E276-4FF5-9DFE-22938EA28D9C}"/>
    <cellStyle name="20% - Accent1 11" xfId="8723" xr:uid="{70F87B50-CDC2-43B3-8ABD-C80FBFB4D76C}"/>
    <cellStyle name="20% - Accent1 2" xfId="2" xr:uid="{00000000-0005-0000-0000-000002000000}"/>
    <cellStyle name="20% - Accent1 2 10" xfId="8724" xr:uid="{C31E02D3-2495-4DFB-8B82-1E4B8DBC4F4F}"/>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3" xr:uid="{447B3963-99A2-49C4-BA3D-BFC7A4F1A1F9}"/>
    <cellStyle name="20% - Accent1 2 2 2 2 2 3" xfId="11285" xr:uid="{D7C5DA37-FEDF-4C83-9F21-3A52E39C66A2}"/>
    <cellStyle name="20% - Accent1 2 2 2 2 3" xfId="4922" xr:uid="{00000000-0005-0000-0000-000008000000}"/>
    <cellStyle name="20% - Accent1 2 2 2 2 3 2" xfId="13358" xr:uid="{A2DA4C3F-A571-4D9F-8A83-EC24E9A1C966}"/>
    <cellStyle name="20% - Accent1 2 2 2 2 4" xfId="9140" xr:uid="{AF4E61FC-DC16-414D-ADB6-AD62F1447F57}"/>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6" xr:uid="{046F45B1-DBC0-4ADC-8AAA-4E2FA0859682}"/>
    <cellStyle name="20% - Accent1 2 2 2 3 2 3" xfId="11698" xr:uid="{5CA14C02-AEF2-4CB4-B2D7-6180F3553F31}"/>
    <cellStyle name="20% - Accent1 2 2 2 3 3" xfId="5335" xr:uid="{00000000-0005-0000-0000-00000C000000}"/>
    <cellStyle name="20% - Accent1 2 2 2 3 3 2" xfId="13771" xr:uid="{69EB3FA3-87A7-4157-9FDC-7A8C82DD1DF6}"/>
    <cellStyle name="20% - Accent1 2 2 2 3 4" xfId="9553" xr:uid="{8161F521-C8B2-4A56-870A-816B0AE87B1A}"/>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29" xr:uid="{3B23E814-A2DB-4E84-B122-87D783282D7F}"/>
    <cellStyle name="20% - Accent1 2 2 2 4 2 3" xfId="12111" xr:uid="{4E532845-3494-4D04-8E3D-5C0F622B702E}"/>
    <cellStyle name="20% - Accent1 2 2 2 4 3" xfId="5748" xr:uid="{00000000-0005-0000-0000-000010000000}"/>
    <cellStyle name="20% - Accent1 2 2 2 4 3 2" xfId="14184" xr:uid="{818AC251-85AA-45CB-8D19-F97871776617}"/>
    <cellStyle name="20% - Accent1 2 2 2 4 4" xfId="9966" xr:uid="{0E03A202-C970-4000-A7C9-33A5117C1C81}"/>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2" xr:uid="{9AEBD831-BAA2-40DC-9C69-9C87EECEC7A8}"/>
    <cellStyle name="20% - Accent1 2 2 2 5 2 3" xfId="12524" xr:uid="{698C0771-C0C2-4BE4-A80A-27A32C2E0361}"/>
    <cellStyle name="20% - Accent1 2 2 2 5 3" xfId="6161" xr:uid="{00000000-0005-0000-0000-000014000000}"/>
    <cellStyle name="20% - Accent1 2 2 2 5 3 2" xfId="14597" xr:uid="{6CC38A81-8291-4DEC-AF86-1A74157886C1}"/>
    <cellStyle name="20% - Accent1 2 2 2 5 4" xfId="10379" xr:uid="{50286453-3AB5-430B-9236-CA520C5A2695}"/>
    <cellStyle name="20% - Accent1 2 2 2 6" xfId="2267" xr:uid="{00000000-0005-0000-0000-000015000000}"/>
    <cellStyle name="20% - Accent1 2 2 2 6 2" xfId="6574" xr:uid="{00000000-0005-0000-0000-000016000000}"/>
    <cellStyle name="20% - Accent1 2 2 2 6 2 2" xfId="15010" xr:uid="{A345C3EB-5DA3-4870-9237-42772D61A8A8}"/>
    <cellStyle name="20% - Accent1 2 2 2 6 3" xfId="10792" xr:uid="{28BB32D9-EE80-4DAF-810F-934B6DE82564}"/>
    <cellStyle name="20% - Accent1 2 2 2 7" xfId="4508" xr:uid="{00000000-0005-0000-0000-000017000000}"/>
    <cellStyle name="20% - Accent1 2 2 2 7 2" xfId="12944" xr:uid="{8CC6A039-D052-4363-B3A1-81C099EB5D08}"/>
    <cellStyle name="20% - Accent1 2 2 2 8" xfId="8726" xr:uid="{5B3A8DFF-84B7-464F-BEA3-ABBB02230063}"/>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2" xr:uid="{F5E19868-4AC7-4EF7-B187-ACE77951B359}"/>
    <cellStyle name="20% - Accent1 2 2 3 2 3" xfId="11284" xr:uid="{06280A0E-AF31-4518-A1A1-016313C19118}"/>
    <cellStyle name="20% - Accent1 2 2 3 3" xfId="4921" xr:uid="{00000000-0005-0000-0000-00001B000000}"/>
    <cellStyle name="20% - Accent1 2 2 3 3 2" xfId="13357" xr:uid="{63C44D3E-3341-4802-A391-76D5C270C17E}"/>
    <cellStyle name="20% - Accent1 2 2 3 4" xfId="9139" xr:uid="{BC57FE35-4372-46BB-92B4-A3E9BBA328C7}"/>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5" xr:uid="{9DB3A85E-9CF8-487D-AB0F-AE680D918060}"/>
    <cellStyle name="20% - Accent1 2 2 4 2 3" xfId="11697" xr:uid="{2FBC9FCF-1EEB-468A-8925-934313E11D07}"/>
    <cellStyle name="20% - Accent1 2 2 4 3" xfId="5334" xr:uid="{00000000-0005-0000-0000-00001F000000}"/>
    <cellStyle name="20% - Accent1 2 2 4 3 2" xfId="13770" xr:uid="{2FED0914-B252-4985-BB31-88B47E3DCF0E}"/>
    <cellStyle name="20% - Accent1 2 2 4 4" xfId="9552" xr:uid="{D240947B-5EC3-42DC-A218-79C0ECB665E4}"/>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28" xr:uid="{E846307D-9FE4-4F33-8E2F-1E4209482308}"/>
    <cellStyle name="20% - Accent1 2 2 5 2 3" xfId="12110" xr:uid="{A229E757-9574-4566-B314-5879B745BB11}"/>
    <cellStyle name="20% - Accent1 2 2 5 3" xfId="5747" xr:uid="{00000000-0005-0000-0000-000023000000}"/>
    <cellStyle name="20% - Accent1 2 2 5 3 2" xfId="14183" xr:uid="{0E942DD5-2245-45F9-8645-A07BFF035106}"/>
    <cellStyle name="20% - Accent1 2 2 5 4" xfId="9965" xr:uid="{1297C2EE-0D48-4D9E-91C4-69E6A4067E37}"/>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1" xr:uid="{32766D3B-E0D7-4578-8228-A67BDCA7CD65}"/>
    <cellStyle name="20% - Accent1 2 2 6 2 3" xfId="12523" xr:uid="{BC28D597-FB65-4FCE-A49B-E8211C54802C}"/>
    <cellStyle name="20% - Accent1 2 2 6 3" xfId="6160" xr:uid="{00000000-0005-0000-0000-000027000000}"/>
    <cellStyle name="20% - Accent1 2 2 6 3 2" xfId="14596" xr:uid="{924D417C-BAC1-4A8E-8BCC-8A9E0FFF93DC}"/>
    <cellStyle name="20% - Accent1 2 2 6 4" xfId="10378" xr:uid="{03CFC462-7D89-428A-A984-0087F87A995A}"/>
    <cellStyle name="20% - Accent1 2 2 7" xfId="2266" xr:uid="{00000000-0005-0000-0000-000028000000}"/>
    <cellStyle name="20% - Accent1 2 2 7 2" xfId="6573" xr:uid="{00000000-0005-0000-0000-000029000000}"/>
    <cellStyle name="20% - Accent1 2 2 7 2 2" xfId="15009" xr:uid="{411E303B-3ED4-4445-AF4B-DC68E4B1CF80}"/>
    <cellStyle name="20% - Accent1 2 2 7 3" xfId="10791" xr:uid="{36CDB715-6599-4862-96CF-358E146A4D9A}"/>
    <cellStyle name="20% - Accent1 2 2 8" xfId="4507" xr:uid="{00000000-0005-0000-0000-00002A000000}"/>
    <cellStyle name="20% - Accent1 2 2 8 2" xfId="12943" xr:uid="{0D640EA2-D5DE-4531-92DB-ABB7C73712B6}"/>
    <cellStyle name="20% - Accent1 2 2 9" xfId="8725" xr:uid="{30133605-DA71-4C47-B4CC-E9B78589F7CB}"/>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4" xr:uid="{6D1B2573-D0B9-4642-98D8-2827E3D85035}"/>
    <cellStyle name="20% - Accent1 2 3 2 2 3" xfId="11286" xr:uid="{AA0C6F23-5FD6-474F-9C91-5060C5B90BB7}"/>
    <cellStyle name="20% - Accent1 2 3 2 3" xfId="4923" xr:uid="{00000000-0005-0000-0000-00002F000000}"/>
    <cellStyle name="20% - Accent1 2 3 2 3 2" xfId="13359" xr:uid="{1149825B-1FF7-4B26-802F-DE56389B3C02}"/>
    <cellStyle name="20% - Accent1 2 3 2 4" xfId="9141" xr:uid="{31A123C0-8859-4C2B-85A1-14259E3C8DCB}"/>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17" xr:uid="{283F6AA0-7EF4-46EB-80FA-7DC154B0429D}"/>
    <cellStyle name="20% - Accent1 2 3 3 2 3" xfId="11699" xr:uid="{755FF45C-387D-4C6F-951A-BE38CAA5937E}"/>
    <cellStyle name="20% - Accent1 2 3 3 3" xfId="5336" xr:uid="{00000000-0005-0000-0000-000033000000}"/>
    <cellStyle name="20% - Accent1 2 3 3 3 2" xfId="13772" xr:uid="{E88081C0-0805-4522-B313-BEB81583DBCE}"/>
    <cellStyle name="20% - Accent1 2 3 3 4" xfId="9554" xr:uid="{7A4CB259-783A-4DE9-9CB8-4D26D7C47240}"/>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0" xr:uid="{91F877DB-5024-4EFB-85B0-63735850C20F}"/>
    <cellStyle name="20% - Accent1 2 3 4 2 3" xfId="12112" xr:uid="{2CE4A823-43C3-4B95-9406-365D5EBF749B}"/>
    <cellStyle name="20% - Accent1 2 3 4 3" xfId="5749" xr:uid="{00000000-0005-0000-0000-000037000000}"/>
    <cellStyle name="20% - Accent1 2 3 4 3 2" xfId="14185" xr:uid="{8D9BD98C-E090-4C2A-A0C7-DB17AEA4AF18}"/>
    <cellStyle name="20% - Accent1 2 3 4 4" xfId="9967" xr:uid="{C69EA0CF-464C-4FC4-8340-AE2F3AE5CFA3}"/>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3" xr:uid="{5882437C-C5B0-4518-A19A-DE6AD9103801}"/>
    <cellStyle name="20% - Accent1 2 3 5 2 3" xfId="12525" xr:uid="{0FF42CDD-B925-495D-AAA1-0F5700F3BF27}"/>
    <cellStyle name="20% - Accent1 2 3 5 3" xfId="6162" xr:uid="{00000000-0005-0000-0000-00003B000000}"/>
    <cellStyle name="20% - Accent1 2 3 5 3 2" xfId="14598" xr:uid="{D7FC5477-F5E3-4C72-8BF4-C48E7F188029}"/>
    <cellStyle name="20% - Accent1 2 3 5 4" xfId="10380" xr:uid="{0508B3FB-8952-4FB0-A132-7759805D0E66}"/>
    <cellStyle name="20% - Accent1 2 3 6" xfId="2268" xr:uid="{00000000-0005-0000-0000-00003C000000}"/>
    <cellStyle name="20% - Accent1 2 3 6 2" xfId="6575" xr:uid="{00000000-0005-0000-0000-00003D000000}"/>
    <cellStyle name="20% - Accent1 2 3 6 2 2" xfId="15011" xr:uid="{7BD16E83-A636-4AAA-B7C7-75BA72D216A7}"/>
    <cellStyle name="20% - Accent1 2 3 6 3" xfId="10793" xr:uid="{FC3CFE67-5EEB-4AD1-BFD9-3073BAF6CE00}"/>
    <cellStyle name="20% - Accent1 2 3 7" xfId="4509" xr:uid="{00000000-0005-0000-0000-00003E000000}"/>
    <cellStyle name="20% - Accent1 2 3 7 2" xfId="12945" xr:uid="{6D1B0EB8-F5AA-4567-9A0F-BCD078286CCD}"/>
    <cellStyle name="20% - Accent1 2 3 8" xfId="8727" xr:uid="{6D12D407-3601-4574-BC07-9406068DF537}"/>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1" xr:uid="{AFD93929-24B3-490E-AEF5-8982C4503FF5}"/>
    <cellStyle name="20% - Accent1 2 4 2 3" xfId="11283" xr:uid="{617A9058-27DC-4A94-924E-44C9E7BF2EF5}"/>
    <cellStyle name="20% - Accent1 2 4 3" xfId="4920" xr:uid="{00000000-0005-0000-0000-000042000000}"/>
    <cellStyle name="20% - Accent1 2 4 3 2" xfId="13356" xr:uid="{2324AA33-6646-4B09-BCD5-DB3FAFCC5406}"/>
    <cellStyle name="20% - Accent1 2 4 4" xfId="9138" xr:uid="{7E940ECE-D52C-4475-B99E-0DF6E7573DC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4" xr:uid="{C2908C49-E6A2-4560-97FF-51FBCB2C8F5D}"/>
    <cellStyle name="20% - Accent1 2 5 2 3" xfId="11696" xr:uid="{2B5A5FB6-4E9E-4C27-853D-76B9FCAD9530}"/>
    <cellStyle name="20% - Accent1 2 5 3" xfId="5333" xr:uid="{00000000-0005-0000-0000-000046000000}"/>
    <cellStyle name="20% - Accent1 2 5 3 2" xfId="13769" xr:uid="{A3A5D361-A6EA-460A-9883-1FEF6D3D8446}"/>
    <cellStyle name="20% - Accent1 2 5 4" xfId="9551" xr:uid="{4C2F90D4-B775-43C0-A7B9-EDA482AA0EEF}"/>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27" xr:uid="{72D6A914-EEF5-428E-8BCD-5D704534BD4C}"/>
    <cellStyle name="20% - Accent1 2 6 2 3" xfId="12109" xr:uid="{C3C4E4A4-C9D7-4808-86B7-3E1034442D67}"/>
    <cellStyle name="20% - Accent1 2 6 3" xfId="5746" xr:uid="{00000000-0005-0000-0000-00004A000000}"/>
    <cellStyle name="20% - Accent1 2 6 3 2" xfId="14182" xr:uid="{3F367C46-D699-4492-875F-7AA501CF3D78}"/>
    <cellStyle name="20% - Accent1 2 6 4" xfId="9964" xr:uid="{6B7196F0-1144-4F3E-BB41-20613B2735EF}"/>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0" xr:uid="{BD28700C-8AD2-4C30-B86E-6E4934F3402E}"/>
    <cellStyle name="20% - Accent1 2 7 2 3" xfId="12522" xr:uid="{988AB7BC-42EF-40BB-9032-2174A0D15C49}"/>
    <cellStyle name="20% - Accent1 2 7 3" xfId="6159" xr:uid="{00000000-0005-0000-0000-00004E000000}"/>
    <cellStyle name="20% - Accent1 2 7 3 2" xfId="14595" xr:uid="{720EC819-CB4C-45CF-A414-24EE39B442E8}"/>
    <cellStyle name="20% - Accent1 2 7 4" xfId="10377" xr:uid="{E891C1E3-5727-432D-817C-584F992149C2}"/>
    <cellStyle name="20% - Accent1 2 8" xfId="2265" xr:uid="{00000000-0005-0000-0000-00004F000000}"/>
    <cellStyle name="20% - Accent1 2 8 2" xfId="6572" xr:uid="{00000000-0005-0000-0000-000050000000}"/>
    <cellStyle name="20% - Accent1 2 8 2 2" xfId="15008" xr:uid="{EB315E92-9718-472F-8B4D-56D8617CD1ED}"/>
    <cellStyle name="20% - Accent1 2 8 3" xfId="10790" xr:uid="{0CF9EDAF-9015-4BF3-A89A-66C5DCBACFB3}"/>
    <cellStyle name="20% - Accent1 2 9" xfId="4506" xr:uid="{00000000-0005-0000-0000-000051000000}"/>
    <cellStyle name="20% - Accent1 2 9 2" xfId="12942" xr:uid="{1E146C0F-7BA4-48F6-BA49-BE7D796FCC33}"/>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6" xr:uid="{FDD8C37A-4736-4016-80A1-13BF0DA37BDE}"/>
    <cellStyle name="20% - Accent1 3 2 2 2 3" xfId="11288" xr:uid="{047A3E20-CC1B-4DF8-A92D-7429755A506A}"/>
    <cellStyle name="20% - Accent1 3 2 2 3" xfId="4925" xr:uid="{00000000-0005-0000-0000-000057000000}"/>
    <cellStyle name="20% - Accent1 3 2 2 3 2" xfId="13361" xr:uid="{1C24B383-2A42-432E-8E31-01F65DC26B41}"/>
    <cellStyle name="20% - Accent1 3 2 2 4" xfId="9143" xr:uid="{0860A24B-338E-4DAF-8E4B-C97B97BCB736}"/>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19" xr:uid="{A95C1EB5-4D73-4739-953D-C9352F9D8FCF}"/>
    <cellStyle name="20% - Accent1 3 2 3 2 3" xfId="11701" xr:uid="{86F872B7-AEF1-4279-B752-E0770FA7F7F0}"/>
    <cellStyle name="20% - Accent1 3 2 3 3" xfId="5338" xr:uid="{00000000-0005-0000-0000-00005B000000}"/>
    <cellStyle name="20% - Accent1 3 2 3 3 2" xfId="13774" xr:uid="{21A65C78-B923-471A-857F-5C41C01DB075}"/>
    <cellStyle name="20% - Accent1 3 2 3 4" xfId="9556" xr:uid="{64F718F5-0C99-4D05-922A-0923B0AA4E13}"/>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2" xr:uid="{C882DBBC-7859-471C-BB22-EFE8E5F9B571}"/>
    <cellStyle name="20% - Accent1 3 2 4 2 3" xfId="12114" xr:uid="{EB111741-31E7-4E88-B682-3AC1C7992DB6}"/>
    <cellStyle name="20% - Accent1 3 2 4 3" xfId="5751" xr:uid="{00000000-0005-0000-0000-00005F000000}"/>
    <cellStyle name="20% - Accent1 3 2 4 3 2" xfId="14187" xr:uid="{70242B17-9F6F-45C8-A29C-94E10D1DA6CD}"/>
    <cellStyle name="20% - Accent1 3 2 4 4" xfId="9969" xr:uid="{B63938A0-A016-4B5E-9763-EB5C23D16A71}"/>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5" xr:uid="{C551FDDF-3DCE-411F-85EE-DDB89805A375}"/>
    <cellStyle name="20% - Accent1 3 2 5 2 3" xfId="12527" xr:uid="{C414F34E-B26B-4ACE-B061-F508E6414221}"/>
    <cellStyle name="20% - Accent1 3 2 5 3" xfId="6164" xr:uid="{00000000-0005-0000-0000-000063000000}"/>
    <cellStyle name="20% - Accent1 3 2 5 3 2" xfId="14600" xr:uid="{794E1714-46A4-4F2A-B78C-E9D1303C62D7}"/>
    <cellStyle name="20% - Accent1 3 2 5 4" xfId="10382" xr:uid="{7A0D21F6-01B9-4806-A100-8082185EA054}"/>
    <cellStyle name="20% - Accent1 3 2 6" xfId="2270" xr:uid="{00000000-0005-0000-0000-000064000000}"/>
    <cellStyle name="20% - Accent1 3 2 6 2" xfId="6577" xr:uid="{00000000-0005-0000-0000-000065000000}"/>
    <cellStyle name="20% - Accent1 3 2 6 2 2" xfId="15013" xr:uid="{7E14920F-D95F-4D14-85E4-10EC6D995CAA}"/>
    <cellStyle name="20% - Accent1 3 2 6 3" xfId="10795" xr:uid="{6537BE55-C74E-46B9-91E0-2C8E55D3CCA3}"/>
    <cellStyle name="20% - Accent1 3 2 7" xfId="4511" xr:uid="{00000000-0005-0000-0000-000066000000}"/>
    <cellStyle name="20% - Accent1 3 2 7 2" xfId="12947" xr:uid="{D502CABB-C146-423B-BC27-4B89E0EBC76A}"/>
    <cellStyle name="20% - Accent1 3 2 8" xfId="8729" xr:uid="{C933BE6E-919D-4840-850C-F50ABFBCC56D}"/>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5" xr:uid="{ABA99F0D-8ED3-45CC-95CC-B1D2C0413DB0}"/>
    <cellStyle name="20% - Accent1 3 3 2 3" xfId="11287" xr:uid="{ED75A57D-E020-473C-9384-15099F4979B7}"/>
    <cellStyle name="20% - Accent1 3 3 3" xfId="4924" xr:uid="{00000000-0005-0000-0000-00006A000000}"/>
    <cellStyle name="20% - Accent1 3 3 3 2" xfId="13360" xr:uid="{D6C12F4A-2534-4F9B-9DAC-069E0DDD929B}"/>
    <cellStyle name="20% - Accent1 3 3 4" xfId="9142" xr:uid="{6E650CCE-9047-4D9F-979F-6A976611533D}"/>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18" xr:uid="{7ADEEC4E-31E7-4E97-A5CF-BB057AD9BA59}"/>
    <cellStyle name="20% - Accent1 3 4 2 3" xfId="11700" xr:uid="{62A73369-6DAE-48F9-A6FC-8709B99C2A87}"/>
    <cellStyle name="20% - Accent1 3 4 3" xfId="5337" xr:uid="{00000000-0005-0000-0000-00006E000000}"/>
    <cellStyle name="20% - Accent1 3 4 3 2" xfId="13773" xr:uid="{F8B0C979-F7DC-4FCC-B56A-94C6B1BBA0C1}"/>
    <cellStyle name="20% - Accent1 3 4 4" xfId="9555" xr:uid="{E0A0B066-6400-4DC0-A800-91A38E97669D}"/>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1" xr:uid="{02058BAC-24BD-4466-B376-50DA89B6D566}"/>
    <cellStyle name="20% - Accent1 3 5 2 3" xfId="12113" xr:uid="{810A8910-9091-4936-AC93-83245179C840}"/>
    <cellStyle name="20% - Accent1 3 5 3" xfId="5750" xr:uid="{00000000-0005-0000-0000-000072000000}"/>
    <cellStyle name="20% - Accent1 3 5 3 2" xfId="14186" xr:uid="{E5EBCF12-D93E-4DAA-9297-05CD8E74E081}"/>
    <cellStyle name="20% - Accent1 3 5 4" xfId="9968" xr:uid="{DE14CAC6-835D-4EB8-A207-28F402F05109}"/>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4" xr:uid="{FC260D0B-EF8F-4506-9147-7E6B65F367BA}"/>
    <cellStyle name="20% - Accent1 3 6 2 3" xfId="12526" xr:uid="{1B52DD77-10FF-4354-B0FE-D32A4518C010}"/>
    <cellStyle name="20% - Accent1 3 6 3" xfId="6163" xr:uid="{00000000-0005-0000-0000-000076000000}"/>
    <cellStyle name="20% - Accent1 3 6 3 2" xfId="14599" xr:uid="{B75A6AFE-6675-45F1-BDDF-6D83AACED99A}"/>
    <cellStyle name="20% - Accent1 3 6 4" xfId="10381" xr:uid="{5EA7E2EB-6703-4490-B373-97D3C4F7611A}"/>
    <cellStyle name="20% - Accent1 3 7" xfId="2269" xr:uid="{00000000-0005-0000-0000-000077000000}"/>
    <cellStyle name="20% - Accent1 3 7 2" xfId="6576" xr:uid="{00000000-0005-0000-0000-000078000000}"/>
    <cellStyle name="20% - Accent1 3 7 2 2" xfId="15012" xr:uid="{CA5A9714-7F25-4395-8402-DFB972540F15}"/>
    <cellStyle name="20% - Accent1 3 7 3" xfId="10794" xr:uid="{3C4A81B5-3756-4A38-A508-6222FF0630F9}"/>
    <cellStyle name="20% - Accent1 3 8" xfId="4510" xr:uid="{00000000-0005-0000-0000-000079000000}"/>
    <cellStyle name="20% - Accent1 3 8 2" xfId="12946" xr:uid="{D892E1A0-C586-4E1F-A90C-D812D8161D70}"/>
    <cellStyle name="20% - Accent1 3 9" xfId="8728" xr:uid="{2CEF378E-CC76-409D-B61A-6268E7FA2F79}"/>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07" xr:uid="{93E22503-2934-48F9-84C5-17B339C0A2DC}"/>
    <cellStyle name="20% - Accent1 4 2 2 3" xfId="11289" xr:uid="{5D3652AE-882D-430A-BE3D-C4C9E8613871}"/>
    <cellStyle name="20% - Accent1 4 2 3" xfId="4926" xr:uid="{00000000-0005-0000-0000-00007E000000}"/>
    <cellStyle name="20% - Accent1 4 2 3 2" xfId="13362" xr:uid="{5575774F-F6B7-4510-A3E9-BB7E40848936}"/>
    <cellStyle name="20% - Accent1 4 2 4" xfId="9144" xr:uid="{11BC16CB-E973-4EFD-83F8-6627FF8539C7}"/>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0" xr:uid="{A06F187E-5E5F-42CE-833A-C24ABD953781}"/>
    <cellStyle name="20% - Accent1 4 3 2 3" xfId="11702" xr:uid="{972786FA-4C23-4BBF-B06F-631D07081C3B}"/>
    <cellStyle name="20% - Accent1 4 3 3" xfId="5339" xr:uid="{00000000-0005-0000-0000-000082000000}"/>
    <cellStyle name="20% - Accent1 4 3 3 2" xfId="13775" xr:uid="{FB76BCCE-1A9B-4A0F-B068-27ABF63E8759}"/>
    <cellStyle name="20% - Accent1 4 3 4" xfId="9557" xr:uid="{39311222-7084-41D0-A2EF-50DA816E8FB4}"/>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3" xr:uid="{F9C0B66C-CBE9-4520-AFDA-E073EB30BC1F}"/>
    <cellStyle name="20% - Accent1 4 4 2 3" xfId="12115" xr:uid="{1BDE036A-BEFC-4B24-9DEC-89DCD34944AC}"/>
    <cellStyle name="20% - Accent1 4 4 3" xfId="5752" xr:uid="{00000000-0005-0000-0000-000086000000}"/>
    <cellStyle name="20% - Accent1 4 4 3 2" xfId="14188" xr:uid="{22AA3858-5E45-454E-BAE9-3ADADBD67DBA}"/>
    <cellStyle name="20% - Accent1 4 4 4" xfId="9970" xr:uid="{2352897C-A494-4EF0-A09B-6AF40EF53372}"/>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6" xr:uid="{7854F399-8A09-447D-AD92-C10A6ED9EC4F}"/>
    <cellStyle name="20% - Accent1 4 5 2 3" xfId="12528" xr:uid="{A3536CEB-603A-4746-867E-C5EC25CED15B}"/>
    <cellStyle name="20% - Accent1 4 5 3" xfId="6165" xr:uid="{00000000-0005-0000-0000-00008A000000}"/>
    <cellStyle name="20% - Accent1 4 5 3 2" xfId="14601" xr:uid="{C20A3D13-A7B7-4DBE-9B3F-C85E07872E8F}"/>
    <cellStyle name="20% - Accent1 4 5 4" xfId="10383" xr:uid="{FEB2DE81-B5E2-40CA-8178-08A7BA1FA46F}"/>
    <cellStyle name="20% - Accent1 4 6" xfId="2271" xr:uid="{00000000-0005-0000-0000-00008B000000}"/>
    <cellStyle name="20% - Accent1 4 6 2" xfId="6578" xr:uid="{00000000-0005-0000-0000-00008C000000}"/>
    <cellStyle name="20% - Accent1 4 6 2 2" xfId="15014" xr:uid="{00E26B4F-3CE8-4453-B856-69A7392A27D8}"/>
    <cellStyle name="20% - Accent1 4 6 3" xfId="10796" xr:uid="{1BFB8DB7-08CE-43DD-93DD-EAD718B163E5}"/>
    <cellStyle name="20% - Accent1 4 7" xfId="4512" xr:uid="{00000000-0005-0000-0000-00008D000000}"/>
    <cellStyle name="20% - Accent1 4 7 2" xfId="12948" xr:uid="{F7DA1EF0-37D0-4202-91EC-FFB055AD1BAF}"/>
    <cellStyle name="20% - Accent1 4 8" xfId="8730" xr:uid="{339F010A-11BB-49BB-98F6-D19E6F05EF33}"/>
    <cellStyle name="20% - Accent1 5" xfId="570" xr:uid="{00000000-0005-0000-0000-00008E000000}"/>
    <cellStyle name="20% - Accent1 5 2" xfId="2841" xr:uid="{00000000-0005-0000-0000-00008F000000}"/>
    <cellStyle name="20% - Accent1 5 2 2" xfId="7064" xr:uid="{00000000-0005-0000-0000-000090000000}"/>
    <cellStyle name="20% - Accent1 5 2 2 2" xfId="15500" xr:uid="{191DB7F9-CE29-48CD-92BC-9A15C0014DC0}"/>
    <cellStyle name="20% - Accent1 5 2 3" xfId="11282" xr:uid="{0CC668E8-8696-4ACA-8055-FE0D871E0B51}"/>
    <cellStyle name="20% - Accent1 5 3" xfId="4919" xr:uid="{00000000-0005-0000-0000-000091000000}"/>
    <cellStyle name="20% - Accent1 5 3 2" xfId="13355" xr:uid="{FA4D9C1B-2CB5-4F36-A814-C54D24C2680A}"/>
    <cellStyle name="20% - Accent1 5 4" xfId="9137" xr:uid="{A7FF29AF-E8A7-4A7F-97BB-752D0C3E603D}"/>
    <cellStyle name="20% - Accent1 6" xfId="1023" xr:uid="{00000000-0005-0000-0000-000092000000}"/>
    <cellStyle name="20% - Accent1 6 2" xfId="3254" xr:uid="{00000000-0005-0000-0000-000093000000}"/>
    <cellStyle name="20% - Accent1 6 2 2" xfId="7477" xr:uid="{00000000-0005-0000-0000-000094000000}"/>
    <cellStyle name="20% - Accent1 6 2 2 2" xfId="15913" xr:uid="{7DADF1C7-ABED-44CD-8E62-A939E937A5B8}"/>
    <cellStyle name="20% - Accent1 6 2 3" xfId="11695" xr:uid="{9BFFAE39-55F4-43F6-829D-3CBB64EC30D2}"/>
    <cellStyle name="20% - Accent1 6 3" xfId="5332" xr:uid="{00000000-0005-0000-0000-000095000000}"/>
    <cellStyle name="20% - Accent1 6 3 2" xfId="13768" xr:uid="{037FD738-CA97-4107-87B7-0181218B57E1}"/>
    <cellStyle name="20% - Accent1 6 4" xfId="9550" xr:uid="{CF918654-2604-4FBC-81C0-6FB0104920BA}"/>
    <cellStyle name="20% - Accent1 7" xfId="1437" xr:uid="{00000000-0005-0000-0000-000096000000}"/>
    <cellStyle name="20% - Accent1 7 2" xfId="3667" xr:uid="{00000000-0005-0000-0000-000097000000}"/>
    <cellStyle name="20% - Accent1 7 2 2" xfId="7890" xr:uid="{00000000-0005-0000-0000-000098000000}"/>
    <cellStyle name="20% - Accent1 7 2 2 2" xfId="16326" xr:uid="{85C4D8EC-6A5E-483C-9A9E-F0FBA6C3BEC7}"/>
    <cellStyle name="20% - Accent1 7 2 3" xfId="12108" xr:uid="{2BA492C3-0AF2-49B4-9274-81421E3431FE}"/>
    <cellStyle name="20% - Accent1 7 3" xfId="5745" xr:uid="{00000000-0005-0000-0000-000099000000}"/>
    <cellStyle name="20% - Accent1 7 3 2" xfId="14181" xr:uid="{3A282E1E-79D3-44A9-AD7C-649330BC2D21}"/>
    <cellStyle name="20% - Accent1 7 4" xfId="9963" xr:uid="{6BAC52F1-E2C7-44A9-AA4F-63588BC68D6C}"/>
    <cellStyle name="20% - Accent1 8" xfId="1851" xr:uid="{00000000-0005-0000-0000-00009A000000}"/>
    <cellStyle name="20% - Accent1 8 2" xfId="4080" xr:uid="{00000000-0005-0000-0000-00009B000000}"/>
    <cellStyle name="20% - Accent1 8 2 2" xfId="8303" xr:uid="{00000000-0005-0000-0000-00009C000000}"/>
    <cellStyle name="20% - Accent1 8 2 2 2" xfId="16739" xr:uid="{7D675A2F-7ACE-4EBC-A98B-20B72E81E16B}"/>
    <cellStyle name="20% - Accent1 8 2 3" xfId="12521" xr:uid="{5C9077FC-5A80-4AEB-9B78-C5F6DD95F044}"/>
    <cellStyle name="20% - Accent1 8 3" xfId="6158" xr:uid="{00000000-0005-0000-0000-00009D000000}"/>
    <cellStyle name="20% - Accent1 8 3 2" xfId="14594" xr:uid="{86F9A711-09F0-4F14-936E-68B67538488B}"/>
    <cellStyle name="20% - Accent1 8 4" xfId="10376" xr:uid="{FB52AA40-E629-4565-8656-8377ADE0767E}"/>
    <cellStyle name="20% - Accent1 9" xfId="2264" xr:uid="{00000000-0005-0000-0000-00009E000000}"/>
    <cellStyle name="20% - Accent1 9 2" xfId="6571" xr:uid="{00000000-0005-0000-0000-00009F000000}"/>
    <cellStyle name="20% - Accent1 9 2 2" xfId="15007" xr:uid="{B706AE17-D15A-4EDB-8518-53428F82AEC2}"/>
    <cellStyle name="20% - Accent1 9 3" xfId="10789" xr:uid="{AEDE8D5F-C32F-4134-B0D5-5619CFD5CB7D}"/>
    <cellStyle name="20% - Accent2" xfId="9" builtinId="34" customBuiltin="1"/>
    <cellStyle name="20% - Accent2 10" xfId="4513" xr:uid="{00000000-0005-0000-0000-0000A1000000}"/>
    <cellStyle name="20% - Accent2 10 2" xfId="12949" xr:uid="{F83B5BFD-5981-48F2-8B57-9BDDA8AC90DF}"/>
    <cellStyle name="20% - Accent2 11" xfId="8731" xr:uid="{77F9CD4F-496D-4A39-A912-FBE44961D93E}"/>
    <cellStyle name="20% - Accent2 2" xfId="10" xr:uid="{00000000-0005-0000-0000-0000A2000000}"/>
    <cellStyle name="20% - Accent2 2 10" xfId="8732" xr:uid="{F42DAA62-37E9-42C5-BF0F-20E5738D35F8}"/>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1" xr:uid="{AE4FB68E-1E13-4C4B-9DDE-945F5CCD41A1}"/>
    <cellStyle name="20% - Accent2 2 2 2 2 2 3" xfId="11293" xr:uid="{13B60F0A-73B8-4FEC-A52A-F61D875C50B5}"/>
    <cellStyle name="20% - Accent2 2 2 2 2 3" xfId="4930" xr:uid="{00000000-0005-0000-0000-0000A8000000}"/>
    <cellStyle name="20% - Accent2 2 2 2 2 3 2" xfId="13366" xr:uid="{A57BDF45-719D-4EDE-8E78-12266EA7CC9C}"/>
    <cellStyle name="20% - Accent2 2 2 2 2 4" xfId="9148" xr:uid="{E61E6DB0-5C82-483C-81C2-1C9FED5D3C8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4" xr:uid="{BB8B8436-3ECD-462E-A450-8660D977E301}"/>
    <cellStyle name="20% - Accent2 2 2 2 3 2 3" xfId="11706" xr:uid="{112B2ADC-5EE5-49DD-B9A1-DAE9672434E6}"/>
    <cellStyle name="20% - Accent2 2 2 2 3 3" xfId="5343" xr:uid="{00000000-0005-0000-0000-0000AC000000}"/>
    <cellStyle name="20% - Accent2 2 2 2 3 3 2" xfId="13779" xr:uid="{B65A6DF2-F987-4FD2-AB0B-E3D8D10AE644}"/>
    <cellStyle name="20% - Accent2 2 2 2 3 4" xfId="9561" xr:uid="{7E77C08D-4EDA-475B-9EB8-46D0863AFED7}"/>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37" xr:uid="{BE3BC118-9C1A-49D8-ABA7-943D756E2267}"/>
    <cellStyle name="20% - Accent2 2 2 2 4 2 3" xfId="12119" xr:uid="{016F0DB9-1CAD-453D-8979-3AF6EB04C82B}"/>
    <cellStyle name="20% - Accent2 2 2 2 4 3" xfId="5756" xr:uid="{00000000-0005-0000-0000-0000B0000000}"/>
    <cellStyle name="20% - Accent2 2 2 2 4 3 2" xfId="14192" xr:uid="{B5CA4919-E87B-4621-80E6-AAC528F99071}"/>
    <cellStyle name="20% - Accent2 2 2 2 4 4" xfId="9974" xr:uid="{C3933A5D-BE80-4AC4-8481-FAD6010F72AD}"/>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0" xr:uid="{25E4FD40-654E-42A4-BC0A-0C86F6D9D387}"/>
    <cellStyle name="20% - Accent2 2 2 2 5 2 3" xfId="12532" xr:uid="{A2FDA451-BC88-46BE-9955-1E58B486DB9E}"/>
    <cellStyle name="20% - Accent2 2 2 2 5 3" xfId="6169" xr:uid="{00000000-0005-0000-0000-0000B4000000}"/>
    <cellStyle name="20% - Accent2 2 2 2 5 3 2" xfId="14605" xr:uid="{9A04BD2A-7970-4D56-B7E7-D10ABAAD4ADD}"/>
    <cellStyle name="20% - Accent2 2 2 2 5 4" xfId="10387" xr:uid="{CE3F49C0-9805-47AE-9033-C72E5FC42DDD}"/>
    <cellStyle name="20% - Accent2 2 2 2 6" xfId="2275" xr:uid="{00000000-0005-0000-0000-0000B5000000}"/>
    <cellStyle name="20% - Accent2 2 2 2 6 2" xfId="6582" xr:uid="{00000000-0005-0000-0000-0000B6000000}"/>
    <cellStyle name="20% - Accent2 2 2 2 6 2 2" xfId="15018" xr:uid="{EFC44C7F-0CE4-4864-8978-14C8638EC569}"/>
    <cellStyle name="20% - Accent2 2 2 2 6 3" xfId="10800" xr:uid="{DDE99163-7C24-45B2-8E16-8193475FC922}"/>
    <cellStyle name="20% - Accent2 2 2 2 7" xfId="4516" xr:uid="{00000000-0005-0000-0000-0000B7000000}"/>
    <cellStyle name="20% - Accent2 2 2 2 7 2" xfId="12952" xr:uid="{8F9DD479-6948-49CB-8158-8580DA8615F0}"/>
    <cellStyle name="20% - Accent2 2 2 2 8" xfId="8734" xr:uid="{01785C10-E5AB-4139-B16A-A4A2CC84AC49}"/>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0" xr:uid="{C90BE661-8074-4A7B-86A9-20397DDC2D9D}"/>
    <cellStyle name="20% - Accent2 2 2 3 2 3" xfId="11292" xr:uid="{E0FAB0BB-91C6-45FF-BE79-4D6C0F78C344}"/>
    <cellStyle name="20% - Accent2 2 2 3 3" xfId="4929" xr:uid="{00000000-0005-0000-0000-0000BB000000}"/>
    <cellStyle name="20% - Accent2 2 2 3 3 2" xfId="13365" xr:uid="{4EBB42E4-5294-4EBE-951F-454500BA7310}"/>
    <cellStyle name="20% - Accent2 2 2 3 4" xfId="9147" xr:uid="{41B15430-C95C-4FF7-B0C0-1D0471D33BDE}"/>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3" xr:uid="{2F83A46D-033A-4FF4-8DA4-749849C6E011}"/>
    <cellStyle name="20% - Accent2 2 2 4 2 3" xfId="11705" xr:uid="{6B7AFE44-5453-4781-84AE-6DE082DB76D4}"/>
    <cellStyle name="20% - Accent2 2 2 4 3" xfId="5342" xr:uid="{00000000-0005-0000-0000-0000BF000000}"/>
    <cellStyle name="20% - Accent2 2 2 4 3 2" xfId="13778" xr:uid="{AB94999D-B320-4E77-B932-A2DD81D453CE}"/>
    <cellStyle name="20% - Accent2 2 2 4 4" xfId="9560" xr:uid="{62022F9A-5D50-46EF-BE06-D7739FBAA47F}"/>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6" xr:uid="{356B4D99-B140-4D8A-9B3F-91983A132D1B}"/>
    <cellStyle name="20% - Accent2 2 2 5 2 3" xfId="12118" xr:uid="{00B75F8F-8571-4337-A07E-36D94702AE0B}"/>
    <cellStyle name="20% - Accent2 2 2 5 3" xfId="5755" xr:uid="{00000000-0005-0000-0000-0000C3000000}"/>
    <cellStyle name="20% - Accent2 2 2 5 3 2" xfId="14191" xr:uid="{ADC3C102-841F-4B4E-B596-71EDE1D6A959}"/>
    <cellStyle name="20% - Accent2 2 2 5 4" xfId="9973" xr:uid="{0C4E3AEA-54D6-448A-8B1A-8D97F493741F}"/>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49" xr:uid="{A87E20E6-3D95-4BE0-8E4C-5A8C44A14738}"/>
    <cellStyle name="20% - Accent2 2 2 6 2 3" xfId="12531" xr:uid="{9135D916-B46F-4C75-889D-02794223FC2B}"/>
    <cellStyle name="20% - Accent2 2 2 6 3" xfId="6168" xr:uid="{00000000-0005-0000-0000-0000C7000000}"/>
    <cellStyle name="20% - Accent2 2 2 6 3 2" xfId="14604" xr:uid="{A8A35B68-DB09-4699-8704-2BDFFC837A7C}"/>
    <cellStyle name="20% - Accent2 2 2 6 4" xfId="10386" xr:uid="{330AD939-19D5-40DB-BEAA-DC7293871700}"/>
    <cellStyle name="20% - Accent2 2 2 7" xfId="2274" xr:uid="{00000000-0005-0000-0000-0000C8000000}"/>
    <cellStyle name="20% - Accent2 2 2 7 2" xfId="6581" xr:uid="{00000000-0005-0000-0000-0000C9000000}"/>
    <cellStyle name="20% - Accent2 2 2 7 2 2" xfId="15017" xr:uid="{4B1283C1-4B24-4149-9C88-711B4317C4C1}"/>
    <cellStyle name="20% - Accent2 2 2 7 3" xfId="10799" xr:uid="{40BF4373-1CDD-4207-B734-2D8F0DFEBEE1}"/>
    <cellStyle name="20% - Accent2 2 2 8" xfId="4515" xr:uid="{00000000-0005-0000-0000-0000CA000000}"/>
    <cellStyle name="20% - Accent2 2 2 8 2" xfId="12951" xr:uid="{ACF000AA-E8C2-46EE-A025-5EAA3B2B0D80}"/>
    <cellStyle name="20% - Accent2 2 2 9" xfId="8733" xr:uid="{DCA229D6-49C9-4DD5-8702-5FC712D3FD64}"/>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2" xr:uid="{981A6F23-D8A7-4B97-86A6-012A91AB42F4}"/>
    <cellStyle name="20% - Accent2 2 3 2 2 3" xfId="11294" xr:uid="{FDA406F4-7900-42C7-85FF-88EA5AA2D7DC}"/>
    <cellStyle name="20% - Accent2 2 3 2 3" xfId="4931" xr:uid="{00000000-0005-0000-0000-0000CF000000}"/>
    <cellStyle name="20% - Accent2 2 3 2 3 2" xfId="13367" xr:uid="{D10A276A-235F-4BF5-A997-50355576DD57}"/>
    <cellStyle name="20% - Accent2 2 3 2 4" xfId="9149" xr:uid="{00C72DDF-6322-4833-A119-89FACA79B74C}"/>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5" xr:uid="{9F248D78-1BA6-4380-9467-F72F01858C31}"/>
    <cellStyle name="20% - Accent2 2 3 3 2 3" xfId="11707" xr:uid="{2CA04D50-4084-4EE7-86E2-8EBEC471CDA2}"/>
    <cellStyle name="20% - Accent2 2 3 3 3" xfId="5344" xr:uid="{00000000-0005-0000-0000-0000D3000000}"/>
    <cellStyle name="20% - Accent2 2 3 3 3 2" xfId="13780" xr:uid="{BC25740C-E6D6-44E2-8FEB-41F84A0F8943}"/>
    <cellStyle name="20% - Accent2 2 3 3 4" xfId="9562" xr:uid="{A80CCF1A-EF9C-4A58-992E-6ED080081C46}"/>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38" xr:uid="{BA4EFEFA-94CE-4A50-AF0F-BA68E3E1ED9D}"/>
    <cellStyle name="20% - Accent2 2 3 4 2 3" xfId="12120" xr:uid="{8E403DA5-9133-40EF-A3C9-66541678DD3C}"/>
    <cellStyle name="20% - Accent2 2 3 4 3" xfId="5757" xr:uid="{00000000-0005-0000-0000-0000D7000000}"/>
    <cellStyle name="20% - Accent2 2 3 4 3 2" xfId="14193" xr:uid="{7AD43F3F-5DA9-40F0-8547-8689AC91B971}"/>
    <cellStyle name="20% - Accent2 2 3 4 4" xfId="9975" xr:uid="{7D37D987-52FC-4825-BB13-87A685FA61A0}"/>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1" xr:uid="{DAFEF907-12D2-4C42-B04F-B23A03E58597}"/>
    <cellStyle name="20% - Accent2 2 3 5 2 3" xfId="12533" xr:uid="{351E9BD6-1BD9-45A4-8A35-172416F79F26}"/>
    <cellStyle name="20% - Accent2 2 3 5 3" xfId="6170" xr:uid="{00000000-0005-0000-0000-0000DB000000}"/>
    <cellStyle name="20% - Accent2 2 3 5 3 2" xfId="14606" xr:uid="{A8BBA0A1-F374-4AC9-BD9C-1ABBB5355702}"/>
    <cellStyle name="20% - Accent2 2 3 5 4" xfId="10388" xr:uid="{EE7D299F-231C-43F5-AC06-F6021B764484}"/>
    <cellStyle name="20% - Accent2 2 3 6" xfId="2276" xr:uid="{00000000-0005-0000-0000-0000DC000000}"/>
    <cellStyle name="20% - Accent2 2 3 6 2" xfId="6583" xr:uid="{00000000-0005-0000-0000-0000DD000000}"/>
    <cellStyle name="20% - Accent2 2 3 6 2 2" xfId="15019" xr:uid="{CB24E1A4-B144-4E38-B891-0EE64FF0FC3D}"/>
    <cellStyle name="20% - Accent2 2 3 6 3" xfId="10801" xr:uid="{E4920CB2-A7AE-43BC-ABF1-84A357FBD7B4}"/>
    <cellStyle name="20% - Accent2 2 3 7" xfId="4517" xr:uid="{00000000-0005-0000-0000-0000DE000000}"/>
    <cellStyle name="20% - Accent2 2 3 7 2" xfId="12953" xr:uid="{A7FBDD3C-4C15-4FD2-877D-056A4855B2C9}"/>
    <cellStyle name="20% - Accent2 2 3 8" xfId="8735" xr:uid="{C77F060F-9E2B-4550-A57E-B92934EFCF4F}"/>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09" xr:uid="{533512EC-53E0-4D7A-95BE-56EBB3A7AFC0}"/>
    <cellStyle name="20% - Accent2 2 4 2 3" xfId="11291" xr:uid="{72821886-261E-412F-8C71-277C8186332A}"/>
    <cellStyle name="20% - Accent2 2 4 3" xfId="4928" xr:uid="{00000000-0005-0000-0000-0000E2000000}"/>
    <cellStyle name="20% - Accent2 2 4 3 2" xfId="13364" xr:uid="{F92D7D12-E73D-4CC6-B85F-634E8EA03AB2}"/>
    <cellStyle name="20% - Accent2 2 4 4" xfId="9146" xr:uid="{E0244711-B04A-4131-AA6A-2C3A4B994540}"/>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2" xr:uid="{158C91FC-95CF-43C8-83AB-84488A6B20F3}"/>
    <cellStyle name="20% - Accent2 2 5 2 3" xfId="11704" xr:uid="{5F06110A-B1E4-430B-B471-BDADAC6F0BA8}"/>
    <cellStyle name="20% - Accent2 2 5 3" xfId="5341" xr:uid="{00000000-0005-0000-0000-0000E6000000}"/>
    <cellStyle name="20% - Accent2 2 5 3 2" xfId="13777" xr:uid="{18EEEFD9-3D99-4EA0-A510-1E1A047C2242}"/>
    <cellStyle name="20% - Accent2 2 5 4" xfId="9559" xr:uid="{74524911-9985-43D8-8EBA-42CD216D88BB}"/>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5" xr:uid="{8D21A1D4-8A65-4B36-837A-1D9EC6C262FC}"/>
    <cellStyle name="20% - Accent2 2 6 2 3" xfId="12117" xr:uid="{E9FF82A1-685F-42E1-8234-C0B75BF584F5}"/>
    <cellStyle name="20% - Accent2 2 6 3" xfId="5754" xr:uid="{00000000-0005-0000-0000-0000EA000000}"/>
    <cellStyle name="20% - Accent2 2 6 3 2" xfId="14190" xr:uid="{78FBD534-FEB0-459B-8028-C6C968CF2FE2}"/>
    <cellStyle name="20% - Accent2 2 6 4" xfId="9972" xr:uid="{5E578EDA-B0EC-4AF8-99E8-77771CCE3641}"/>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48" xr:uid="{9ABB22A8-94E8-4569-A3D2-C3AC45B00BB5}"/>
    <cellStyle name="20% - Accent2 2 7 2 3" xfId="12530" xr:uid="{6CE939E6-A026-48A5-90C9-DEAFF3AF7818}"/>
    <cellStyle name="20% - Accent2 2 7 3" xfId="6167" xr:uid="{00000000-0005-0000-0000-0000EE000000}"/>
    <cellStyle name="20% - Accent2 2 7 3 2" xfId="14603" xr:uid="{4CEAA889-EE8B-4462-A595-7AB9F0359502}"/>
    <cellStyle name="20% - Accent2 2 7 4" xfId="10385" xr:uid="{69734371-7BFD-4DF6-B56B-F723CD8E0447}"/>
    <cellStyle name="20% - Accent2 2 8" xfId="2273" xr:uid="{00000000-0005-0000-0000-0000EF000000}"/>
    <cellStyle name="20% - Accent2 2 8 2" xfId="6580" xr:uid="{00000000-0005-0000-0000-0000F0000000}"/>
    <cellStyle name="20% - Accent2 2 8 2 2" xfId="15016" xr:uid="{9FE7333A-6F94-4EEC-BAE8-4A5187CE5D93}"/>
    <cellStyle name="20% - Accent2 2 8 3" xfId="10798" xr:uid="{641A4401-E11C-4CD1-B28E-98801B3C1E74}"/>
    <cellStyle name="20% - Accent2 2 9" xfId="4514" xr:uid="{00000000-0005-0000-0000-0000F1000000}"/>
    <cellStyle name="20% - Accent2 2 9 2" xfId="12950" xr:uid="{0DF02AD6-8522-4971-B7B6-05E7DB1FF30D}"/>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4" xr:uid="{A45F62A8-694C-44E1-85DF-41F04FC2849D}"/>
    <cellStyle name="20% - Accent2 3 2 2 2 3" xfId="11296" xr:uid="{D70BEFB3-37A1-4311-8272-49E5A5FAC6B2}"/>
    <cellStyle name="20% - Accent2 3 2 2 3" xfId="4933" xr:uid="{00000000-0005-0000-0000-0000F7000000}"/>
    <cellStyle name="20% - Accent2 3 2 2 3 2" xfId="13369" xr:uid="{E19BFF7A-4ACC-41EF-BFD8-F73395453BD6}"/>
    <cellStyle name="20% - Accent2 3 2 2 4" xfId="9151" xr:uid="{2FEE4628-D9F6-4917-B730-DCA04F7918FE}"/>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27" xr:uid="{2E1AA29E-60F7-4B78-85EC-A588C9FA552C}"/>
    <cellStyle name="20% - Accent2 3 2 3 2 3" xfId="11709" xr:uid="{B477B177-62AF-4317-88D8-15BC3C2883F8}"/>
    <cellStyle name="20% - Accent2 3 2 3 3" xfId="5346" xr:uid="{00000000-0005-0000-0000-0000FB000000}"/>
    <cellStyle name="20% - Accent2 3 2 3 3 2" xfId="13782" xr:uid="{6B5F8B10-F743-472E-AC3B-4130E9CEF629}"/>
    <cellStyle name="20% - Accent2 3 2 3 4" xfId="9564" xr:uid="{B1E29999-F149-454D-8B92-15B7821C8A9D}"/>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0" xr:uid="{25A404F1-E685-4718-96CC-679D3DF1AFB7}"/>
    <cellStyle name="20% - Accent2 3 2 4 2 3" xfId="12122" xr:uid="{691F698D-92D8-463D-A452-203F1FCD4425}"/>
    <cellStyle name="20% - Accent2 3 2 4 3" xfId="5759" xr:uid="{00000000-0005-0000-0000-0000FF000000}"/>
    <cellStyle name="20% - Accent2 3 2 4 3 2" xfId="14195" xr:uid="{94F2BAAF-BFF9-408E-8C5D-0D31799721F3}"/>
    <cellStyle name="20% - Accent2 3 2 4 4" xfId="9977" xr:uid="{63278DAB-7786-4DEA-8B3F-C140EE21B503}"/>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3" xr:uid="{FEE1E321-3A3B-4095-9EB6-89B0637EADFA}"/>
    <cellStyle name="20% - Accent2 3 2 5 2 3" xfId="12535" xr:uid="{E0F752AB-F7D1-46DD-95CA-F9C7B38677BB}"/>
    <cellStyle name="20% - Accent2 3 2 5 3" xfId="6172" xr:uid="{00000000-0005-0000-0000-000003010000}"/>
    <cellStyle name="20% - Accent2 3 2 5 3 2" xfId="14608" xr:uid="{7F3ECDAA-8787-4F0F-9F71-18CA70B7054E}"/>
    <cellStyle name="20% - Accent2 3 2 5 4" xfId="10390" xr:uid="{01766349-6BD9-4421-A53F-3B2DA13A2429}"/>
    <cellStyle name="20% - Accent2 3 2 6" xfId="2278" xr:uid="{00000000-0005-0000-0000-000004010000}"/>
    <cellStyle name="20% - Accent2 3 2 6 2" xfId="6585" xr:uid="{00000000-0005-0000-0000-000005010000}"/>
    <cellStyle name="20% - Accent2 3 2 6 2 2" xfId="15021" xr:uid="{A34276F1-7B17-4F3E-B51F-68E56A9B9435}"/>
    <cellStyle name="20% - Accent2 3 2 6 3" xfId="10803" xr:uid="{5A995E1C-C9BB-498F-956F-C0DCE0ADE187}"/>
    <cellStyle name="20% - Accent2 3 2 7" xfId="4519" xr:uid="{00000000-0005-0000-0000-000006010000}"/>
    <cellStyle name="20% - Accent2 3 2 7 2" xfId="12955" xr:uid="{A1D83B68-D2FE-4E71-835F-5C8198181EFE}"/>
    <cellStyle name="20% - Accent2 3 2 8" xfId="8737" xr:uid="{50B38197-8126-4CDF-9BFC-FAFFDB24A3A8}"/>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3" xr:uid="{6E17D2BB-30F4-4F60-A1E2-D14E5A207F71}"/>
    <cellStyle name="20% - Accent2 3 3 2 3" xfId="11295" xr:uid="{C012919A-E7A9-4C67-9870-BA8C3BA45DCD}"/>
    <cellStyle name="20% - Accent2 3 3 3" xfId="4932" xr:uid="{00000000-0005-0000-0000-00000A010000}"/>
    <cellStyle name="20% - Accent2 3 3 3 2" xfId="13368" xr:uid="{9D3E2F97-3385-4187-BA91-156BBD0E59FE}"/>
    <cellStyle name="20% - Accent2 3 3 4" xfId="9150" xr:uid="{7748F266-72F0-4D31-A1E2-52DF0CDDE9A6}"/>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6" xr:uid="{49DAC5A7-49BD-4661-B217-49A3EB31035B}"/>
    <cellStyle name="20% - Accent2 3 4 2 3" xfId="11708" xr:uid="{3D06C3DF-3D88-4970-89DD-6A1A47339D68}"/>
    <cellStyle name="20% - Accent2 3 4 3" xfId="5345" xr:uid="{00000000-0005-0000-0000-00000E010000}"/>
    <cellStyle name="20% - Accent2 3 4 3 2" xfId="13781" xr:uid="{F73535B3-3787-432D-B42C-E3E86A66628B}"/>
    <cellStyle name="20% - Accent2 3 4 4" xfId="9563" xr:uid="{0ABF100F-FFD9-4755-9679-C648B6FB1DB9}"/>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39" xr:uid="{33B32651-054C-464D-9766-AC4F52FDCEDE}"/>
    <cellStyle name="20% - Accent2 3 5 2 3" xfId="12121" xr:uid="{49DDC573-C1AB-4C26-BB86-008D82B36348}"/>
    <cellStyle name="20% - Accent2 3 5 3" xfId="5758" xr:uid="{00000000-0005-0000-0000-000012010000}"/>
    <cellStyle name="20% - Accent2 3 5 3 2" xfId="14194" xr:uid="{C9E0A412-F7D7-4800-876A-EB8B15E451C4}"/>
    <cellStyle name="20% - Accent2 3 5 4" xfId="9976" xr:uid="{1B612863-1BA5-49E6-8FD8-D25BE850623E}"/>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2" xr:uid="{00DBD1FD-42EB-489F-9A51-4C441B5DDBA1}"/>
    <cellStyle name="20% - Accent2 3 6 2 3" xfId="12534" xr:uid="{C18EBC0C-DDF8-4E23-93FA-A20386732AA0}"/>
    <cellStyle name="20% - Accent2 3 6 3" xfId="6171" xr:uid="{00000000-0005-0000-0000-000016010000}"/>
    <cellStyle name="20% - Accent2 3 6 3 2" xfId="14607" xr:uid="{2D2162BD-B4F2-4488-9658-6973CFEA270F}"/>
    <cellStyle name="20% - Accent2 3 6 4" xfId="10389" xr:uid="{01C78810-DE21-4D1D-9B62-DE9BA06E9AFE}"/>
    <cellStyle name="20% - Accent2 3 7" xfId="2277" xr:uid="{00000000-0005-0000-0000-000017010000}"/>
    <cellStyle name="20% - Accent2 3 7 2" xfId="6584" xr:uid="{00000000-0005-0000-0000-000018010000}"/>
    <cellStyle name="20% - Accent2 3 7 2 2" xfId="15020" xr:uid="{F0EC2E27-C4B3-4273-83EB-B9FAB8702BB1}"/>
    <cellStyle name="20% - Accent2 3 7 3" xfId="10802" xr:uid="{54CF5EF7-F87C-4BAA-B73C-8EB37E78D86B}"/>
    <cellStyle name="20% - Accent2 3 8" xfId="4518" xr:uid="{00000000-0005-0000-0000-000019010000}"/>
    <cellStyle name="20% - Accent2 3 8 2" xfId="12954" xr:uid="{E8FA70DC-3056-4DBB-8825-42F9B8FFE1BE}"/>
    <cellStyle name="20% - Accent2 3 9" xfId="8736" xr:uid="{598F75EF-CC70-44F3-8BEC-42B5F51DE3B3}"/>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5" xr:uid="{7AF8725D-6411-4B87-8E1B-46DDB2691F5B}"/>
    <cellStyle name="20% - Accent2 4 2 2 3" xfId="11297" xr:uid="{1FB0FF94-7634-492D-9F7A-D44D5B027503}"/>
    <cellStyle name="20% - Accent2 4 2 3" xfId="4934" xr:uid="{00000000-0005-0000-0000-00001E010000}"/>
    <cellStyle name="20% - Accent2 4 2 3 2" xfId="13370" xr:uid="{787694FE-61E1-4E6A-8B65-D3CC119428F8}"/>
    <cellStyle name="20% - Accent2 4 2 4" xfId="9152" xr:uid="{3E189026-B07D-44B0-BD1D-3FCC7F3ECFA9}"/>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28" xr:uid="{3DDCEBF2-BA7D-45E9-A863-F24C939A8AB9}"/>
    <cellStyle name="20% - Accent2 4 3 2 3" xfId="11710" xr:uid="{48B070BF-B579-4DFC-9F3A-90CAD7E9C7BF}"/>
    <cellStyle name="20% - Accent2 4 3 3" xfId="5347" xr:uid="{00000000-0005-0000-0000-000022010000}"/>
    <cellStyle name="20% - Accent2 4 3 3 2" xfId="13783" xr:uid="{66BE9243-ED3D-4EAD-A74A-B3E88B8C4F18}"/>
    <cellStyle name="20% - Accent2 4 3 4" xfId="9565" xr:uid="{BA6E9184-4735-4477-93EC-8C82F22EAEC0}"/>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1" xr:uid="{E0AD1F99-6D17-4126-B8B7-0C3FD343EB25}"/>
    <cellStyle name="20% - Accent2 4 4 2 3" xfId="12123" xr:uid="{D8EB4E59-E982-4BBE-AAA6-4E35C811AAA1}"/>
    <cellStyle name="20% - Accent2 4 4 3" xfId="5760" xr:uid="{00000000-0005-0000-0000-000026010000}"/>
    <cellStyle name="20% - Accent2 4 4 3 2" xfId="14196" xr:uid="{F6CE0764-F0E9-48A3-B9E9-8E739354E2E3}"/>
    <cellStyle name="20% - Accent2 4 4 4" xfId="9978" xr:uid="{397545E1-40B8-4985-BA32-065A034C4C81}"/>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4" xr:uid="{CEF21B75-AB69-4493-807F-6D118F0723B2}"/>
    <cellStyle name="20% - Accent2 4 5 2 3" xfId="12536" xr:uid="{BC55BBCE-37D5-4AB3-9284-2B08CE30E36D}"/>
    <cellStyle name="20% - Accent2 4 5 3" xfId="6173" xr:uid="{00000000-0005-0000-0000-00002A010000}"/>
    <cellStyle name="20% - Accent2 4 5 3 2" xfId="14609" xr:uid="{F4D35FB1-E199-40F7-9DB0-3C54CFE445DE}"/>
    <cellStyle name="20% - Accent2 4 5 4" xfId="10391" xr:uid="{26CADCF4-217B-4BFB-8C22-A20087732D04}"/>
    <cellStyle name="20% - Accent2 4 6" xfId="2279" xr:uid="{00000000-0005-0000-0000-00002B010000}"/>
    <cellStyle name="20% - Accent2 4 6 2" xfId="6586" xr:uid="{00000000-0005-0000-0000-00002C010000}"/>
    <cellStyle name="20% - Accent2 4 6 2 2" xfId="15022" xr:uid="{783B43CD-53CB-43C5-A556-D171CD78CCE8}"/>
    <cellStyle name="20% - Accent2 4 6 3" xfId="10804" xr:uid="{67FA0B98-94D0-42F2-B927-D9835A04B88D}"/>
    <cellStyle name="20% - Accent2 4 7" xfId="4520" xr:uid="{00000000-0005-0000-0000-00002D010000}"/>
    <cellStyle name="20% - Accent2 4 7 2" xfId="12956" xr:uid="{37EFD614-E90B-4D00-B559-F0B85CBFF43D}"/>
    <cellStyle name="20% - Accent2 4 8" xfId="8738" xr:uid="{2AA43495-8FE9-473D-9D1E-AA356AE6E87F}"/>
    <cellStyle name="20% - Accent2 5" xfId="578" xr:uid="{00000000-0005-0000-0000-00002E010000}"/>
    <cellStyle name="20% - Accent2 5 2" xfId="2849" xr:uid="{00000000-0005-0000-0000-00002F010000}"/>
    <cellStyle name="20% - Accent2 5 2 2" xfId="7072" xr:uid="{00000000-0005-0000-0000-000030010000}"/>
    <cellStyle name="20% - Accent2 5 2 2 2" xfId="15508" xr:uid="{FAE2210E-224D-4B2F-A6C7-1BD561848419}"/>
    <cellStyle name="20% - Accent2 5 2 3" xfId="11290" xr:uid="{A2D50E6E-9A94-4066-A4F9-38FBF1131D00}"/>
    <cellStyle name="20% - Accent2 5 3" xfId="4927" xr:uid="{00000000-0005-0000-0000-000031010000}"/>
    <cellStyle name="20% - Accent2 5 3 2" xfId="13363" xr:uid="{61424F77-C93C-4273-BF4F-36318A4E170C}"/>
    <cellStyle name="20% - Accent2 5 4" xfId="9145" xr:uid="{0F66CB27-1756-4BB0-AA7B-31FBCAF07CEB}"/>
    <cellStyle name="20% - Accent2 6" xfId="1031" xr:uid="{00000000-0005-0000-0000-000032010000}"/>
    <cellStyle name="20% - Accent2 6 2" xfId="3262" xr:uid="{00000000-0005-0000-0000-000033010000}"/>
    <cellStyle name="20% - Accent2 6 2 2" xfId="7485" xr:uid="{00000000-0005-0000-0000-000034010000}"/>
    <cellStyle name="20% - Accent2 6 2 2 2" xfId="15921" xr:uid="{6A45C59C-209B-4CD9-9746-97527C512B01}"/>
    <cellStyle name="20% - Accent2 6 2 3" xfId="11703" xr:uid="{849A0D25-842A-434E-BD46-A8EDC9EB9010}"/>
    <cellStyle name="20% - Accent2 6 3" xfId="5340" xr:uid="{00000000-0005-0000-0000-000035010000}"/>
    <cellStyle name="20% - Accent2 6 3 2" xfId="13776" xr:uid="{63CEFCF4-9090-4322-A604-8CCD12880376}"/>
    <cellStyle name="20% - Accent2 6 4" xfId="9558" xr:uid="{C4AE71AB-7CA0-49FC-9BDD-9558945BF246}"/>
    <cellStyle name="20% - Accent2 7" xfId="1445" xr:uid="{00000000-0005-0000-0000-000036010000}"/>
    <cellStyle name="20% - Accent2 7 2" xfId="3675" xr:uid="{00000000-0005-0000-0000-000037010000}"/>
    <cellStyle name="20% - Accent2 7 2 2" xfId="7898" xr:uid="{00000000-0005-0000-0000-000038010000}"/>
    <cellStyle name="20% - Accent2 7 2 2 2" xfId="16334" xr:uid="{B007E8AB-D4DB-4BFA-A161-2E3B2BCFAD0B}"/>
    <cellStyle name="20% - Accent2 7 2 3" xfId="12116" xr:uid="{029EC5A9-ADC2-4C9B-A42A-C411015D2214}"/>
    <cellStyle name="20% - Accent2 7 3" xfId="5753" xr:uid="{00000000-0005-0000-0000-000039010000}"/>
    <cellStyle name="20% - Accent2 7 3 2" xfId="14189" xr:uid="{7C781EFC-74B8-4E48-9E2C-50B91889EAD8}"/>
    <cellStyle name="20% - Accent2 7 4" xfId="9971" xr:uid="{E9D0DCCA-8397-4E9A-91D8-A035825A17F4}"/>
    <cellStyle name="20% - Accent2 8" xfId="1859" xr:uid="{00000000-0005-0000-0000-00003A010000}"/>
    <cellStyle name="20% - Accent2 8 2" xfId="4088" xr:uid="{00000000-0005-0000-0000-00003B010000}"/>
    <cellStyle name="20% - Accent2 8 2 2" xfId="8311" xr:uid="{00000000-0005-0000-0000-00003C010000}"/>
    <cellStyle name="20% - Accent2 8 2 2 2" xfId="16747" xr:uid="{846AE098-21C4-4264-A3CE-BD56F7F5AF36}"/>
    <cellStyle name="20% - Accent2 8 2 3" xfId="12529" xr:uid="{24D99C78-335C-4AF2-ADC5-F568F60D264D}"/>
    <cellStyle name="20% - Accent2 8 3" xfId="6166" xr:uid="{00000000-0005-0000-0000-00003D010000}"/>
    <cellStyle name="20% - Accent2 8 3 2" xfId="14602" xr:uid="{978DFCFD-AA3B-41ED-A77A-82C6281431AB}"/>
    <cellStyle name="20% - Accent2 8 4" xfId="10384" xr:uid="{D7D39D9F-3E1A-4118-937F-D08181E1E1E5}"/>
    <cellStyle name="20% - Accent2 9" xfId="2272" xr:uid="{00000000-0005-0000-0000-00003E010000}"/>
    <cellStyle name="20% - Accent2 9 2" xfId="6579" xr:uid="{00000000-0005-0000-0000-00003F010000}"/>
    <cellStyle name="20% - Accent2 9 2 2" xfId="15015" xr:uid="{6B85379D-E0B6-41AD-8816-3A23560C8F01}"/>
    <cellStyle name="20% - Accent2 9 3" xfId="10797" xr:uid="{B1C644CE-8323-4CEF-9DDC-60690FA1DA9A}"/>
    <cellStyle name="20% - Accent3" xfId="17" builtinId="38" customBuiltin="1"/>
    <cellStyle name="20% - Accent3 10" xfId="4521" xr:uid="{00000000-0005-0000-0000-000041010000}"/>
    <cellStyle name="20% - Accent3 10 2" xfId="12957" xr:uid="{F73D5ECC-8444-484C-A5FE-99F7CFBEF7B9}"/>
    <cellStyle name="20% - Accent3 11" xfId="8739" xr:uid="{0951C3EC-9CBB-4C73-AD23-7DC0E3769ED9}"/>
    <cellStyle name="20% - Accent3 2" xfId="18" xr:uid="{00000000-0005-0000-0000-000042010000}"/>
    <cellStyle name="20% - Accent3 2 10" xfId="8740" xr:uid="{7741BB27-7F8D-4C0A-BC00-0525E72DED2D}"/>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19" xr:uid="{0A1F4271-F5A5-47F0-9AE7-82AE932F7DDB}"/>
    <cellStyle name="20% - Accent3 2 2 2 2 2 3" xfId="11301" xr:uid="{BD141E14-5A18-4E2E-A861-98ABB5946C7D}"/>
    <cellStyle name="20% - Accent3 2 2 2 2 3" xfId="4938" xr:uid="{00000000-0005-0000-0000-000048010000}"/>
    <cellStyle name="20% - Accent3 2 2 2 2 3 2" xfId="13374" xr:uid="{E2EF2C2A-EE0B-4AB6-8DCF-FE40020A3906}"/>
    <cellStyle name="20% - Accent3 2 2 2 2 4" xfId="9156" xr:uid="{9B8FE464-1C10-4655-BEE2-2270F96FC03E}"/>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2" xr:uid="{383B1AE9-5068-4C04-B620-D346B35B0EA1}"/>
    <cellStyle name="20% - Accent3 2 2 2 3 2 3" xfId="11714" xr:uid="{77753DCC-E35C-4539-8F7D-2188D68DDDF4}"/>
    <cellStyle name="20% - Accent3 2 2 2 3 3" xfId="5351" xr:uid="{00000000-0005-0000-0000-00004C010000}"/>
    <cellStyle name="20% - Accent3 2 2 2 3 3 2" xfId="13787" xr:uid="{38E571B0-D463-4083-ACEE-F32471F36CD2}"/>
    <cellStyle name="20% - Accent3 2 2 2 3 4" xfId="9569" xr:uid="{188817C6-A613-47A3-8457-0B63A4AF2793}"/>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5" xr:uid="{CB1EAB41-E3FF-4671-93F8-B7DE4B252809}"/>
    <cellStyle name="20% - Accent3 2 2 2 4 2 3" xfId="12127" xr:uid="{A0604864-2623-474A-B334-210C92765AFF}"/>
    <cellStyle name="20% - Accent3 2 2 2 4 3" xfId="5764" xr:uid="{00000000-0005-0000-0000-000050010000}"/>
    <cellStyle name="20% - Accent3 2 2 2 4 3 2" xfId="14200" xr:uid="{EBB22824-D481-4FEF-BE2A-10710DA992F6}"/>
    <cellStyle name="20% - Accent3 2 2 2 4 4" xfId="9982" xr:uid="{85C0AF8F-5997-4478-94AF-A5C0E83CA1AE}"/>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58" xr:uid="{6E78695F-35C7-4EEA-B54D-F37989C30F47}"/>
    <cellStyle name="20% - Accent3 2 2 2 5 2 3" xfId="12540" xr:uid="{E974BECF-5ADD-42D1-83F2-4BC10A0BF06C}"/>
    <cellStyle name="20% - Accent3 2 2 2 5 3" xfId="6177" xr:uid="{00000000-0005-0000-0000-000054010000}"/>
    <cellStyle name="20% - Accent3 2 2 2 5 3 2" xfId="14613" xr:uid="{0C44AAB8-40AB-4ADB-B78C-03E71D20AC25}"/>
    <cellStyle name="20% - Accent3 2 2 2 5 4" xfId="10395" xr:uid="{D18E12E0-A0B9-4D45-9CFE-55AF6E514ED2}"/>
    <cellStyle name="20% - Accent3 2 2 2 6" xfId="2283" xr:uid="{00000000-0005-0000-0000-000055010000}"/>
    <cellStyle name="20% - Accent3 2 2 2 6 2" xfId="6590" xr:uid="{00000000-0005-0000-0000-000056010000}"/>
    <cellStyle name="20% - Accent3 2 2 2 6 2 2" xfId="15026" xr:uid="{B09BEAE5-7512-450A-B4FB-827AD3DF56D9}"/>
    <cellStyle name="20% - Accent3 2 2 2 6 3" xfId="10808" xr:uid="{361DD179-A37E-4281-ABB0-56664C875CE9}"/>
    <cellStyle name="20% - Accent3 2 2 2 7" xfId="4524" xr:uid="{00000000-0005-0000-0000-000057010000}"/>
    <cellStyle name="20% - Accent3 2 2 2 7 2" xfId="12960" xr:uid="{7F4ECB70-F473-4469-8FF2-65575F9C50EE}"/>
    <cellStyle name="20% - Accent3 2 2 2 8" xfId="8742" xr:uid="{3D88F68C-C6E8-4F40-A6E5-2FB7420E8324}"/>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18" xr:uid="{F769CED6-4367-419B-8D27-8C7089796007}"/>
    <cellStyle name="20% - Accent3 2 2 3 2 3" xfId="11300" xr:uid="{7BECEC33-2EB7-4580-A41E-168CDECABDEF}"/>
    <cellStyle name="20% - Accent3 2 2 3 3" xfId="4937" xr:uid="{00000000-0005-0000-0000-00005B010000}"/>
    <cellStyle name="20% - Accent3 2 2 3 3 2" xfId="13373" xr:uid="{3DF90B70-EFEE-4AD8-A5EC-E497734D4397}"/>
    <cellStyle name="20% - Accent3 2 2 3 4" xfId="9155" xr:uid="{6E6116FA-A6CF-42B0-90AD-085814A73ACE}"/>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1" xr:uid="{FF4A4AC3-A07F-48E4-AD70-7A5C396AAA2A}"/>
    <cellStyle name="20% - Accent3 2 2 4 2 3" xfId="11713" xr:uid="{E1671B7B-4C86-4F74-8161-3DBC26CD969A}"/>
    <cellStyle name="20% - Accent3 2 2 4 3" xfId="5350" xr:uid="{00000000-0005-0000-0000-00005F010000}"/>
    <cellStyle name="20% - Accent3 2 2 4 3 2" xfId="13786" xr:uid="{482A7332-8C92-4B9A-BA03-D55B9AFEC660}"/>
    <cellStyle name="20% - Accent3 2 2 4 4" xfId="9568" xr:uid="{680355B7-4EE6-49B4-B4E3-AC016E15C1F7}"/>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4" xr:uid="{5A2EE47A-F9F5-4EBE-8267-6D2DABA73FC8}"/>
    <cellStyle name="20% - Accent3 2 2 5 2 3" xfId="12126" xr:uid="{EC335FBE-BAAD-413C-B7EA-42EAA8080FC8}"/>
    <cellStyle name="20% - Accent3 2 2 5 3" xfId="5763" xr:uid="{00000000-0005-0000-0000-000063010000}"/>
    <cellStyle name="20% - Accent3 2 2 5 3 2" xfId="14199" xr:uid="{09FCFF8C-4268-45D8-944F-51B7B36CC974}"/>
    <cellStyle name="20% - Accent3 2 2 5 4" xfId="9981" xr:uid="{76A0212F-AB3C-4E9E-8A3A-EC747766DA3C}"/>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57" xr:uid="{1423E70B-6B70-4170-A82B-5E1583C08119}"/>
    <cellStyle name="20% - Accent3 2 2 6 2 3" xfId="12539" xr:uid="{B515C7B8-FCD1-404E-A212-11C7D38933CF}"/>
    <cellStyle name="20% - Accent3 2 2 6 3" xfId="6176" xr:uid="{00000000-0005-0000-0000-000067010000}"/>
    <cellStyle name="20% - Accent3 2 2 6 3 2" xfId="14612" xr:uid="{31AADE2B-FCDC-4776-916C-4FCA00D37663}"/>
    <cellStyle name="20% - Accent3 2 2 6 4" xfId="10394" xr:uid="{B98E65B0-9415-416C-BC75-7795AF2E4B6B}"/>
    <cellStyle name="20% - Accent3 2 2 7" xfId="2282" xr:uid="{00000000-0005-0000-0000-000068010000}"/>
    <cellStyle name="20% - Accent3 2 2 7 2" xfId="6589" xr:uid="{00000000-0005-0000-0000-000069010000}"/>
    <cellStyle name="20% - Accent3 2 2 7 2 2" xfId="15025" xr:uid="{737912A7-F079-479F-AFF8-B9034F474057}"/>
    <cellStyle name="20% - Accent3 2 2 7 3" xfId="10807" xr:uid="{818FFD6E-CA31-4608-9E77-857323C8A447}"/>
    <cellStyle name="20% - Accent3 2 2 8" xfId="4523" xr:uid="{00000000-0005-0000-0000-00006A010000}"/>
    <cellStyle name="20% - Accent3 2 2 8 2" xfId="12959" xr:uid="{90230E98-B1E0-4B18-AD08-619CE15E075F}"/>
    <cellStyle name="20% - Accent3 2 2 9" xfId="8741" xr:uid="{83352054-AB0A-49F0-B566-0E3C74D19DD4}"/>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0" xr:uid="{5297C049-5958-4645-A0BE-9EF7947DE0D6}"/>
    <cellStyle name="20% - Accent3 2 3 2 2 3" xfId="11302" xr:uid="{AC03831E-E4B1-4CF0-82F6-5208FC5F2145}"/>
    <cellStyle name="20% - Accent3 2 3 2 3" xfId="4939" xr:uid="{00000000-0005-0000-0000-00006F010000}"/>
    <cellStyle name="20% - Accent3 2 3 2 3 2" xfId="13375" xr:uid="{34BB473F-A087-4CCD-A6DF-C90B230E0FBF}"/>
    <cellStyle name="20% - Accent3 2 3 2 4" xfId="9157" xr:uid="{4CBAF514-77DB-4B7F-9CFC-26687917C65A}"/>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3" xr:uid="{F6D201F3-07B0-4F77-A723-C04CC746A682}"/>
    <cellStyle name="20% - Accent3 2 3 3 2 3" xfId="11715" xr:uid="{3E603941-D5A3-4E43-AF59-7134FAFF7B17}"/>
    <cellStyle name="20% - Accent3 2 3 3 3" xfId="5352" xr:uid="{00000000-0005-0000-0000-000073010000}"/>
    <cellStyle name="20% - Accent3 2 3 3 3 2" xfId="13788" xr:uid="{75B3695C-A79B-441C-AEB9-54AAE65B6AB5}"/>
    <cellStyle name="20% - Accent3 2 3 3 4" xfId="9570" xr:uid="{C0000746-EAB4-4454-821C-86DE0A8DC450}"/>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6" xr:uid="{928D7CCF-9B52-46BE-8B6A-F499AC1B01FE}"/>
    <cellStyle name="20% - Accent3 2 3 4 2 3" xfId="12128" xr:uid="{A3B50921-A721-4A7B-A39D-C952BE09E783}"/>
    <cellStyle name="20% - Accent3 2 3 4 3" xfId="5765" xr:uid="{00000000-0005-0000-0000-000077010000}"/>
    <cellStyle name="20% - Accent3 2 3 4 3 2" xfId="14201" xr:uid="{4CC84224-F4AD-4307-8C4E-871DEDF7343E}"/>
    <cellStyle name="20% - Accent3 2 3 4 4" xfId="9983" xr:uid="{7154FC1A-7EE4-4D4C-B03C-749790A91ED5}"/>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59" xr:uid="{602BB97C-A9C8-42E8-B364-34094C7363E4}"/>
    <cellStyle name="20% - Accent3 2 3 5 2 3" xfId="12541" xr:uid="{E3A944B5-6928-4022-AF19-C0990FF4E7FC}"/>
    <cellStyle name="20% - Accent3 2 3 5 3" xfId="6178" xr:uid="{00000000-0005-0000-0000-00007B010000}"/>
    <cellStyle name="20% - Accent3 2 3 5 3 2" xfId="14614" xr:uid="{81894B48-6031-402C-ACA4-CB085968724A}"/>
    <cellStyle name="20% - Accent3 2 3 5 4" xfId="10396" xr:uid="{7C975290-DACB-42E5-85A7-B2B728D7B015}"/>
    <cellStyle name="20% - Accent3 2 3 6" xfId="2284" xr:uid="{00000000-0005-0000-0000-00007C010000}"/>
    <cellStyle name="20% - Accent3 2 3 6 2" xfId="6591" xr:uid="{00000000-0005-0000-0000-00007D010000}"/>
    <cellStyle name="20% - Accent3 2 3 6 2 2" xfId="15027" xr:uid="{D4BE20E9-A1A7-4395-BBDE-F3F880D941D7}"/>
    <cellStyle name="20% - Accent3 2 3 6 3" xfId="10809" xr:uid="{B6292308-714B-4A0E-97CA-FC3A12A77400}"/>
    <cellStyle name="20% - Accent3 2 3 7" xfId="4525" xr:uid="{00000000-0005-0000-0000-00007E010000}"/>
    <cellStyle name="20% - Accent3 2 3 7 2" xfId="12961" xr:uid="{6A310E34-0143-4E09-B699-44BD27FBBF64}"/>
    <cellStyle name="20% - Accent3 2 3 8" xfId="8743" xr:uid="{E84F5155-79A9-486A-9C3A-4F075B9CB6EE}"/>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17" xr:uid="{3EEE5E64-BC4C-453E-9C68-85582B2CB7E4}"/>
    <cellStyle name="20% - Accent3 2 4 2 3" xfId="11299" xr:uid="{FF1DADC7-1673-4358-81A3-210EE02CB553}"/>
    <cellStyle name="20% - Accent3 2 4 3" xfId="4936" xr:uid="{00000000-0005-0000-0000-000082010000}"/>
    <cellStyle name="20% - Accent3 2 4 3 2" xfId="13372" xr:uid="{CFEDA427-38C2-4334-92F3-CDF5AC3AD464}"/>
    <cellStyle name="20% - Accent3 2 4 4" xfId="9154" xr:uid="{F59DC44D-2F8D-498C-AED2-A4C8CB7863F7}"/>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0" xr:uid="{E8224F5A-A44B-40B7-93CF-81C13E7CD71A}"/>
    <cellStyle name="20% - Accent3 2 5 2 3" xfId="11712" xr:uid="{095CC3B4-9AF9-4B7B-90A0-AD8D317445F1}"/>
    <cellStyle name="20% - Accent3 2 5 3" xfId="5349" xr:uid="{00000000-0005-0000-0000-000086010000}"/>
    <cellStyle name="20% - Accent3 2 5 3 2" xfId="13785" xr:uid="{20700283-B3A5-4FDD-8965-65CD5C12B2A2}"/>
    <cellStyle name="20% - Accent3 2 5 4" xfId="9567" xr:uid="{43969E02-5916-4129-ADA4-CE7BD28C2204}"/>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3" xr:uid="{C2448FAD-0C8C-4780-93BB-2DBEA4A42C1B}"/>
    <cellStyle name="20% - Accent3 2 6 2 3" xfId="12125" xr:uid="{8EB265FC-8491-4EA3-B5DC-A8FB48FE6BF1}"/>
    <cellStyle name="20% - Accent3 2 6 3" xfId="5762" xr:uid="{00000000-0005-0000-0000-00008A010000}"/>
    <cellStyle name="20% - Accent3 2 6 3 2" xfId="14198" xr:uid="{817FDE91-859C-4C88-A9B8-C9B2E6A96936}"/>
    <cellStyle name="20% - Accent3 2 6 4" xfId="9980" xr:uid="{9F7B8354-6735-4E4F-B9D2-C6ECFBCC7DFD}"/>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6" xr:uid="{ADC7AE62-FB00-407F-A23C-42B0BBD94E90}"/>
    <cellStyle name="20% - Accent3 2 7 2 3" xfId="12538" xr:uid="{EC36E330-B249-4506-90EA-02B036A6D08B}"/>
    <cellStyle name="20% - Accent3 2 7 3" xfId="6175" xr:uid="{00000000-0005-0000-0000-00008E010000}"/>
    <cellStyle name="20% - Accent3 2 7 3 2" xfId="14611" xr:uid="{C05000DB-BDC1-4132-9E38-891E06360622}"/>
    <cellStyle name="20% - Accent3 2 7 4" xfId="10393" xr:uid="{6F75481F-B249-4918-B80B-B722D795CAD5}"/>
    <cellStyle name="20% - Accent3 2 8" xfId="2281" xr:uid="{00000000-0005-0000-0000-00008F010000}"/>
    <cellStyle name="20% - Accent3 2 8 2" xfId="6588" xr:uid="{00000000-0005-0000-0000-000090010000}"/>
    <cellStyle name="20% - Accent3 2 8 2 2" xfId="15024" xr:uid="{6C565BF4-BEF9-4EF0-8729-47B8797458BA}"/>
    <cellStyle name="20% - Accent3 2 8 3" xfId="10806" xr:uid="{27821CCB-D61D-48EE-8694-68BBAAE0D447}"/>
    <cellStyle name="20% - Accent3 2 9" xfId="4522" xr:uid="{00000000-0005-0000-0000-000091010000}"/>
    <cellStyle name="20% - Accent3 2 9 2" xfId="12958" xr:uid="{D4B3A361-903B-46E8-B38D-EC88C89374D3}"/>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2" xr:uid="{1FB78A01-8040-4271-A9FB-FC1581AC201F}"/>
    <cellStyle name="20% - Accent3 3 2 2 2 3" xfId="11304" xr:uid="{D7647496-6F34-42FF-A77C-F1292398B45D}"/>
    <cellStyle name="20% - Accent3 3 2 2 3" xfId="4941" xr:uid="{00000000-0005-0000-0000-000097010000}"/>
    <cellStyle name="20% - Accent3 3 2 2 3 2" xfId="13377" xr:uid="{DC6EA844-8982-472E-984F-7BC486087F0E}"/>
    <cellStyle name="20% - Accent3 3 2 2 4" xfId="9159" xr:uid="{FAF19F2F-0E90-41DD-B816-D52115F0C02E}"/>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5" xr:uid="{DFAAD5D1-BB2D-48ED-AE9B-D9D4AF5851CD}"/>
    <cellStyle name="20% - Accent3 3 2 3 2 3" xfId="11717" xr:uid="{E9228124-80F8-474F-B86B-32740D785662}"/>
    <cellStyle name="20% - Accent3 3 2 3 3" xfId="5354" xr:uid="{00000000-0005-0000-0000-00009B010000}"/>
    <cellStyle name="20% - Accent3 3 2 3 3 2" xfId="13790" xr:uid="{25E75C43-AD98-408E-9291-00DF7B3A0C54}"/>
    <cellStyle name="20% - Accent3 3 2 3 4" xfId="9572" xr:uid="{915CCE92-DFF9-4CDF-A7A2-391A3D4CFCE2}"/>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48" xr:uid="{E5393BEA-5F43-4DB1-8748-F1838846D3B7}"/>
    <cellStyle name="20% - Accent3 3 2 4 2 3" xfId="12130" xr:uid="{E977B553-BBA6-4520-8972-32392F7001EC}"/>
    <cellStyle name="20% - Accent3 3 2 4 3" xfId="5767" xr:uid="{00000000-0005-0000-0000-00009F010000}"/>
    <cellStyle name="20% - Accent3 3 2 4 3 2" xfId="14203" xr:uid="{0EF0B2C8-5195-435A-B537-F2C7960A9280}"/>
    <cellStyle name="20% - Accent3 3 2 4 4" xfId="9985" xr:uid="{0495AD0F-1906-4D05-857C-8760F42B90C1}"/>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1" xr:uid="{CFA100FD-EA4D-4428-A73B-2A7CE84620C5}"/>
    <cellStyle name="20% - Accent3 3 2 5 2 3" xfId="12543" xr:uid="{1D14B12E-F7EA-4934-B5FA-F7E1E0AC72FD}"/>
    <cellStyle name="20% - Accent3 3 2 5 3" xfId="6180" xr:uid="{00000000-0005-0000-0000-0000A3010000}"/>
    <cellStyle name="20% - Accent3 3 2 5 3 2" xfId="14616" xr:uid="{0E3ADC5F-77C5-460E-B91A-670B67529441}"/>
    <cellStyle name="20% - Accent3 3 2 5 4" xfId="10398" xr:uid="{F772CF64-8269-4EC3-BE03-0AD905F4B50D}"/>
    <cellStyle name="20% - Accent3 3 2 6" xfId="2286" xr:uid="{00000000-0005-0000-0000-0000A4010000}"/>
    <cellStyle name="20% - Accent3 3 2 6 2" xfId="6593" xr:uid="{00000000-0005-0000-0000-0000A5010000}"/>
    <cellStyle name="20% - Accent3 3 2 6 2 2" xfId="15029" xr:uid="{C2DA26B3-9E84-4CB4-82DA-DD2B3B355AFC}"/>
    <cellStyle name="20% - Accent3 3 2 6 3" xfId="10811" xr:uid="{DDF73D3C-0E0D-48DB-AEE1-28A5F4541BCC}"/>
    <cellStyle name="20% - Accent3 3 2 7" xfId="4527" xr:uid="{00000000-0005-0000-0000-0000A6010000}"/>
    <cellStyle name="20% - Accent3 3 2 7 2" xfId="12963" xr:uid="{7C1230D1-0D6D-49B8-8F62-E1BFFEC766AC}"/>
    <cellStyle name="20% - Accent3 3 2 8" xfId="8745" xr:uid="{12CB7155-1EA8-411C-A1FA-CB005BD28495}"/>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1" xr:uid="{A5D4455D-4863-4AFB-906B-1980AAC12708}"/>
    <cellStyle name="20% - Accent3 3 3 2 3" xfId="11303" xr:uid="{468C0190-131D-48E8-8EA5-6580A1FF3178}"/>
    <cellStyle name="20% - Accent3 3 3 3" xfId="4940" xr:uid="{00000000-0005-0000-0000-0000AA010000}"/>
    <cellStyle name="20% - Accent3 3 3 3 2" xfId="13376" xr:uid="{97B2E4C3-8E39-4CA3-AD1A-E876EF640129}"/>
    <cellStyle name="20% - Accent3 3 3 4" xfId="9158" xr:uid="{96D0425F-43BA-47F7-876C-6FA981F7F7B9}"/>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4" xr:uid="{1AABAE68-2B05-448D-8FF8-7173833AF32F}"/>
    <cellStyle name="20% - Accent3 3 4 2 3" xfId="11716" xr:uid="{9E982828-3A6B-4457-BEF1-6923D03A8C9A}"/>
    <cellStyle name="20% - Accent3 3 4 3" xfId="5353" xr:uid="{00000000-0005-0000-0000-0000AE010000}"/>
    <cellStyle name="20% - Accent3 3 4 3 2" xfId="13789" xr:uid="{9676E3F8-F3B2-4AD6-AD14-42E94DD6625F}"/>
    <cellStyle name="20% - Accent3 3 4 4" xfId="9571" xr:uid="{550FD6EF-E916-491F-8C3D-A35B4395BE56}"/>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47" xr:uid="{8EF68A54-D7D7-44E2-8890-9D44AF54ABAD}"/>
    <cellStyle name="20% - Accent3 3 5 2 3" xfId="12129" xr:uid="{1E8669B1-BC04-4BDE-A560-EBDB24784C02}"/>
    <cellStyle name="20% - Accent3 3 5 3" xfId="5766" xr:uid="{00000000-0005-0000-0000-0000B2010000}"/>
    <cellStyle name="20% - Accent3 3 5 3 2" xfId="14202" xr:uid="{3CED46D3-05A0-432F-A5A0-B7058DEF9AD8}"/>
    <cellStyle name="20% - Accent3 3 5 4" xfId="9984" xr:uid="{1EA894C4-C324-45E5-BCFF-5DA0565DC000}"/>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0" xr:uid="{495F8295-76EB-4841-B31F-B373EACDD0C1}"/>
    <cellStyle name="20% - Accent3 3 6 2 3" xfId="12542" xr:uid="{8D1EE892-7854-4BD4-B7B0-1984D646C4A2}"/>
    <cellStyle name="20% - Accent3 3 6 3" xfId="6179" xr:uid="{00000000-0005-0000-0000-0000B6010000}"/>
    <cellStyle name="20% - Accent3 3 6 3 2" xfId="14615" xr:uid="{594EFAC8-66EF-4BD8-9BA7-4B850A9EB8A1}"/>
    <cellStyle name="20% - Accent3 3 6 4" xfId="10397" xr:uid="{EB821431-F105-415D-9F55-D17D4DB7CF46}"/>
    <cellStyle name="20% - Accent3 3 7" xfId="2285" xr:uid="{00000000-0005-0000-0000-0000B7010000}"/>
    <cellStyle name="20% - Accent3 3 7 2" xfId="6592" xr:uid="{00000000-0005-0000-0000-0000B8010000}"/>
    <cellStyle name="20% - Accent3 3 7 2 2" xfId="15028" xr:uid="{D1A835F0-0EAD-407E-84A8-413C17B66E22}"/>
    <cellStyle name="20% - Accent3 3 7 3" xfId="10810" xr:uid="{290252D6-932B-4278-B3E6-1DAC05494ECC}"/>
    <cellStyle name="20% - Accent3 3 8" xfId="4526" xr:uid="{00000000-0005-0000-0000-0000B9010000}"/>
    <cellStyle name="20% - Accent3 3 8 2" xfId="12962" xr:uid="{FFFE07FC-A0B4-4955-944D-3485FA1916D0}"/>
    <cellStyle name="20% - Accent3 3 9" xfId="8744" xr:uid="{A7A2AFF2-5F17-4100-A696-BA61C277E864}"/>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3" xr:uid="{138C11AE-577D-4C96-AA03-DABD5EBAF49E}"/>
    <cellStyle name="20% - Accent3 4 2 2 3" xfId="11305" xr:uid="{51DDD345-092C-45C9-9BE2-19E24B81430D}"/>
    <cellStyle name="20% - Accent3 4 2 3" xfId="4942" xr:uid="{00000000-0005-0000-0000-0000BE010000}"/>
    <cellStyle name="20% - Accent3 4 2 3 2" xfId="13378" xr:uid="{BA08AC31-9E2D-4399-A678-59F569721F15}"/>
    <cellStyle name="20% - Accent3 4 2 4" xfId="9160" xr:uid="{6B14D8C4-D6DC-4B27-BD86-EFBC6138AE36}"/>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6" xr:uid="{559D00E2-E119-4EAD-A94B-90C530180A5B}"/>
    <cellStyle name="20% - Accent3 4 3 2 3" xfId="11718" xr:uid="{5E0EC58D-ACE0-4A0C-AF23-12B536D0D85C}"/>
    <cellStyle name="20% - Accent3 4 3 3" xfId="5355" xr:uid="{00000000-0005-0000-0000-0000C2010000}"/>
    <cellStyle name="20% - Accent3 4 3 3 2" xfId="13791" xr:uid="{0D130F91-FFC4-46E8-9F4B-09D52524877F}"/>
    <cellStyle name="20% - Accent3 4 3 4" xfId="9573" xr:uid="{26B18967-A74A-4316-81FC-F45DE92953DC}"/>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49" xr:uid="{CE29F560-C272-4541-B916-8D3CAB0E627F}"/>
    <cellStyle name="20% - Accent3 4 4 2 3" xfId="12131" xr:uid="{B882E4DC-2693-4617-851B-EA2487EB90E1}"/>
    <cellStyle name="20% - Accent3 4 4 3" xfId="5768" xr:uid="{00000000-0005-0000-0000-0000C6010000}"/>
    <cellStyle name="20% - Accent3 4 4 3 2" xfId="14204" xr:uid="{523623A5-384F-4711-8DBC-8242424BEC3B}"/>
    <cellStyle name="20% - Accent3 4 4 4" xfId="9986" xr:uid="{7542D165-A22C-4E5A-9D8B-D28E2B5B3454}"/>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2" xr:uid="{C8616D88-264C-42B0-944E-8989160A2B47}"/>
    <cellStyle name="20% - Accent3 4 5 2 3" xfId="12544" xr:uid="{2C7F9162-E0EB-4D54-9EDE-E3A29B9111F1}"/>
    <cellStyle name="20% - Accent3 4 5 3" xfId="6181" xr:uid="{00000000-0005-0000-0000-0000CA010000}"/>
    <cellStyle name="20% - Accent3 4 5 3 2" xfId="14617" xr:uid="{DAB78F46-7BF0-48FD-84ED-73B0CCE8786E}"/>
    <cellStyle name="20% - Accent3 4 5 4" xfId="10399" xr:uid="{A2122F07-BC2B-4305-9F61-E239E62EAFC3}"/>
    <cellStyle name="20% - Accent3 4 6" xfId="2287" xr:uid="{00000000-0005-0000-0000-0000CB010000}"/>
    <cellStyle name="20% - Accent3 4 6 2" xfId="6594" xr:uid="{00000000-0005-0000-0000-0000CC010000}"/>
    <cellStyle name="20% - Accent3 4 6 2 2" xfId="15030" xr:uid="{D476810F-748E-4954-B53C-F7FBF4ADE939}"/>
    <cellStyle name="20% - Accent3 4 6 3" xfId="10812" xr:uid="{3D257649-3E0E-4DFB-9A19-64D19494FBD8}"/>
    <cellStyle name="20% - Accent3 4 7" xfId="4528" xr:uid="{00000000-0005-0000-0000-0000CD010000}"/>
    <cellStyle name="20% - Accent3 4 7 2" xfId="12964" xr:uid="{D655A27B-E091-42AE-B2CF-283145D21FA5}"/>
    <cellStyle name="20% - Accent3 4 8" xfId="8746" xr:uid="{6B81CBEC-5080-40A1-B147-F42CC9D329A5}"/>
    <cellStyle name="20% - Accent3 5" xfId="586" xr:uid="{00000000-0005-0000-0000-0000CE010000}"/>
    <cellStyle name="20% - Accent3 5 2" xfId="2857" xr:uid="{00000000-0005-0000-0000-0000CF010000}"/>
    <cellStyle name="20% - Accent3 5 2 2" xfId="7080" xr:uid="{00000000-0005-0000-0000-0000D0010000}"/>
    <cellStyle name="20% - Accent3 5 2 2 2" xfId="15516" xr:uid="{A9D03173-C4EC-4668-B867-F35588AEF91F}"/>
    <cellStyle name="20% - Accent3 5 2 3" xfId="11298" xr:uid="{E99328D1-B34C-473E-845F-E5EE5A39DF55}"/>
    <cellStyle name="20% - Accent3 5 3" xfId="4935" xr:uid="{00000000-0005-0000-0000-0000D1010000}"/>
    <cellStyle name="20% - Accent3 5 3 2" xfId="13371" xr:uid="{E021D755-A900-41D9-9852-5C6F8E98AC27}"/>
    <cellStyle name="20% - Accent3 5 4" xfId="9153" xr:uid="{E22545C3-DB67-48D2-83D0-078969FC9D80}"/>
    <cellStyle name="20% - Accent3 6" xfId="1039" xr:uid="{00000000-0005-0000-0000-0000D2010000}"/>
    <cellStyle name="20% - Accent3 6 2" xfId="3270" xr:uid="{00000000-0005-0000-0000-0000D3010000}"/>
    <cellStyle name="20% - Accent3 6 2 2" xfId="7493" xr:uid="{00000000-0005-0000-0000-0000D4010000}"/>
    <cellStyle name="20% - Accent3 6 2 2 2" xfId="15929" xr:uid="{FC41F942-DA9E-4075-85E8-1DF897E76007}"/>
    <cellStyle name="20% - Accent3 6 2 3" xfId="11711" xr:uid="{B8FE091E-456B-4B51-9ED3-D73DA135751A}"/>
    <cellStyle name="20% - Accent3 6 3" xfId="5348" xr:uid="{00000000-0005-0000-0000-0000D5010000}"/>
    <cellStyle name="20% - Accent3 6 3 2" xfId="13784" xr:uid="{1F56F206-D85E-454E-84A6-FC8FF6AC2041}"/>
    <cellStyle name="20% - Accent3 6 4" xfId="9566" xr:uid="{FADCBCA0-A266-4586-8BF8-C3C6BC88E723}"/>
    <cellStyle name="20% - Accent3 7" xfId="1453" xr:uid="{00000000-0005-0000-0000-0000D6010000}"/>
    <cellStyle name="20% - Accent3 7 2" xfId="3683" xr:uid="{00000000-0005-0000-0000-0000D7010000}"/>
    <cellStyle name="20% - Accent3 7 2 2" xfId="7906" xr:uid="{00000000-0005-0000-0000-0000D8010000}"/>
    <cellStyle name="20% - Accent3 7 2 2 2" xfId="16342" xr:uid="{A07338AD-61FA-43A2-B656-7F8563DD89BA}"/>
    <cellStyle name="20% - Accent3 7 2 3" xfId="12124" xr:uid="{695459A6-F265-4451-850F-08B10E2DB486}"/>
    <cellStyle name="20% - Accent3 7 3" xfId="5761" xr:uid="{00000000-0005-0000-0000-0000D9010000}"/>
    <cellStyle name="20% - Accent3 7 3 2" xfId="14197" xr:uid="{49EF2701-4EBA-436F-9E9D-A0686A28E2B4}"/>
    <cellStyle name="20% - Accent3 7 4" xfId="9979" xr:uid="{E0CFE169-ECE8-4F85-81B2-C22A05F58600}"/>
    <cellStyle name="20% - Accent3 8" xfId="1867" xr:uid="{00000000-0005-0000-0000-0000DA010000}"/>
    <cellStyle name="20% - Accent3 8 2" xfId="4096" xr:uid="{00000000-0005-0000-0000-0000DB010000}"/>
    <cellStyle name="20% - Accent3 8 2 2" xfId="8319" xr:uid="{00000000-0005-0000-0000-0000DC010000}"/>
    <cellStyle name="20% - Accent3 8 2 2 2" xfId="16755" xr:uid="{0DD4598B-D5AC-41F2-B0A7-B03EA4DB1C0D}"/>
    <cellStyle name="20% - Accent3 8 2 3" xfId="12537" xr:uid="{DAAEC18C-976A-46F9-A49E-54C7969D69C2}"/>
    <cellStyle name="20% - Accent3 8 3" xfId="6174" xr:uid="{00000000-0005-0000-0000-0000DD010000}"/>
    <cellStyle name="20% - Accent3 8 3 2" xfId="14610" xr:uid="{266DA036-3CB0-4789-9184-FC104ACB2B90}"/>
    <cellStyle name="20% - Accent3 8 4" xfId="10392" xr:uid="{04745E0C-8C15-4DF4-A2CD-86C5F09EA081}"/>
    <cellStyle name="20% - Accent3 9" xfId="2280" xr:uid="{00000000-0005-0000-0000-0000DE010000}"/>
    <cellStyle name="20% - Accent3 9 2" xfId="6587" xr:uid="{00000000-0005-0000-0000-0000DF010000}"/>
    <cellStyle name="20% - Accent3 9 2 2" xfId="15023" xr:uid="{8087E8D0-F42F-4A27-AA99-B311D917F433}"/>
    <cellStyle name="20% - Accent3 9 3" xfId="10805" xr:uid="{25D751C7-5DA0-4653-9A88-7CFD30E98327}"/>
    <cellStyle name="20% - Accent4" xfId="25" builtinId="42" customBuiltin="1"/>
    <cellStyle name="20% - Accent4 10" xfId="4529" xr:uid="{00000000-0005-0000-0000-0000E1010000}"/>
    <cellStyle name="20% - Accent4 10 2" xfId="12965" xr:uid="{4542D80E-C57A-42DB-946E-78C58F4AA616}"/>
    <cellStyle name="20% - Accent4 11" xfId="8747" xr:uid="{0B63876E-1CCB-47CC-A5E1-2E3D4090E12C}"/>
    <cellStyle name="20% - Accent4 2" xfId="26" xr:uid="{00000000-0005-0000-0000-0000E2010000}"/>
    <cellStyle name="20% - Accent4 2 10" xfId="8748" xr:uid="{071638D3-E7BE-4EC8-BD6B-786C65591668}"/>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27" xr:uid="{40147944-D3D1-4680-AADF-2E3CB17BA373}"/>
    <cellStyle name="20% - Accent4 2 2 2 2 2 3" xfId="11309" xr:uid="{5608D9EA-D3A8-48D0-9037-5C7F82A522FA}"/>
    <cellStyle name="20% - Accent4 2 2 2 2 3" xfId="4946" xr:uid="{00000000-0005-0000-0000-0000E8010000}"/>
    <cellStyle name="20% - Accent4 2 2 2 2 3 2" xfId="13382" xr:uid="{703BEC7B-E05F-404A-B8D7-F4862A3D536C}"/>
    <cellStyle name="20% - Accent4 2 2 2 2 4" xfId="9164" xr:uid="{D3274D00-0B08-4554-B78C-71FB5BC1348E}"/>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0" xr:uid="{5BA3752B-DBFB-46E3-B94C-CD84E57ED87B}"/>
    <cellStyle name="20% - Accent4 2 2 2 3 2 3" xfId="11722" xr:uid="{AD86F86F-B10F-4A66-A935-338D79EC807E}"/>
    <cellStyle name="20% - Accent4 2 2 2 3 3" xfId="5359" xr:uid="{00000000-0005-0000-0000-0000EC010000}"/>
    <cellStyle name="20% - Accent4 2 2 2 3 3 2" xfId="13795" xr:uid="{E58205DA-192D-4CD8-9410-0D7485516A66}"/>
    <cellStyle name="20% - Accent4 2 2 2 3 4" xfId="9577" xr:uid="{566E349B-1819-4CB4-92BD-0F0755964BA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3" xr:uid="{E610DE99-141B-4187-9C11-6A12C8C9E146}"/>
    <cellStyle name="20% - Accent4 2 2 2 4 2 3" xfId="12135" xr:uid="{41FE6807-DB3F-415B-9E57-152EF33D45BE}"/>
    <cellStyle name="20% - Accent4 2 2 2 4 3" xfId="5772" xr:uid="{00000000-0005-0000-0000-0000F0010000}"/>
    <cellStyle name="20% - Accent4 2 2 2 4 3 2" xfId="14208" xr:uid="{66D52478-0353-4914-AC26-1A37FDA26A0E}"/>
    <cellStyle name="20% - Accent4 2 2 2 4 4" xfId="9990" xr:uid="{02892125-843F-4F8E-969F-1ECEA15D1015}"/>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6" xr:uid="{299654D4-C488-4865-A6E7-D7A8C232FD59}"/>
    <cellStyle name="20% - Accent4 2 2 2 5 2 3" xfId="12548" xr:uid="{ED0EF86A-4C45-484C-A187-126AC87CB8FE}"/>
    <cellStyle name="20% - Accent4 2 2 2 5 3" xfId="6185" xr:uid="{00000000-0005-0000-0000-0000F4010000}"/>
    <cellStyle name="20% - Accent4 2 2 2 5 3 2" xfId="14621" xr:uid="{A8534825-9D8C-4A7F-9860-BBA3FF90FB6F}"/>
    <cellStyle name="20% - Accent4 2 2 2 5 4" xfId="10403" xr:uid="{0948A228-8F39-4F3D-BA5E-392FA3840101}"/>
    <cellStyle name="20% - Accent4 2 2 2 6" xfId="2291" xr:uid="{00000000-0005-0000-0000-0000F5010000}"/>
    <cellStyle name="20% - Accent4 2 2 2 6 2" xfId="6598" xr:uid="{00000000-0005-0000-0000-0000F6010000}"/>
    <cellStyle name="20% - Accent4 2 2 2 6 2 2" xfId="15034" xr:uid="{35F92D58-9E29-48C6-86E4-DD0A15EBF90F}"/>
    <cellStyle name="20% - Accent4 2 2 2 6 3" xfId="10816" xr:uid="{17A198D0-F68B-4171-9E5F-E1FF7E493BD3}"/>
    <cellStyle name="20% - Accent4 2 2 2 7" xfId="4532" xr:uid="{00000000-0005-0000-0000-0000F7010000}"/>
    <cellStyle name="20% - Accent4 2 2 2 7 2" xfId="12968" xr:uid="{B05AF85A-14FB-450C-B9FD-75E06AA2F64C}"/>
    <cellStyle name="20% - Accent4 2 2 2 8" xfId="8750" xr:uid="{E6CCA026-5E53-4960-BC66-778C04FBD438}"/>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6" xr:uid="{27A93645-E6E8-4E2C-8C75-493A67B86DB0}"/>
    <cellStyle name="20% - Accent4 2 2 3 2 3" xfId="11308" xr:uid="{8029C979-79EA-4A24-8BBD-9D1FBA6C9A9B}"/>
    <cellStyle name="20% - Accent4 2 2 3 3" xfId="4945" xr:uid="{00000000-0005-0000-0000-0000FB010000}"/>
    <cellStyle name="20% - Accent4 2 2 3 3 2" xfId="13381" xr:uid="{55416EC1-11B3-421F-8A26-FC02575AA0D3}"/>
    <cellStyle name="20% - Accent4 2 2 3 4" xfId="9163" xr:uid="{967C5A34-68AF-4509-AC0D-ACEE3307625F}"/>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39" xr:uid="{F9DB0329-3F9A-401B-BB05-58126C925032}"/>
    <cellStyle name="20% - Accent4 2 2 4 2 3" xfId="11721" xr:uid="{0B009EC1-5B5A-4D0D-B65E-24CD36BC0958}"/>
    <cellStyle name="20% - Accent4 2 2 4 3" xfId="5358" xr:uid="{00000000-0005-0000-0000-0000FF010000}"/>
    <cellStyle name="20% - Accent4 2 2 4 3 2" xfId="13794" xr:uid="{0A2A2F0D-09F1-4686-8D10-1D5FDE004DC1}"/>
    <cellStyle name="20% - Accent4 2 2 4 4" xfId="9576" xr:uid="{240889A9-5F77-43B7-ACAB-9800278D9641}"/>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2" xr:uid="{A42F5066-A757-492C-A7A8-618E94D56863}"/>
    <cellStyle name="20% - Accent4 2 2 5 2 3" xfId="12134" xr:uid="{A03C7C01-790D-4B6B-B02E-02E688E3D22C}"/>
    <cellStyle name="20% - Accent4 2 2 5 3" xfId="5771" xr:uid="{00000000-0005-0000-0000-000003020000}"/>
    <cellStyle name="20% - Accent4 2 2 5 3 2" xfId="14207" xr:uid="{7A02D388-FB2D-49CB-85B0-823D6EF55E89}"/>
    <cellStyle name="20% - Accent4 2 2 5 4" xfId="9989" xr:uid="{2AC3A435-3393-4C4C-B065-ED807EF04CA7}"/>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5" xr:uid="{B748529C-1AAB-4CB2-9355-6584A273DFBD}"/>
    <cellStyle name="20% - Accent4 2 2 6 2 3" xfId="12547" xr:uid="{CAE44E21-27F5-403A-8472-7E7A1308A1F4}"/>
    <cellStyle name="20% - Accent4 2 2 6 3" xfId="6184" xr:uid="{00000000-0005-0000-0000-000007020000}"/>
    <cellStyle name="20% - Accent4 2 2 6 3 2" xfId="14620" xr:uid="{5464741F-7925-4401-AA8E-3BD1C6DFB869}"/>
    <cellStyle name="20% - Accent4 2 2 6 4" xfId="10402" xr:uid="{7B141AA3-8E58-47FD-BAD9-F3D951906E93}"/>
    <cellStyle name="20% - Accent4 2 2 7" xfId="2290" xr:uid="{00000000-0005-0000-0000-000008020000}"/>
    <cellStyle name="20% - Accent4 2 2 7 2" xfId="6597" xr:uid="{00000000-0005-0000-0000-000009020000}"/>
    <cellStyle name="20% - Accent4 2 2 7 2 2" xfId="15033" xr:uid="{EAF3F60A-45D6-4634-991C-C22200BB7371}"/>
    <cellStyle name="20% - Accent4 2 2 7 3" xfId="10815" xr:uid="{7761FB09-5A0B-4336-AD5D-7F246A427F95}"/>
    <cellStyle name="20% - Accent4 2 2 8" xfId="4531" xr:uid="{00000000-0005-0000-0000-00000A020000}"/>
    <cellStyle name="20% - Accent4 2 2 8 2" xfId="12967" xr:uid="{DE2B3A10-377D-4709-9FD1-52C80F21D234}"/>
    <cellStyle name="20% - Accent4 2 2 9" xfId="8749" xr:uid="{5057B5DB-42E0-4980-969A-93E2C62401F2}"/>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28" xr:uid="{0B943D12-0526-4AEC-A862-81E8C7C44974}"/>
    <cellStyle name="20% - Accent4 2 3 2 2 3" xfId="11310" xr:uid="{88F56633-143A-4031-95ED-62B32222CF0F}"/>
    <cellStyle name="20% - Accent4 2 3 2 3" xfId="4947" xr:uid="{00000000-0005-0000-0000-00000F020000}"/>
    <cellStyle name="20% - Accent4 2 3 2 3 2" xfId="13383" xr:uid="{2100D44F-4B07-4AEB-B393-878F91DCE1F9}"/>
    <cellStyle name="20% - Accent4 2 3 2 4" xfId="9165" xr:uid="{DBD67ABC-CB60-45AC-9A0A-1223D6FFE7AE}"/>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1" xr:uid="{26D4EBEC-F19B-45C3-96A0-D0FF2BF6078C}"/>
    <cellStyle name="20% - Accent4 2 3 3 2 3" xfId="11723" xr:uid="{15C8AF15-C17D-496B-90A7-92A0D223DB2C}"/>
    <cellStyle name="20% - Accent4 2 3 3 3" xfId="5360" xr:uid="{00000000-0005-0000-0000-000013020000}"/>
    <cellStyle name="20% - Accent4 2 3 3 3 2" xfId="13796" xr:uid="{76920792-DB19-4084-825C-CE3B719FF332}"/>
    <cellStyle name="20% - Accent4 2 3 3 4" xfId="9578" xr:uid="{B9819239-CF3E-4AFC-9926-03BA7E342FA7}"/>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4" xr:uid="{09BF98CC-239D-4286-A507-D600722B8043}"/>
    <cellStyle name="20% - Accent4 2 3 4 2 3" xfId="12136" xr:uid="{54921546-4245-44FF-BCB5-E61D81FF239A}"/>
    <cellStyle name="20% - Accent4 2 3 4 3" xfId="5773" xr:uid="{00000000-0005-0000-0000-000017020000}"/>
    <cellStyle name="20% - Accent4 2 3 4 3 2" xfId="14209" xr:uid="{CED298FB-B26E-4153-8A63-195451EFCD09}"/>
    <cellStyle name="20% - Accent4 2 3 4 4" xfId="9991" xr:uid="{A443E0A1-E7C6-4923-9F50-C9720EB436D1}"/>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67" xr:uid="{80C8550F-9358-4CB7-9C1B-56B6AA274CF2}"/>
    <cellStyle name="20% - Accent4 2 3 5 2 3" xfId="12549" xr:uid="{312F3DB1-87C3-4374-AC75-B9D195DD7A12}"/>
    <cellStyle name="20% - Accent4 2 3 5 3" xfId="6186" xr:uid="{00000000-0005-0000-0000-00001B020000}"/>
    <cellStyle name="20% - Accent4 2 3 5 3 2" xfId="14622" xr:uid="{C81C4E4D-FB5F-4154-A3E9-C24483B0E60D}"/>
    <cellStyle name="20% - Accent4 2 3 5 4" xfId="10404" xr:uid="{CBC3C3C2-17CF-47F2-8964-179DDDB86C4D}"/>
    <cellStyle name="20% - Accent4 2 3 6" xfId="2292" xr:uid="{00000000-0005-0000-0000-00001C020000}"/>
    <cellStyle name="20% - Accent4 2 3 6 2" xfId="6599" xr:uid="{00000000-0005-0000-0000-00001D020000}"/>
    <cellStyle name="20% - Accent4 2 3 6 2 2" xfId="15035" xr:uid="{72E419DE-A4C6-4C96-8702-E0FFA4D1DD8E}"/>
    <cellStyle name="20% - Accent4 2 3 6 3" xfId="10817" xr:uid="{9C32C508-387B-415C-9528-311C15726FC3}"/>
    <cellStyle name="20% - Accent4 2 3 7" xfId="4533" xr:uid="{00000000-0005-0000-0000-00001E020000}"/>
    <cellStyle name="20% - Accent4 2 3 7 2" xfId="12969" xr:uid="{E16B11F4-FA47-4268-8DCA-8ED9F0AEBA54}"/>
    <cellStyle name="20% - Accent4 2 3 8" xfId="8751" xr:uid="{871BAC4F-4E59-44DD-B367-F78D4E4611B5}"/>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5" xr:uid="{A00339B6-3E20-4D96-ADD2-1D0D0879A552}"/>
    <cellStyle name="20% - Accent4 2 4 2 3" xfId="11307" xr:uid="{968D675B-2C8D-409A-9A38-33241D5CFFAE}"/>
    <cellStyle name="20% - Accent4 2 4 3" xfId="4944" xr:uid="{00000000-0005-0000-0000-000022020000}"/>
    <cellStyle name="20% - Accent4 2 4 3 2" xfId="13380" xr:uid="{1EAF59ED-82F0-4A39-BE59-672764052750}"/>
    <cellStyle name="20% - Accent4 2 4 4" xfId="9162" xr:uid="{4F55B781-AA91-47F9-BFA3-D8CB1AF6EF27}"/>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38" xr:uid="{CEC8676B-6D5C-4134-9B5D-07144CA71EAD}"/>
    <cellStyle name="20% - Accent4 2 5 2 3" xfId="11720" xr:uid="{AE7D1A86-476A-4585-9E83-08910E2C6F33}"/>
    <cellStyle name="20% - Accent4 2 5 3" xfId="5357" xr:uid="{00000000-0005-0000-0000-000026020000}"/>
    <cellStyle name="20% - Accent4 2 5 3 2" xfId="13793" xr:uid="{6B613DDD-844B-4996-B6E6-C51DA9ECD3CE}"/>
    <cellStyle name="20% - Accent4 2 5 4" xfId="9575" xr:uid="{41713469-5CA0-4421-8D52-D9FD7AC67FAA}"/>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1" xr:uid="{C9A8F8FD-FDF7-4350-A789-1947E8C2DC4F}"/>
    <cellStyle name="20% - Accent4 2 6 2 3" xfId="12133" xr:uid="{9BB8BCEE-9B89-4CEB-9635-9F14D84066B7}"/>
    <cellStyle name="20% - Accent4 2 6 3" xfId="5770" xr:uid="{00000000-0005-0000-0000-00002A020000}"/>
    <cellStyle name="20% - Accent4 2 6 3 2" xfId="14206" xr:uid="{476BD361-AD4D-4E98-B427-FCF0A27455D0}"/>
    <cellStyle name="20% - Accent4 2 6 4" xfId="9988" xr:uid="{80100903-8077-41AF-A673-405B9694AC48}"/>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4" xr:uid="{828B2A54-BD3C-4984-9ED1-3A5194E8D1F7}"/>
    <cellStyle name="20% - Accent4 2 7 2 3" xfId="12546" xr:uid="{723EBA84-2C7B-4EF9-A1B2-6534E756B29B}"/>
    <cellStyle name="20% - Accent4 2 7 3" xfId="6183" xr:uid="{00000000-0005-0000-0000-00002E020000}"/>
    <cellStyle name="20% - Accent4 2 7 3 2" xfId="14619" xr:uid="{2A8CE935-E1B9-4419-AA34-ED016C2CAAC8}"/>
    <cellStyle name="20% - Accent4 2 7 4" xfId="10401" xr:uid="{318A8CBF-EA29-4E6D-B232-3FAE5314E249}"/>
    <cellStyle name="20% - Accent4 2 8" xfId="2289" xr:uid="{00000000-0005-0000-0000-00002F020000}"/>
    <cellStyle name="20% - Accent4 2 8 2" xfId="6596" xr:uid="{00000000-0005-0000-0000-000030020000}"/>
    <cellStyle name="20% - Accent4 2 8 2 2" xfId="15032" xr:uid="{E5EE5C95-5509-4426-8D4E-07863681AAF0}"/>
    <cellStyle name="20% - Accent4 2 8 3" xfId="10814" xr:uid="{724ED050-F67D-45DE-8B57-923E7F0CB7E5}"/>
    <cellStyle name="20% - Accent4 2 9" xfId="4530" xr:uid="{00000000-0005-0000-0000-000031020000}"/>
    <cellStyle name="20% - Accent4 2 9 2" xfId="12966" xr:uid="{DEE7E9AF-8C0C-4909-9DAD-A39C8E4717E6}"/>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0" xr:uid="{A9965C8F-25B7-4F47-A2BB-C793EF2C7EC3}"/>
    <cellStyle name="20% - Accent4 3 2 2 2 3" xfId="11312" xr:uid="{0900561B-D405-4FE9-A536-7F957F73E5C7}"/>
    <cellStyle name="20% - Accent4 3 2 2 3" xfId="4949" xr:uid="{00000000-0005-0000-0000-000037020000}"/>
    <cellStyle name="20% - Accent4 3 2 2 3 2" xfId="13385" xr:uid="{7ED90841-3518-41DA-AD8D-FE5028EFF6E1}"/>
    <cellStyle name="20% - Accent4 3 2 2 4" xfId="9167" xr:uid="{3301B0F0-31D8-4F95-B5C7-982113903D49}"/>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3" xr:uid="{133395DD-C188-47FD-959D-7BC35D4B6F0B}"/>
    <cellStyle name="20% - Accent4 3 2 3 2 3" xfId="11725" xr:uid="{5A26A655-C176-4767-818D-1FE15AC7A8AF}"/>
    <cellStyle name="20% - Accent4 3 2 3 3" xfId="5362" xr:uid="{00000000-0005-0000-0000-00003B020000}"/>
    <cellStyle name="20% - Accent4 3 2 3 3 2" xfId="13798" xr:uid="{B83621DA-EB51-44F3-AF55-497084B35C50}"/>
    <cellStyle name="20% - Accent4 3 2 3 4" xfId="9580" xr:uid="{FF791D1E-AEFA-422F-894E-7446E06EF6D6}"/>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6" xr:uid="{A13F4ADF-CC8B-4FE7-88AC-26CCC13D8F4C}"/>
    <cellStyle name="20% - Accent4 3 2 4 2 3" xfId="12138" xr:uid="{3A11B892-D37A-4E70-915D-1254C1D63F8B}"/>
    <cellStyle name="20% - Accent4 3 2 4 3" xfId="5775" xr:uid="{00000000-0005-0000-0000-00003F020000}"/>
    <cellStyle name="20% - Accent4 3 2 4 3 2" xfId="14211" xr:uid="{A51E8CF0-7B38-40F5-945A-0EC99397CAF5}"/>
    <cellStyle name="20% - Accent4 3 2 4 4" xfId="9993" xr:uid="{94A93482-E26B-408E-A47B-1C19C705A3E1}"/>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69" xr:uid="{F3F3FCEE-EFF8-4AFC-A618-2EEEB4138F04}"/>
    <cellStyle name="20% - Accent4 3 2 5 2 3" xfId="12551" xr:uid="{D9DED944-5FE4-478D-A6A6-A12B4F651BE1}"/>
    <cellStyle name="20% - Accent4 3 2 5 3" xfId="6188" xr:uid="{00000000-0005-0000-0000-000043020000}"/>
    <cellStyle name="20% - Accent4 3 2 5 3 2" xfId="14624" xr:uid="{EFEEBCC4-55A1-4420-B395-BD863986DA6A}"/>
    <cellStyle name="20% - Accent4 3 2 5 4" xfId="10406" xr:uid="{E60DF03D-CBED-48B5-8749-4882F0E731FD}"/>
    <cellStyle name="20% - Accent4 3 2 6" xfId="2294" xr:uid="{00000000-0005-0000-0000-000044020000}"/>
    <cellStyle name="20% - Accent4 3 2 6 2" xfId="6601" xr:uid="{00000000-0005-0000-0000-000045020000}"/>
    <cellStyle name="20% - Accent4 3 2 6 2 2" xfId="15037" xr:uid="{0ECCE86B-8346-492B-A609-344909ECB68A}"/>
    <cellStyle name="20% - Accent4 3 2 6 3" xfId="10819" xr:uid="{2677D2F0-9B38-48F2-BBF5-064CDD50463B}"/>
    <cellStyle name="20% - Accent4 3 2 7" xfId="4535" xr:uid="{00000000-0005-0000-0000-000046020000}"/>
    <cellStyle name="20% - Accent4 3 2 7 2" xfId="12971" xr:uid="{9AFBE968-AA9C-4923-89C8-FA5C71A81343}"/>
    <cellStyle name="20% - Accent4 3 2 8" xfId="8753" xr:uid="{01FF3DE1-BB4B-4E99-A23B-671CAC5A8550}"/>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29" xr:uid="{4FF72CAD-3421-4DB6-A3D1-64B422296513}"/>
    <cellStyle name="20% - Accent4 3 3 2 3" xfId="11311" xr:uid="{36AA20BC-8449-4622-8E11-CEAE09A75D28}"/>
    <cellStyle name="20% - Accent4 3 3 3" xfId="4948" xr:uid="{00000000-0005-0000-0000-00004A020000}"/>
    <cellStyle name="20% - Accent4 3 3 3 2" xfId="13384" xr:uid="{9BA32A94-BA66-4D1D-985F-4CD4B1D42840}"/>
    <cellStyle name="20% - Accent4 3 3 4" xfId="9166" xr:uid="{D3CFC08F-CAA5-473F-87EC-CBC9DDE133F0}"/>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2" xr:uid="{905CE623-1132-4CD7-9FBA-C156A4F64F22}"/>
    <cellStyle name="20% - Accent4 3 4 2 3" xfId="11724" xr:uid="{E626334F-798C-42EC-BC84-9B7041ADAF21}"/>
    <cellStyle name="20% - Accent4 3 4 3" xfId="5361" xr:uid="{00000000-0005-0000-0000-00004E020000}"/>
    <cellStyle name="20% - Accent4 3 4 3 2" xfId="13797" xr:uid="{306C9297-6D84-4D07-843F-9904BEAE0C31}"/>
    <cellStyle name="20% - Accent4 3 4 4" xfId="9579" xr:uid="{0EB7909C-8D6D-4243-A3AA-4C120B0F5040}"/>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5" xr:uid="{E995F4B5-002D-4DEE-81A6-5CA1076955F4}"/>
    <cellStyle name="20% - Accent4 3 5 2 3" xfId="12137" xr:uid="{E19A7E0B-5EF1-4C16-A2E9-B8DB6819752C}"/>
    <cellStyle name="20% - Accent4 3 5 3" xfId="5774" xr:uid="{00000000-0005-0000-0000-000052020000}"/>
    <cellStyle name="20% - Accent4 3 5 3 2" xfId="14210" xr:uid="{8E7A20DD-8BE7-45B0-9624-01193B96D648}"/>
    <cellStyle name="20% - Accent4 3 5 4" xfId="9992" xr:uid="{1DF1D5AA-D6E6-4462-A779-5BB8B91C3311}"/>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68" xr:uid="{03C0A806-2BCF-455A-9D49-29A77A6ADB35}"/>
    <cellStyle name="20% - Accent4 3 6 2 3" xfId="12550" xr:uid="{08AF8019-8C9F-418B-ACD6-C70366B5F7BA}"/>
    <cellStyle name="20% - Accent4 3 6 3" xfId="6187" xr:uid="{00000000-0005-0000-0000-000056020000}"/>
    <cellStyle name="20% - Accent4 3 6 3 2" xfId="14623" xr:uid="{3C061F36-869F-457A-AA1A-0C2F747D3E31}"/>
    <cellStyle name="20% - Accent4 3 6 4" xfId="10405" xr:uid="{5E46D9F3-DE0F-40A1-9F57-3974A47D3CBC}"/>
    <cellStyle name="20% - Accent4 3 7" xfId="2293" xr:uid="{00000000-0005-0000-0000-000057020000}"/>
    <cellStyle name="20% - Accent4 3 7 2" xfId="6600" xr:uid="{00000000-0005-0000-0000-000058020000}"/>
    <cellStyle name="20% - Accent4 3 7 2 2" xfId="15036" xr:uid="{3979A3AB-E589-4E6B-A343-7F496A3E13E5}"/>
    <cellStyle name="20% - Accent4 3 7 3" xfId="10818" xr:uid="{2F73C55E-9BC2-43EF-83F0-E51A49CFAD07}"/>
    <cellStyle name="20% - Accent4 3 8" xfId="4534" xr:uid="{00000000-0005-0000-0000-000059020000}"/>
    <cellStyle name="20% - Accent4 3 8 2" xfId="12970" xr:uid="{11B27623-6480-420A-8C8B-1C095CBA494E}"/>
    <cellStyle name="20% - Accent4 3 9" xfId="8752" xr:uid="{418CF444-8066-4A2A-AA1D-4CE283A1FFE5}"/>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1" xr:uid="{4409C3E8-ADBA-41B8-A7B1-9858FCEC973E}"/>
    <cellStyle name="20% - Accent4 4 2 2 3" xfId="11313" xr:uid="{A8115A9F-5016-4D6C-9D16-D6B89FC219B1}"/>
    <cellStyle name="20% - Accent4 4 2 3" xfId="4950" xr:uid="{00000000-0005-0000-0000-00005E020000}"/>
    <cellStyle name="20% - Accent4 4 2 3 2" xfId="13386" xr:uid="{E8904FC7-AD51-4DB9-A82B-06435C2A2C43}"/>
    <cellStyle name="20% - Accent4 4 2 4" xfId="9168" xr:uid="{718926C2-7BAA-4AC0-9F16-5EE2421F622C}"/>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4" xr:uid="{37EEC0DB-7C0A-4FC6-B9D2-9C758CDEADDF}"/>
    <cellStyle name="20% - Accent4 4 3 2 3" xfId="11726" xr:uid="{99296484-0001-41E6-BCE5-4409D70A2900}"/>
    <cellStyle name="20% - Accent4 4 3 3" xfId="5363" xr:uid="{00000000-0005-0000-0000-000062020000}"/>
    <cellStyle name="20% - Accent4 4 3 3 2" xfId="13799" xr:uid="{54D0206D-1ACB-497A-BAF3-E7D01A21C1FA}"/>
    <cellStyle name="20% - Accent4 4 3 4" xfId="9581" xr:uid="{5969EEC0-F291-45C6-B902-76325C28CA77}"/>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57" xr:uid="{3494C52F-A11B-490A-90B0-FAF06AB4FD41}"/>
    <cellStyle name="20% - Accent4 4 4 2 3" xfId="12139" xr:uid="{52964C15-D5D6-48C2-8F7A-47C387D42FC0}"/>
    <cellStyle name="20% - Accent4 4 4 3" xfId="5776" xr:uid="{00000000-0005-0000-0000-000066020000}"/>
    <cellStyle name="20% - Accent4 4 4 3 2" xfId="14212" xr:uid="{C1BD149C-04B5-403E-99BB-77B8A1E75233}"/>
    <cellStyle name="20% - Accent4 4 4 4" xfId="9994" xr:uid="{E139D077-677D-4A50-9449-8BB84A02EB62}"/>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0" xr:uid="{3CA27FD3-980C-4105-8444-CE5A595607FA}"/>
    <cellStyle name="20% - Accent4 4 5 2 3" xfId="12552" xr:uid="{E8E56812-6058-4607-B0EF-2F846B7D7FD5}"/>
    <cellStyle name="20% - Accent4 4 5 3" xfId="6189" xr:uid="{00000000-0005-0000-0000-00006A020000}"/>
    <cellStyle name="20% - Accent4 4 5 3 2" xfId="14625" xr:uid="{55E3F231-1AAC-484A-B56A-4D3518BD3E80}"/>
    <cellStyle name="20% - Accent4 4 5 4" xfId="10407" xr:uid="{EF75E474-96BB-4960-BCD6-E43F83CCA775}"/>
    <cellStyle name="20% - Accent4 4 6" xfId="2295" xr:uid="{00000000-0005-0000-0000-00006B020000}"/>
    <cellStyle name="20% - Accent4 4 6 2" xfId="6602" xr:uid="{00000000-0005-0000-0000-00006C020000}"/>
    <cellStyle name="20% - Accent4 4 6 2 2" xfId="15038" xr:uid="{2F5EA739-828D-4A35-8A28-9348CC5C925C}"/>
    <cellStyle name="20% - Accent4 4 6 3" xfId="10820" xr:uid="{302D20A0-51F9-4FF7-B8ED-DF7FCB949C64}"/>
    <cellStyle name="20% - Accent4 4 7" xfId="4536" xr:uid="{00000000-0005-0000-0000-00006D020000}"/>
    <cellStyle name="20% - Accent4 4 7 2" xfId="12972" xr:uid="{04C2F9FD-B5EF-46D2-9832-4EC09DF386C1}"/>
    <cellStyle name="20% - Accent4 4 8" xfId="8754" xr:uid="{1A0D1344-D659-4DD3-BEAC-CECFBF32F430}"/>
    <cellStyle name="20% - Accent4 5" xfId="594" xr:uid="{00000000-0005-0000-0000-00006E020000}"/>
    <cellStyle name="20% - Accent4 5 2" xfId="2865" xr:uid="{00000000-0005-0000-0000-00006F020000}"/>
    <cellStyle name="20% - Accent4 5 2 2" xfId="7088" xr:uid="{00000000-0005-0000-0000-000070020000}"/>
    <cellStyle name="20% - Accent4 5 2 2 2" xfId="15524" xr:uid="{5B6DE3DD-4071-4339-A84D-C34A84A0EAF0}"/>
    <cellStyle name="20% - Accent4 5 2 3" xfId="11306" xr:uid="{361928DF-BF33-48E0-95DE-963F7B430AAF}"/>
    <cellStyle name="20% - Accent4 5 3" xfId="4943" xr:uid="{00000000-0005-0000-0000-000071020000}"/>
    <cellStyle name="20% - Accent4 5 3 2" xfId="13379" xr:uid="{257D5930-5949-4DE4-8AFE-8B8EBA9BB0BF}"/>
    <cellStyle name="20% - Accent4 5 4" xfId="9161" xr:uid="{BC7A98DC-AB23-4A92-9C2B-7ED5A741802D}"/>
    <cellStyle name="20% - Accent4 6" xfId="1047" xr:uid="{00000000-0005-0000-0000-000072020000}"/>
    <cellStyle name="20% - Accent4 6 2" xfId="3278" xr:uid="{00000000-0005-0000-0000-000073020000}"/>
    <cellStyle name="20% - Accent4 6 2 2" xfId="7501" xr:uid="{00000000-0005-0000-0000-000074020000}"/>
    <cellStyle name="20% - Accent4 6 2 2 2" xfId="15937" xr:uid="{72897566-06A8-46C2-8D63-3B921A9F78B0}"/>
    <cellStyle name="20% - Accent4 6 2 3" xfId="11719" xr:uid="{F69CD0A8-7A90-47FE-9FC5-0AF456FE2C5B}"/>
    <cellStyle name="20% - Accent4 6 3" xfId="5356" xr:uid="{00000000-0005-0000-0000-000075020000}"/>
    <cellStyle name="20% - Accent4 6 3 2" xfId="13792" xr:uid="{EAC37A60-EC47-4BC0-A049-A9901825B5F8}"/>
    <cellStyle name="20% - Accent4 6 4" xfId="9574" xr:uid="{C1B9220D-4432-4DE1-B9D0-B487E862AB36}"/>
    <cellStyle name="20% - Accent4 7" xfId="1461" xr:uid="{00000000-0005-0000-0000-000076020000}"/>
    <cellStyle name="20% - Accent4 7 2" xfId="3691" xr:uid="{00000000-0005-0000-0000-000077020000}"/>
    <cellStyle name="20% - Accent4 7 2 2" xfId="7914" xr:uid="{00000000-0005-0000-0000-000078020000}"/>
    <cellStyle name="20% - Accent4 7 2 2 2" xfId="16350" xr:uid="{2E97744C-8B07-4CB1-B2DD-A1D7D97D64A2}"/>
    <cellStyle name="20% - Accent4 7 2 3" xfId="12132" xr:uid="{2F19265E-0D61-4BD6-8CC0-F334F20314FB}"/>
    <cellStyle name="20% - Accent4 7 3" xfId="5769" xr:uid="{00000000-0005-0000-0000-000079020000}"/>
    <cellStyle name="20% - Accent4 7 3 2" xfId="14205" xr:uid="{F27F738F-CB06-4637-87A5-CDBEA011314F}"/>
    <cellStyle name="20% - Accent4 7 4" xfId="9987" xr:uid="{9E9A3FFA-B108-48F9-AE25-BF9D2B3FB065}"/>
    <cellStyle name="20% - Accent4 8" xfId="1875" xr:uid="{00000000-0005-0000-0000-00007A020000}"/>
    <cellStyle name="20% - Accent4 8 2" xfId="4104" xr:uid="{00000000-0005-0000-0000-00007B020000}"/>
    <cellStyle name="20% - Accent4 8 2 2" xfId="8327" xr:uid="{00000000-0005-0000-0000-00007C020000}"/>
    <cellStyle name="20% - Accent4 8 2 2 2" xfId="16763" xr:uid="{514E9D42-E0FA-4715-BAC9-66DD983910CB}"/>
    <cellStyle name="20% - Accent4 8 2 3" xfId="12545" xr:uid="{8C2027CA-BFC7-4A57-B79C-C42B65670498}"/>
    <cellStyle name="20% - Accent4 8 3" xfId="6182" xr:uid="{00000000-0005-0000-0000-00007D020000}"/>
    <cellStyle name="20% - Accent4 8 3 2" xfId="14618" xr:uid="{78393252-A7A1-4D62-AA18-196FA706CCE7}"/>
    <cellStyle name="20% - Accent4 8 4" xfId="10400" xr:uid="{A3750A28-93DA-4C8D-885B-940DCEC7A2E6}"/>
    <cellStyle name="20% - Accent4 9" xfId="2288" xr:uid="{00000000-0005-0000-0000-00007E020000}"/>
    <cellStyle name="20% - Accent4 9 2" xfId="6595" xr:uid="{00000000-0005-0000-0000-00007F020000}"/>
    <cellStyle name="20% - Accent4 9 2 2" xfId="15031" xr:uid="{B86AF09E-C645-4DE4-ADDD-AB3D6F5A4A10}"/>
    <cellStyle name="20% - Accent4 9 3" xfId="10813" xr:uid="{2189E2FF-59F8-4301-816B-338BBC7C7CED}"/>
    <cellStyle name="20% - Accent5" xfId="33" builtinId="46" customBuiltin="1"/>
    <cellStyle name="20% - Accent5 10" xfId="4537" xr:uid="{00000000-0005-0000-0000-000081020000}"/>
    <cellStyle name="20% - Accent5 10 2" xfId="12973" xr:uid="{50EDE728-B397-4A52-B9BA-883BF25D2507}"/>
    <cellStyle name="20% - Accent5 11" xfId="8755" xr:uid="{5672F1DE-03BA-414C-9CAA-C3F86E151CBB}"/>
    <cellStyle name="20% - Accent5 2" xfId="34" xr:uid="{00000000-0005-0000-0000-000082020000}"/>
    <cellStyle name="20% - Accent5 2 10" xfId="8756" xr:uid="{D525B0AA-F334-4F01-9C93-21AD7066C43D}"/>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5" xr:uid="{594A4EDF-76CA-4B8A-87D7-F99CF742959C}"/>
    <cellStyle name="20% - Accent5 2 2 2 2 2 3" xfId="11317" xr:uid="{07918352-1448-4026-8A60-6851AAFE6372}"/>
    <cellStyle name="20% - Accent5 2 2 2 2 3" xfId="4954" xr:uid="{00000000-0005-0000-0000-000088020000}"/>
    <cellStyle name="20% - Accent5 2 2 2 2 3 2" xfId="13390" xr:uid="{8ECB54F9-DA39-4C4D-88FA-103FC631E609}"/>
    <cellStyle name="20% - Accent5 2 2 2 2 4" xfId="9172" xr:uid="{C167DDD8-1E76-450D-876A-3B84E3CE648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48" xr:uid="{8BF194BF-A5DE-4FAA-AF7B-0839856D6547}"/>
    <cellStyle name="20% - Accent5 2 2 2 3 2 3" xfId="11730" xr:uid="{4CB2C0F9-1300-437F-94B3-A473A1B62725}"/>
    <cellStyle name="20% - Accent5 2 2 2 3 3" xfId="5367" xr:uid="{00000000-0005-0000-0000-00008C020000}"/>
    <cellStyle name="20% - Accent5 2 2 2 3 3 2" xfId="13803" xr:uid="{D34E1F20-0149-4E71-9D5F-7DB2A0AD6F39}"/>
    <cellStyle name="20% - Accent5 2 2 2 3 4" xfId="9585" xr:uid="{377DD6AC-C80D-4C9A-8A8A-63343EDD6CE1}"/>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1" xr:uid="{6771DBDD-F053-46A8-A758-A1346F04E6C2}"/>
    <cellStyle name="20% - Accent5 2 2 2 4 2 3" xfId="12143" xr:uid="{D3AA5B73-E6A4-4452-9471-78FF424C094B}"/>
    <cellStyle name="20% - Accent5 2 2 2 4 3" xfId="5780" xr:uid="{00000000-0005-0000-0000-000090020000}"/>
    <cellStyle name="20% - Accent5 2 2 2 4 3 2" xfId="14216" xr:uid="{E8D262D7-69D3-44AC-B6F5-BF7541B00AA4}"/>
    <cellStyle name="20% - Accent5 2 2 2 4 4" xfId="9998" xr:uid="{67B8A814-E390-47FF-85E5-C2426C0C9B2E}"/>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4" xr:uid="{0F197F1F-2396-465A-9A74-81E6EDF50CB2}"/>
    <cellStyle name="20% - Accent5 2 2 2 5 2 3" xfId="12556" xr:uid="{E13EC10C-9CD1-4C8D-8E19-9D7D986EF630}"/>
    <cellStyle name="20% - Accent5 2 2 2 5 3" xfId="6193" xr:uid="{00000000-0005-0000-0000-000094020000}"/>
    <cellStyle name="20% - Accent5 2 2 2 5 3 2" xfId="14629" xr:uid="{CED78313-130D-4BDF-875E-AAC1C9D95BD1}"/>
    <cellStyle name="20% - Accent5 2 2 2 5 4" xfId="10411" xr:uid="{529BC9DF-BA74-4194-8349-84D5293EC1C3}"/>
    <cellStyle name="20% - Accent5 2 2 2 6" xfId="2299" xr:uid="{00000000-0005-0000-0000-000095020000}"/>
    <cellStyle name="20% - Accent5 2 2 2 6 2" xfId="6606" xr:uid="{00000000-0005-0000-0000-000096020000}"/>
    <cellStyle name="20% - Accent5 2 2 2 6 2 2" xfId="15042" xr:uid="{BFD82C9C-4400-4E04-B292-3291AB400FEA}"/>
    <cellStyle name="20% - Accent5 2 2 2 6 3" xfId="10824" xr:uid="{F46FF760-097B-47DE-A386-618ADAE64ACD}"/>
    <cellStyle name="20% - Accent5 2 2 2 7" xfId="4540" xr:uid="{00000000-0005-0000-0000-000097020000}"/>
    <cellStyle name="20% - Accent5 2 2 2 7 2" xfId="12976" xr:uid="{CFBB691A-B6D2-4BCC-9A97-D03D09F277FD}"/>
    <cellStyle name="20% - Accent5 2 2 2 8" xfId="8758" xr:uid="{9F7EA3F0-0121-437D-96EE-3BF118F50469}"/>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4" xr:uid="{99B861D3-581E-4BF2-8479-8F4CC5CCC7A4}"/>
    <cellStyle name="20% - Accent5 2 2 3 2 3" xfId="11316" xr:uid="{47C609C2-0D6B-40D8-9548-22A7593330B4}"/>
    <cellStyle name="20% - Accent5 2 2 3 3" xfId="4953" xr:uid="{00000000-0005-0000-0000-00009B020000}"/>
    <cellStyle name="20% - Accent5 2 2 3 3 2" xfId="13389" xr:uid="{AD9D9BC7-2731-4B0A-8AD1-8AC85D407EAB}"/>
    <cellStyle name="20% - Accent5 2 2 3 4" xfId="9171" xr:uid="{80C28C38-8C44-4AF9-9EE5-7C69F04875CD}"/>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47" xr:uid="{63F361BE-EC13-40E1-9B89-0F755FE817F4}"/>
    <cellStyle name="20% - Accent5 2 2 4 2 3" xfId="11729" xr:uid="{45949829-C630-4438-94FF-C62DF6CE980C}"/>
    <cellStyle name="20% - Accent5 2 2 4 3" xfId="5366" xr:uid="{00000000-0005-0000-0000-00009F020000}"/>
    <cellStyle name="20% - Accent5 2 2 4 3 2" xfId="13802" xr:uid="{629C86DA-EB6D-4F6C-B061-B58C606A8D1C}"/>
    <cellStyle name="20% - Accent5 2 2 4 4" xfId="9584" xr:uid="{D9011A5A-493A-4829-9442-E53B4F8B0D03}"/>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0" xr:uid="{0D4EC92B-B551-4E50-BDFC-41AE9547AA2A}"/>
    <cellStyle name="20% - Accent5 2 2 5 2 3" xfId="12142" xr:uid="{08BAC7EA-592B-4E8E-90FE-8704CFB01EA1}"/>
    <cellStyle name="20% - Accent5 2 2 5 3" xfId="5779" xr:uid="{00000000-0005-0000-0000-0000A3020000}"/>
    <cellStyle name="20% - Accent5 2 2 5 3 2" xfId="14215" xr:uid="{90042423-BB04-4F05-9FF8-BE7A2118A2D5}"/>
    <cellStyle name="20% - Accent5 2 2 5 4" xfId="9997" xr:uid="{2603723C-682F-417D-A080-945DCE5AF0BC}"/>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3" xr:uid="{A354A21C-BCA0-4C2E-A943-CCA4E71EB686}"/>
    <cellStyle name="20% - Accent5 2 2 6 2 3" xfId="12555" xr:uid="{3149C80F-509B-4454-A260-FD77FBDCAF98}"/>
    <cellStyle name="20% - Accent5 2 2 6 3" xfId="6192" xr:uid="{00000000-0005-0000-0000-0000A7020000}"/>
    <cellStyle name="20% - Accent5 2 2 6 3 2" xfId="14628" xr:uid="{35666B85-9957-48F5-BB81-639AEC5DD120}"/>
    <cellStyle name="20% - Accent5 2 2 6 4" xfId="10410" xr:uid="{21F084A5-D53A-49DD-BC68-D2A46657BC18}"/>
    <cellStyle name="20% - Accent5 2 2 7" xfId="2298" xr:uid="{00000000-0005-0000-0000-0000A8020000}"/>
    <cellStyle name="20% - Accent5 2 2 7 2" xfId="6605" xr:uid="{00000000-0005-0000-0000-0000A9020000}"/>
    <cellStyle name="20% - Accent5 2 2 7 2 2" xfId="15041" xr:uid="{E48DBE60-87C6-49D5-A390-BE52B320A540}"/>
    <cellStyle name="20% - Accent5 2 2 7 3" xfId="10823" xr:uid="{3F9350EE-8526-4140-8AD8-B59D43E05352}"/>
    <cellStyle name="20% - Accent5 2 2 8" xfId="4539" xr:uid="{00000000-0005-0000-0000-0000AA020000}"/>
    <cellStyle name="20% - Accent5 2 2 8 2" xfId="12975" xr:uid="{2F527A11-EBB9-49B9-9E2A-3FD26AB34BC3}"/>
    <cellStyle name="20% - Accent5 2 2 9" xfId="8757" xr:uid="{4A72E8EA-2CAC-487C-9011-8FD8BEB63495}"/>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6" xr:uid="{C8902862-A028-4A38-8D5A-595B1072B3C1}"/>
    <cellStyle name="20% - Accent5 2 3 2 2 3" xfId="11318" xr:uid="{C0F29098-4005-4827-B4A2-C1B11D1FC118}"/>
    <cellStyle name="20% - Accent5 2 3 2 3" xfId="4955" xr:uid="{00000000-0005-0000-0000-0000AF020000}"/>
    <cellStyle name="20% - Accent5 2 3 2 3 2" xfId="13391" xr:uid="{A1441FAE-8AE5-48DA-882A-0CE23DD962F5}"/>
    <cellStyle name="20% - Accent5 2 3 2 4" xfId="9173" xr:uid="{0E36DF74-ED07-4308-BE18-BA99346D7156}"/>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49" xr:uid="{A8FE609F-7E37-4794-A3C4-F42E703B7149}"/>
    <cellStyle name="20% - Accent5 2 3 3 2 3" xfId="11731" xr:uid="{0CDC23DA-C534-4B1B-A8FB-88A14B786BB4}"/>
    <cellStyle name="20% - Accent5 2 3 3 3" xfId="5368" xr:uid="{00000000-0005-0000-0000-0000B3020000}"/>
    <cellStyle name="20% - Accent5 2 3 3 3 2" xfId="13804" xr:uid="{2D947DB6-13C0-49DA-BB83-AF0958A5712E}"/>
    <cellStyle name="20% - Accent5 2 3 3 4" xfId="9586" xr:uid="{5A561194-CC57-472E-A5B3-A57CF0446955}"/>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2" xr:uid="{08C3D831-5060-4DFC-90B2-EF19F5264AC9}"/>
    <cellStyle name="20% - Accent5 2 3 4 2 3" xfId="12144" xr:uid="{89E0C080-0C01-4E05-84A8-A1B0AF2C4850}"/>
    <cellStyle name="20% - Accent5 2 3 4 3" xfId="5781" xr:uid="{00000000-0005-0000-0000-0000B7020000}"/>
    <cellStyle name="20% - Accent5 2 3 4 3 2" xfId="14217" xr:uid="{DBD985A5-7DE5-4678-B3B1-F76E9E7B5368}"/>
    <cellStyle name="20% - Accent5 2 3 4 4" xfId="9999" xr:uid="{6AAD0C9F-A7D8-411D-BA40-851680A5BBFF}"/>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5" xr:uid="{B1C8D63D-386A-41D2-B0C8-036DC6476714}"/>
    <cellStyle name="20% - Accent5 2 3 5 2 3" xfId="12557" xr:uid="{BF30D220-E2D7-4940-B45C-A8B8B1EDE6FA}"/>
    <cellStyle name="20% - Accent5 2 3 5 3" xfId="6194" xr:uid="{00000000-0005-0000-0000-0000BB020000}"/>
    <cellStyle name="20% - Accent5 2 3 5 3 2" xfId="14630" xr:uid="{22363E06-906D-4DFE-8190-0BA196F9A499}"/>
    <cellStyle name="20% - Accent5 2 3 5 4" xfId="10412" xr:uid="{D1D59F22-7D57-45E1-A001-0B901FB357AC}"/>
    <cellStyle name="20% - Accent5 2 3 6" xfId="2300" xr:uid="{00000000-0005-0000-0000-0000BC020000}"/>
    <cellStyle name="20% - Accent5 2 3 6 2" xfId="6607" xr:uid="{00000000-0005-0000-0000-0000BD020000}"/>
    <cellStyle name="20% - Accent5 2 3 6 2 2" xfId="15043" xr:uid="{3BFA0A11-58C9-4133-B0F1-D13F7E9D84D4}"/>
    <cellStyle name="20% - Accent5 2 3 6 3" xfId="10825" xr:uid="{973C70E5-EE81-4401-BC37-B47CF439A482}"/>
    <cellStyle name="20% - Accent5 2 3 7" xfId="4541" xr:uid="{00000000-0005-0000-0000-0000BE020000}"/>
    <cellStyle name="20% - Accent5 2 3 7 2" xfId="12977" xr:uid="{89711BEF-0707-4753-B13F-197495ABA184}"/>
    <cellStyle name="20% - Accent5 2 3 8" xfId="8759" xr:uid="{892DD8B8-073B-461F-AF99-CAE95C537301}"/>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3" xr:uid="{4A7CF860-2A36-49D9-BFFB-5B5373A90944}"/>
    <cellStyle name="20% - Accent5 2 4 2 3" xfId="11315" xr:uid="{6C535BF3-A5A0-4EA9-A424-02357A0A6D63}"/>
    <cellStyle name="20% - Accent5 2 4 3" xfId="4952" xr:uid="{00000000-0005-0000-0000-0000C2020000}"/>
    <cellStyle name="20% - Accent5 2 4 3 2" xfId="13388" xr:uid="{2EACE745-22A5-4949-88D7-9E980D0700D5}"/>
    <cellStyle name="20% - Accent5 2 4 4" xfId="9170" xr:uid="{2385393F-8BFB-4965-ABF4-B5235697A2BD}"/>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6" xr:uid="{A4A402C1-D46A-48C3-82E3-43A595B70578}"/>
    <cellStyle name="20% - Accent5 2 5 2 3" xfId="11728" xr:uid="{6469B678-3BAE-4938-9C89-E1B2C0A920CA}"/>
    <cellStyle name="20% - Accent5 2 5 3" xfId="5365" xr:uid="{00000000-0005-0000-0000-0000C6020000}"/>
    <cellStyle name="20% - Accent5 2 5 3 2" xfId="13801" xr:uid="{BCFADA82-DC2D-4F19-9963-251C7C3B4077}"/>
    <cellStyle name="20% - Accent5 2 5 4" xfId="9583" xr:uid="{90248412-C273-4E1B-B79B-12795007893D}"/>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59" xr:uid="{58F98F27-F49B-461E-B609-CB42EFF9F1D1}"/>
    <cellStyle name="20% - Accent5 2 6 2 3" xfId="12141" xr:uid="{0CA15CCB-421A-4FF3-AD44-C3BFE8320272}"/>
    <cellStyle name="20% - Accent5 2 6 3" xfId="5778" xr:uid="{00000000-0005-0000-0000-0000CA020000}"/>
    <cellStyle name="20% - Accent5 2 6 3 2" xfId="14214" xr:uid="{0CDA40B4-D913-4B5E-A1FE-A3D3090C36FD}"/>
    <cellStyle name="20% - Accent5 2 6 4" xfId="9996" xr:uid="{CB1930FD-DA63-4FC9-9859-122E23022FEA}"/>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2" xr:uid="{CAD7D629-DBD5-46FF-9BE9-200408B27DC1}"/>
    <cellStyle name="20% - Accent5 2 7 2 3" xfId="12554" xr:uid="{0D0DA598-0FCB-4D71-8584-B1EF7D2252C2}"/>
    <cellStyle name="20% - Accent5 2 7 3" xfId="6191" xr:uid="{00000000-0005-0000-0000-0000CE020000}"/>
    <cellStyle name="20% - Accent5 2 7 3 2" xfId="14627" xr:uid="{15AA502A-7BBC-4F35-85C4-F574DCDDD723}"/>
    <cellStyle name="20% - Accent5 2 7 4" xfId="10409" xr:uid="{7251476A-D051-4F04-AE59-F7833CA48C03}"/>
    <cellStyle name="20% - Accent5 2 8" xfId="2297" xr:uid="{00000000-0005-0000-0000-0000CF020000}"/>
    <cellStyle name="20% - Accent5 2 8 2" xfId="6604" xr:uid="{00000000-0005-0000-0000-0000D0020000}"/>
    <cellStyle name="20% - Accent5 2 8 2 2" xfId="15040" xr:uid="{CD01DF7A-AA05-4264-BF75-C44E51104B9B}"/>
    <cellStyle name="20% - Accent5 2 8 3" xfId="10822" xr:uid="{89E56944-2646-49F8-811A-81C75F6017A9}"/>
    <cellStyle name="20% - Accent5 2 9" xfId="4538" xr:uid="{00000000-0005-0000-0000-0000D1020000}"/>
    <cellStyle name="20% - Accent5 2 9 2" xfId="12974" xr:uid="{85272726-7982-41B0-9DD5-5F1A664D3E45}"/>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38" xr:uid="{8D05835F-8866-44C2-919B-0A52EDA851F1}"/>
    <cellStyle name="20% - Accent5 3 2 2 2 3" xfId="11320" xr:uid="{AC89B3D6-A276-4A65-B0BB-EF4772587642}"/>
    <cellStyle name="20% - Accent5 3 2 2 3" xfId="4957" xr:uid="{00000000-0005-0000-0000-0000D7020000}"/>
    <cellStyle name="20% - Accent5 3 2 2 3 2" xfId="13393" xr:uid="{56F55CD5-ACC7-4111-9A6E-33CE7E96A9B7}"/>
    <cellStyle name="20% - Accent5 3 2 2 4" xfId="9175" xr:uid="{772B9921-3CA7-4572-AC7D-785ECAF4ACCC}"/>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1" xr:uid="{3E1BF3A0-611A-467B-BDE7-472BCCD02230}"/>
    <cellStyle name="20% - Accent5 3 2 3 2 3" xfId="11733" xr:uid="{A26A9291-9AA1-4D47-A1F7-BB8D0D8F76C9}"/>
    <cellStyle name="20% - Accent5 3 2 3 3" xfId="5370" xr:uid="{00000000-0005-0000-0000-0000DB020000}"/>
    <cellStyle name="20% - Accent5 3 2 3 3 2" xfId="13806" xr:uid="{C48C9ACF-54FB-4F02-AC1C-597362D6EB23}"/>
    <cellStyle name="20% - Accent5 3 2 3 4" xfId="9588" xr:uid="{ADDD3B89-4CC1-4B27-BDF0-0F550BDEB442}"/>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4" xr:uid="{A534AE03-0E2A-46E5-9431-9FBC62F40FA9}"/>
    <cellStyle name="20% - Accent5 3 2 4 2 3" xfId="12146" xr:uid="{9965AC46-CCA8-45D8-9846-A189F5B39C60}"/>
    <cellStyle name="20% - Accent5 3 2 4 3" xfId="5783" xr:uid="{00000000-0005-0000-0000-0000DF020000}"/>
    <cellStyle name="20% - Accent5 3 2 4 3 2" xfId="14219" xr:uid="{EB79DD72-B86C-4C23-AB87-EE0C27B48F3B}"/>
    <cellStyle name="20% - Accent5 3 2 4 4" xfId="10001" xr:uid="{4973DF07-3F61-4BE0-9D6D-C6B7BAB76EF7}"/>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77" xr:uid="{682A59D6-0894-4E19-B936-FE9C3CE3C84B}"/>
    <cellStyle name="20% - Accent5 3 2 5 2 3" xfId="12559" xr:uid="{23808E67-2166-4DE3-8621-6D3B41D57FB9}"/>
    <cellStyle name="20% - Accent5 3 2 5 3" xfId="6196" xr:uid="{00000000-0005-0000-0000-0000E3020000}"/>
    <cellStyle name="20% - Accent5 3 2 5 3 2" xfId="14632" xr:uid="{A7B982E8-C633-4E79-8002-BBAAFD608B5F}"/>
    <cellStyle name="20% - Accent5 3 2 5 4" xfId="10414" xr:uid="{B607384F-9ABD-4620-A060-A32EBF649BA7}"/>
    <cellStyle name="20% - Accent5 3 2 6" xfId="2302" xr:uid="{00000000-0005-0000-0000-0000E4020000}"/>
    <cellStyle name="20% - Accent5 3 2 6 2" xfId="6609" xr:uid="{00000000-0005-0000-0000-0000E5020000}"/>
    <cellStyle name="20% - Accent5 3 2 6 2 2" xfId="15045" xr:uid="{301783A0-DD14-4E95-B27A-80BC9F5CB9EC}"/>
    <cellStyle name="20% - Accent5 3 2 6 3" xfId="10827" xr:uid="{74EEA29B-5DC3-4EFB-9795-592A68829888}"/>
    <cellStyle name="20% - Accent5 3 2 7" xfId="4543" xr:uid="{00000000-0005-0000-0000-0000E6020000}"/>
    <cellStyle name="20% - Accent5 3 2 7 2" xfId="12979" xr:uid="{0AAA5428-B2A2-4AB4-A4FF-7F4F3C271AD4}"/>
    <cellStyle name="20% - Accent5 3 2 8" xfId="8761" xr:uid="{3DC10E2C-C651-440C-B1D0-439271A8BC7A}"/>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37" xr:uid="{261FA61E-5481-47B0-8F67-B917392A459F}"/>
    <cellStyle name="20% - Accent5 3 3 2 3" xfId="11319" xr:uid="{3B172B42-E24C-4E6F-9AE7-B029498652EA}"/>
    <cellStyle name="20% - Accent5 3 3 3" xfId="4956" xr:uid="{00000000-0005-0000-0000-0000EA020000}"/>
    <cellStyle name="20% - Accent5 3 3 3 2" xfId="13392" xr:uid="{5B4BB520-0FCF-4BB2-B384-2368A5BAE347}"/>
    <cellStyle name="20% - Accent5 3 3 4" xfId="9174" xr:uid="{53F6576B-65A2-4F44-AA40-3B9B3E4E75D9}"/>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0" xr:uid="{B23C2873-7CB7-481D-AFAD-AFF495C3A42A}"/>
    <cellStyle name="20% - Accent5 3 4 2 3" xfId="11732" xr:uid="{5C1DD9C0-D9CA-4864-8151-FA4211C2C293}"/>
    <cellStyle name="20% - Accent5 3 4 3" xfId="5369" xr:uid="{00000000-0005-0000-0000-0000EE020000}"/>
    <cellStyle name="20% - Accent5 3 4 3 2" xfId="13805" xr:uid="{4B3BD069-6A77-4240-B290-0492AA325429}"/>
    <cellStyle name="20% - Accent5 3 4 4" xfId="9587" xr:uid="{D391B705-A47F-4FA8-AA25-03291CDF8312}"/>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3" xr:uid="{1A182E7B-DAA5-44AA-98F4-715272A239A5}"/>
    <cellStyle name="20% - Accent5 3 5 2 3" xfId="12145" xr:uid="{1EE98DE8-C873-46EA-859F-2411EE3E21E2}"/>
    <cellStyle name="20% - Accent5 3 5 3" xfId="5782" xr:uid="{00000000-0005-0000-0000-0000F2020000}"/>
    <cellStyle name="20% - Accent5 3 5 3 2" xfId="14218" xr:uid="{3C7801AC-2A03-40B7-B67E-90FFDEB3E5FF}"/>
    <cellStyle name="20% - Accent5 3 5 4" xfId="10000" xr:uid="{B2DE7994-C5DA-4C3F-A2A9-69300A11847E}"/>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6" xr:uid="{885545C4-B4B3-44C3-B273-1FC9CD62B3C8}"/>
    <cellStyle name="20% - Accent5 3 6 2 3" xfId="12558" xr:uid="{DE8F0FBF-F5D2-4FAC-997F-37A569C6C9D1}"/>
    <cellStyle name="20% - Accent5 3 6 3" xfId="6195" xr:uid="{00000000-0005-0000-0000-0000F6020000}"/>
    <cellStyle name="20% - Accent5 3 6 3 2" xfId="14631" xr:uid="{518E00A2-5E9C-4332-8D91-52611A3AE4C7}"/>
    <cellStyle name="20% - Accent5 3 6 4" xfId="10413" xr:uid="{DF1F33ED-0EBF-4A74-BFDE-AE341797B678}"/>
    <cellStyle name="20% - Accent5 3 7" xfId="2301" xr:uid="{00000000-0005-0000-0000-0000F7020000}"/>
    <cellStyle name="20% - Accent5 3 7 2" xfId="6608" xr:uid="{00000000-0005-0000-0000-0000F8020000}"/>
    <cellStyle name="20% - Accent5 3 7 2 2" xfId="15044" xr:uid="{556635DE-2EDF-4D9A-8249-B2476D304ED3}"/>
    <cellStyle name="20% - Accent5 3 7 3" xfId="10826" xr:uid="{BB882066-4960-4ECB-A9A2-BABA35FD1F6F}"/>
    <cellStyle name="20% - Accent5 3 8" xfId="4542" xr:uid="{00000000-0005-0000-0000-0000F9020000}"/>
    <cellStyle name="20% - Accent5 3 8 2" xfId="12978" xr:uid="{7F5368D2-0E00-4555-A280-7935959DD01F}"/>
    <cellStyle name="20% - Accent5 3 9" xfId="8760" xr:uid="{0A16E133-5245-49C4-87D6-D6E379F78ADD}"/>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39" xr:uid="{76DE3084-F6E3-40C3-8BAA-B3A0C042C139}"/>
    <cellStyle name="20% - Accent5 4 2 2 3" xfId="11321" xr:uid="{04EF2D95-2927-4834-A4CE-274A56E2C12D}"/>
    <cellStyle name="20% - Accent5 4 2 3" xfId="4958" xr:uid="{00000000-0005-0000-0000-0000FE020000}"/>
    <cellStyle name="20% - Accent5 4 2 3 2" xfId="13394" xr:uid="{74F26CF6-E69E-4085-BAD2-ED5DA70E7582}"/>
    <cellStyle name="20% - Accent5 4 2 4" xfId="9176" xr:uid="{1204E678-FDDB-4699-82DB-8B4623FD40F2}"/>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2" xr:uid="{5D69A574-4C4B-4C66-8F8F-7A7DB00D4BC7}"/>
    <cellStyle name="20% - Accent5 4 3 2 3" xfId="11734" xr:uid="{8EB33A07-82F3-4C8E-A360-EAB23D68F649}"/>
    <cellStyle name="20% - Accent5 4 3 3" xfId="5371" xr:uid="{00000000-0005-0000-0000-000002030000}"/>
    <cellStyle name="20% - Accent5 4 3 3 2" xfId="13807" xr:uid="{80530B11-EAF9-4F5F-AA01-E7C5A8C4D23B}"/>
    <cellStyle name="20% - Accent5 4 3 4" xfId="9589" xr:uid="{D242950A-AFE7-4D43-A355-861693287914}"/>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5" xr:uid="{78DE04AD-801E-4911-B198-A415C37044E7}"/>
    <cellStyle name="20% - Accent5 4 4 2 3" xfId="12147" xr:uid="{C90717CE-D3BA-4A8B-86E9-3F4517965705}"/>
    <cellStyle name="20% - Accent5 4 4 3" xfId="5784" xr:uid="{00000000-0005-0000-0000-000006030000}"/>
    <cellStyle name="20% - Accent5 4 4 3 2" xfId="14220" xr:uid="{9A828939-2375-4389-AD33-B8A18A82414B}"/>
    <cellStyle name="20% - Accent5 4 4 4" xfId="10002" xr:uid="{EFE38E1C-1A30-4971-9174-83FE4065CFA9}"/>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78" xr:uid="{5FB123D9-262F-4FC4-85FC-5EFB2AA134F9}"/>
    <cellStyle name="20% - Accent5 4 5 2 3" xfId="12560" xr:uid="{B182C7D0-BC33-4E23-93B5-49DF97352ADA}"/>
    <cellStyle name="20% - Accent5 4 5 3" xfId="6197" xr:uid="{00000000-0005-0000-0000-00000A030000}"/>
    <cellStyle name="20% - Accent5 4 5 3 2" xfId="14633" xr:uid="{8517E2F7-0E50-4B2E-8980-2D4899C03BD4}"/>
    <cellStyle name="20% - Accent5 4 5 4" xfId="10415" xr:uid="{3DA76966-CD8F-49D3-90D1-279DEE321636}"/>
    <cellStyle name="20% - Accent5 4 6" xfId="2303" xr:uid="{00000000-0005-0000-0000-00000B030000}"/>
    <cellStyle name="20% - Accent5 4 6 2" xfId="6610" xr:uid="{00000000-0005-0000-0000-00000C030000}"/>
    <cellStyle name="20% - Accent5 4 6 2 2" xfId="15046" xr:uid="{5FEE6EA6-98E6-409E-968D-9237B1C251F2}"/>
    <cellStyle name="20% - Accent5 4 6 3" xfId="10828" xr:uid="{05301FB7-91DC-4CFF-B7FD-CF0318C16E8E}"/>
    <cellStyle name="20% - Accent5 4 7" xfId="4544" xr:uid="{00000000-0005-0000-0000-00000D030000}"/>
    <cellStyle name="20% - Accent5 4 7 2" xfId="12980" xr:uid="{BC9828DB-D507-4FBB-8F0B-D7A8D72CF4AD}"/>
    <cellStyle name="20% - Accent5 4 8" xfId="8762" xr:uid="{53B6BFFE-35FC-4782-8639-44F872CDA62E}"/>
    <cellStyle name="20% - Accent5 5" xfId="602" xr:uid="{00000000-0005-0000-0000-00000E030000}"/>
    <cellStyle name="20% - Accent5 5 2" xfId="2873" xr:uid="{00000000-0005-0000-0000-00000F030000}"/>
    <cellStyle name="20% - Accent5 5 2 2" xfId="7096" xr:uid="{00000000-0005-0000-0000-000010030000}"/>
    <cellStyle name="20% - Accent5 5 2 2 2" xfId="15532" xr:uid="{F97B8682-69BC-43B7-8254-F103C0340C16}"/>
    <cellStyle name="20% - Accent5 5 2 3" xfId="11314" xr:uid="{97C2FEC7-E3C3-4478-ABE3-914457ED8720}"/>
    <cellStyle name="20% - Accent5 5 3" xfId="4951" xr:uid="{00000000-0005-0000-0000-000011030000}"/>
    <cellStyle name="20% - Accent5 5 3 2" xfId="13387" xr:uid="{7A5F9451-03DC-4369-869C-AEB5142D41C7}"/>
    <cellStyle name="20% - Accent5 5 4" xfId="9169" xr:uid="{8109A451-3153-4D7C-BCC8-B1F1F53067EA}"/>
    <cellStyle name="20% - Accent5 6" xfId="1055" xr:uid="{00000000-0005-0000-0000-000012030000}"/>
    <cellStyle name="20% - Accent5 6 2" xfId="3286" xr:uid="{00000000-0005-0000-0000-000013030000}"/>
    <cellStyle name="20% - Accent5 6 2 2" xfId="7509" xr:uid="{00000000-0005-0000-0000-000014030000}"/>
    <cellStyle name="20% - Accent5 6 2 2 2" xfId="15945" xr:uid="{2186F229-3DDB-4936-9594-F2B223FB0EFE}"/>
    <cellStyle name="20% - Accent5 6 2 3" xfId="11727" xr:uid="{C29BB4EF-B995-4183-B6D1-48EDAE452F85}"/>
    <cellStyle name="20% - Accent5 6 3" xfId="5364" xr:uid="{00000000-0005-0000-0000-000015030000}"/>
    <cellStyle name="20% - Accent5 6 3 2" xfId="13800" xr:uid="{D3211336-8175-4C16-820C-41EFA317986B}"/>
    <cellStyle name="20% - Accent5 6 4" xfId="9582" xr:uid="{BCFDAADC-6AAB-407E-947D-3607BF5C1D26}"/>
    <cellStyle name="20% - Accent5 7" xfId="1469" xr:uid="{00000000-0005-0000-0000-000016030000}"/>
    <cellStyle name="20% - Accent5 7 2" xfId="3699" xr:uid="{00000000-0005-0000-0000-000017030000}"/>
    <cellStyle name="20% - Accent5 7 2 2" xfId="7922" xr:uid="{00000000-0005-0000-0000-000018030000}"/>
    <cellStyle name="20% - Accent5 7 2 2 2" xfId="16358" xr:uid="{4950C2F9-C863-43D8-90B7-CA8AA6DBD235}"/>
    <cellStyle name="20% - Accent5 7 2 3" xfId="12140" xr:uid="{233673EC-9557-442E-9351-FC8721429F48}"/>
    <cellStyle name="20% - Accent5 7 3" xfId="5777" xr:uid="{00000000-0005-0000-0000-000019030000}"/>
    <cellStyle name="20% - Accent5 7 3 2" xfId="14213" xr:uid="{1F1E2B75-640C-478A-9317-FD4BA367FE1B}"/>
    <cellStyle name="20% - Accent5 7 4" xfId="9995" xr:uid="{228DB2AA-1146-4DAF-8A4E-042EBA591322}"/>
    <cellStyle name="20% - Accent5 8" xfId="1883" xr:uid="{00000000-0005-0000-0000-00001A030000}"/>
    <cellStyle name="20% - Accent5 8 2" xfId="4112" xr:uid="{00000000-0005-0000-0000-00001B030000}"/>
    <cellStyle name="20% - Accent5 8 2 2" xfId="8335" xr:uid="{00000000-0005-0000-0000-00001C030000}"/>
    <cellStyle name="20% - Accent5 8 2 2 2" xfId="16771" xr:uid="{7079B11F-9A8E-4686-83F3-8CCEB6D6FC3C}"/>
    <cellStyle name="20% - Accent5 8 2 3" xfId="12553" xr:uid="{F6F7D9BF-77E8-4A7C-9AB6-D56FABBD6524}"/>
    <cellStyle name="20% - Accent5 8 3" xfId="6190" xr:uid="{00000000-0005-0000-0000-00001D030000}"/>
    <cellStyle name="20% - Accent5 8 3 2" xfId="14626" xr:uid="{F87B492C-BBAA-45A0-8798-E046BC35A522}"/>
    <cellStyle name="20% - Accent5 8 4" xfId="10408" xr:uid="{06BAEA98-EF9B-4AC3-8EFD-5741D8A90D8B}"/>
    <cellStyle name="20% - Accent5 9" xfId="2296" xr:uid="{00000000-0005-0000-0000-00001E030000}"/>
    <cellStyle name="20% - Accent5 9 2" xfId="6603" xr:uid="{00000000-0005-0000-0000-00001F030000}"/>
    <cellStyle name="20% - Accent5 9 2 2" xfId="15039" xr:uid="{791ED186-F3B7-4195-95E0-78950F409FAF}"/>
    <cellStyle name="20% - Accent5 9 3" xfId="10821" xr:uid="{4F0B024E-D840-450E-ABAA-281DC631BD49}"/>
    <cellStyle name="20% - Accent6" xfId="41" builtinId="50" customBuiltin="1"/>
    <cellStyle name="20% - Accent6 10" xfId="4545" xr:uid="{00000000-0005-0000-0000-000021030000}"/>
    <cellStyle name="20% - Accent6 10 2" xfId="12981" xr:uid="{CBE08E6D-D8A1-40AA-BA0B-DE7AEFDC3B17}"/>
    <cellStyle name="20% - Accent6 11" xfId="8763" xr:uid="{087FC613-3341-4C66-B6D1-423324944B7E}"/>
    <cellStyle name="20% - Accent6 2" xfId="42" xr:uid="{00000000-0005-0000-0000-000022030000}"/>
    <cellStyle name="20% - Accent6 2 10" xfId="8764" xr:uid="{0F91E91E-6333-4A6B-AE21-D6744ED6A9B3}"/>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3" xr:uid="{5D01D06C-D0C2-4A5D-BAD6-9F40F5173C65}"/>
    <cellStyle name="20% - Accent6 2 2 2 2 2 3" xfId="11325" xr:uid="{0B2DC49E-4923-414E-A2FD-FA63E821A366}"/>
    <cellStyle name="20% - Accent6 2 2 2 2 3" xfId="4962" xr:uid="{00000000-0005-0000-0000-000028030000}"/>
    <cellStyle name="20% - Accent6 2 2 2 2 3 2" xfId="13398" xr:uid="{0F797BEC-DF50-4C36-BD5A-00AFBBC1AF73}"/>
    <cellStyle name="20% - Accent6 2 2 2 2 4" xfId="9180" xr:uid="{9484F3FC-1FF0-445D-AC68-79E5613DE039}"/>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6" xr:uid="{F1A987BF-9878-483F-ADF0-329E72BC219F}"/>
    <cellStyle name="20% - Accent6 2 2 2 3 2 3" xfId="11738" xr:uid="{158D180D-2FF6-4E26-A2E0-390F5B0C7D0D}"/>
    <cellStyle name="20% - Accent6 2 2 2 3 3" xfId="5375" xr:uid="{00000000-0005-0000-0000-00002C030000}"/>
    <cellStyle name="20% - Accent6 2 2 2 3 3 2" xfId="13811" xr:uid="{B620ADE5-BB81-4533-A339-2B893053C968}"/>
    <cellStyle name="20% - Accent6 2 2 2 3 4" xfId="9593" xr:uid="{89ECC51B-9810-42FB-B16B-64D19A82A289}"/>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69" xr:uid="{CEAB3B0C-498A-41EB-AB76-7626BCAB8AE7}"/>
    <cellStyle name="20% - Accent6 2 2 2 4 2 3" xfId="12151" xr:uid="{37AFCE1C-A6D2-4FE7-9BA9-5D83C6E88FC3}"/>
    <cellStyle name="20% - Accent6 2 2 2 4 3" xfId="5788" xr:uid="{00000000-0005-0000-0000-000030030000}"/>
    <cellStyle name="20% - Accent6 2 2 2 4 3 2" xfId="14224" xr:uid="{99C3103E-6E29-478F-8B04-A3CEE375EE6B}"/>
    <cellStyle name="20% - Accent6 2 2 2 4 4" xfId="10006" xr:uid="{523651CF-5BB4-48DC-88E9-D0F44E6420A1}"/>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2" xr:uid="{2C9A1D4B-0778-4C6E-B14B-2278C5061691}"/>
    <cellStyle name="20% - Accent6 2 2 2 5 2 3" xfId="12564" xr:uid="{B5BC4C8C-980F-4B27-8F68-3C0A9F8CE0FC}"/>
    <cellStyle name="20% - Accent6 2 2 2 5 3" xfId="6201" xr:uid="{00000000-0005-0000-0000-000034030000}"/>
    <cellStyle name="20% - Accent6 2 2 2 5 3 2" xfId="14637" xr:uid="{1DEE8D34-5C5A-447A-8C91-C7612342F1F4}"/>
    <cellStyle name="20% - Accent6 2 2 2 5 4" xfId="10419" xr:uid="{A564C9E9-B934-415A-9BC9-CD094DC8938C}"/>
    <cellStyle name="20% - Accent6 2 2 2 6" xfId="2307" xr:uid="{00000000-0005-0000-0000-000035030000}"/>
    <cellStyle name="20% - Accent6 2 2 2 6 2" xfId="6614" xr:uid="{00000000-0005-0000-0000-000036030000}"/>
    <cellStyle name="20% - Accent6 2 2 2 6 2 2" xfId="15050" xr:uid="{82F6395E-BD43-4AF1-8E83-96529FB3C4E9}"/>
    <cellStyle name="20% - Accent6 2 2 2 6 3" xfId="10832" xr:uid="{53C13D2A-C928-460D-813C-EEF55466AD45}"/>
    <cellStyle name="20% - Accent6 2 2 2 7" xfId="4548" xr:uid="{00000000-0005-0000-0000-000037030000}"/>
    <cellStyle name="20% - Accent6 2 2 2 7 2" xfId="12984" xr:uid="{BAD1EF4C-8047-4038-A067-5183F861ADF7}"/>
    <cellStyle name="20% - Accent6 2 2 2 8" xfId="8766" xr:uid="{DA1CAA2D-F1EB-44ED-B3BB-AB53D4AFF0A1}"/>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2" xr:uid="{13B6E9A8-1F4C-438D-9CD4-43D18078B3A9}"/>
    <cellStyle name="20% - Accent6 2 2 3 2 3" xfId="11324" xr:uid="{CC822B6B-3C94-440A-A062-2FAFBA42435D}"/>
    <cellStyle name="20% - Accent6 2 2 3 3" xfId="4961" xr:uid="{00000000-0005-0000-0000-00003B030000}"/>
    <cellStyle name="20% - Accent6 2 2 3 3 2" xfId="13397" xr:uid="{1640B40C-2185-4A6F-92BE-2A2E6D76E779}"/>
    <cellStyle name="20% - Accent6 2 2 3 4" xfId="9179" xr:uid="{E15703ED-9B5F-42DF-84E7-6F7A1B4E470C}"/>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5" xr:uid="{7F39E818-5850-47A7-8318-8C891B4B3819}"/>
    <cellStyle name="20% - Accent6 2 2 4 2 3" xfId="11737" xr:uid="{2A3C0D11-ED7C-4574-8247-3441EF350074}"/>
    <cellStyle name="20% - Accent6 2 2 4 3" xfId="5374" xr:uid="{00000000-0005-0000-0000-00003F030000}"/>
    <cellStyle name="20% - Accent6 2 2 4 3 2" xfId="13810" xr:uid="{38B9310A-69C2-4374-A9FC-A1E20520A80D}"/>
    <cellStyle name="20% - Accent6 2 2 4 4" xfId="9592" xr:uid="{847DB42F-33DB-43DF-90B7-14FBE3D20067}"/>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68" xr:uid="{9D72A0B2-0537-4A28-94A3-32F01CAAC242}"/>
    <cellStyle name="20% - Accent6 2 2 5 2 3" xfId="12150" xr:uid="{3A661D0A-0721-4B26-9ABC-11FB5AB8D9B9}"/>
    <cellStyle name="20% - Accent6 2 2 5 3" xfId="5787" xr:uid="{00000000-0005-0000-0000-000043030000}"/>
    <cellStyle name="20% - Accent6 2 2 5 3 2" xfId="14223" xr:uid="{04F07CE0-CCA5-4B4A-858D-D6B08A2635C8}"/>
    <cellStyle name="20% - Accent6 2 2 5 4" xfId="10005" xr:uid="{7FD89083-CDE8-488E-A0D3-76E56F5D9CC5}"/>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1" xr:uid="{AD1A2CA1-271E-4D47-8D0E-5E0B45D4EDD7}"/>
    <cellStyle name="20% - Accent6 2 2 6 2 3" xfId="12563" xr:uid="{78F07CCD-E2AA-4113-8027-6DC6638AA053}"/>
    <cellStyle name="20% - Accent6 2 2 6 3" xfId="6200" xr:uid="{00000000-0005-0000-0000-000047030000}"/>
    <cellStyle name="20% - Accent6 2 2 6 3 2" xfId="14636" xr:uid="{230033DA-A6D6-4A71-8142-9FF04E69F0C6}"/>
    <cellStyle name="20% - Accent6 2 2 6 4" xfId="10418" xr:uid="{45233AEA-DE1A-46A8-AD2F-F7F5BD1469DD}"/>
    <cellStyle name="20% - Accent6 2 2 7" xfId="2306" xr:uid="{00000000-0005-0000-0000-000048030000}"/>
    <cellStyle name="20% - Accent6 2 2 7 2" xfId="6613" xr:uid="{00000000-0005-0000-0000-000049030000}"/>
    <cellStyle name="20% - Accent6 2 2 7 2 2" xfId="15049" xr:uid="{3FA0DE9E-9F2E-4222-AF47-543EDDBA9B91}"/>
    <cellStyle name="20% - Accent6 2 2 7 3" xfId="10831" xr:uid="{2591D2FB-4B9D-41BE-8E21-849B331B756F}"/>
    <cellStyle name="20% - Accent6 2 2 8" xfId="4547" xr:uid="{00000000-0005-0000-0000-00004A030000}"/>
    <cellStyle name="20% - Accent6 2 2 8 2" xfId="12983" xr:uid="{67CCBC58-BB76-472B-8A5C-3E807180AAF7}"/>
    <cellStyle name="20% - Accent6 2 2 9" xfId="8765" xr:uid="{296F8EDE-25B0-4F44-A90F-A127D4A761B9}"/>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4" xr:uid="{B071FD17-87C1-466C-97EC-4AFD90609650}"/>
    <cellStyle name="20% - Accent6 2 3 2 2 3" xfId="11326" xr:uid="{ABCD3E8C-32B3-4CBC-923A-5DE216728DE5}"/>
    <cellStyle name="20% - Accent6 2 3 2 3" xfId="4963" xr:uid="{00000000-0005-0000-0000-00004F030000}"/>
    <cellStyle name="20% - Accent6 2 3 2 3 2" xfId="13399" xr:uid="{807450DD-0BF8-4C5E-A4B5-8661E8B328B5}"/>
    <cellStyle name="20% - Accent6 2 3 2 4" xfId="9181" xr:uid="{FA1D105C-4D7C-47F3-BE54-1E35A0E81830}"/>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57" xr:uid="{6BD302DE-CA22-418F-936D-85B8D648DF3E}"/>
    <cellStyle name="20% - Accent6 2 3 3 2 3" xfId="11739" xr:uid="{5B6ACF32-A5BF-4DD0-B591-503BCA66D70C}"/>
    <cellStyle name="20% - Accent6 2 3 3 3" xfId="5376" xr:uid="{00000000-0005-0000-0000-000053030000}"/>
    <cellStyle name="20% - Accent6 2 3 3 3 2" xfId="13812" xr:uid="{DFDE09E9-BF93-42C7-A872-8FD64A80A152}"/>
    <cellStyle name="20% - Accent6 2 3 3 4" xfId="9594" xr:uid="{D592F963-BC2A-466F-B089-7D461BC3E48D}"/>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0" xr:uid="{E86C52BB-E748-4103-87A4-84622ECA2DF9}"/>
    <cellStyle name="20% - Accent6 2 3 4 2 3" xfId="12152" xr:uid="{CC650E28-1512-4056-BF10-30BA9B822621}"/>
    <cellStyle name="20% - Accent6 2 3 4 3" xfId="5789" xr:uid="{00000000-0005-0000-0000-000057030000}"/>
    <cellStyle name="20% - Accent6 2 3 4 3 2" xfId="14225" xr:uid="{5CCAFBAE-DFAA-4C8C-9015-94F9B5F3F947}"/>
    <cellStyle name="20% - Accent6 2 3 4 4" xfId="10007" xr:uid="{7E90DE6E-35B1-4B7D-9B4C-B1715A2FE834}"/>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3" xr:uid="{91FC6E9B-8454-4900-9FB6-694FBBD8FBE6}"/>
    <cellStyle name="20% - Accent6 2 3 5 2 3" xfId="12565" xr:uid="{D6988C72-2A82-4C71-AE40-E1FCDAA919E2}"/>
    <cellStyle name="20% - Accent6 2 3 5 3" xfId="6202" xr:uid="{00000000-0005-0000-0000-00005B030000}"/>
    <cellStyle name="20% - Accent6 2 3 5 3 2" xfId="14638" xr:uid="{9EE84B0B-A78B-409B-825C-6CF0FA340CBB}"/>
    <cellStyle name="20% - Accent6 2 3 5 4" xfId="10420" xr:uid="{751E47C7-D3F6-467F-B826-37EDA854FE15}"/>
    <cellStyle name="20% - Accent6 2 3 6" xfId="2308" xr:uid="{00000000-0005-0000-0000-00005C030000}"/>
    <cellStyle name="20% - Accent6 2 3 6 2" xfId="6615" xr:uid="{00000000-0005-0000-0000-00005D030000}"/>
    <cellStyle name="20% - Accent6 2 3 6 2 2" xfId="15051" xr:uid="{C54B387E-CFED-42C0-9AA1-85441ADEE08B}"/>
    <cellStyle name="20% - Accent6 2 3 6 3" xfId="10833" xr:uid="{89AEC67D-E0AF-4EAA-81C2-14F4648D29CF}"/>
    <cellStyle name="20% - Accent6 2 3 7" xfId="4549" xr:uid="{00000000-0005-0000-0000-00005E030000}"/>
    <cellStyle name="20% - Accent6 2 3 7 2" xfId="12985" xr:uid="{46BF3CD4-6E21-45D8-A7F3-8F1B66E520BD}"/>
    <cellStyle name="20% - Accent6 2 3 8" xfId="8767" xr:uid="{FC5A8433-72E9-4C47-A3E9-438FDA863A9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1" xr:uid="{F4B84343-86AC-444E-A9AF-749AB7CE0388}"/>
    <cellStyle name="20% - Accent6 2 4 2 3" xfId="11323" xr:uid="{FAAD0584-A4E0-4B4B-8E36-80377C652FB5}"/>
    <cellStyle name="20% - Accent6 2 4 3" xfId="4960" xr:uid="{00000000-0005-0000-0000-000062030000}"/>
    <cellStyle name="20% - Accent6 2 4 3 2" xfId="13396" xr:uid="{27D2E3BD-F523-4FF2-9478-5DB7D6F77A99}"/>
    <cellStyle name="20% - Accent6 2 4 4" xfId="9178" xr:uid="{BFA3D3A1-3392-43AE-B640-F36152DD8024}"/>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4" xr:uid="{17686741-CB4F-411F-84FB-1986B6D76A37}"/>
    <cellStyle name="20% - Accent6 2 5 2 3" xfId="11736" xr:uid="{4A2629FC-C0FE-428E-9F41-53D75475203A}"/>
    <cellStyle name="20% - Accent6 2 5 3" xfId="5373" xr:uid="{00000000-0005-0000-0000-000066030000}"/>
    <cellStyle name="20% - Accent6 2 5 3 2" xfId="13809" xr:uid="{19589EA6-88FE-400C-B4B8-D6F3B967F34A}"/>
    <cellStyle name="20% - Accent6 2 5 4" xfId="9591" xr:uid="{87A08E5D-875B-4E7E-A5AA-9323722F9989}"/>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67" xr:uid="{BCD8781A-7CE8-440D-BCCF-76CAC1443EFE}"/>
    <cellStyle name="20% - Accent6 2 6 2 3" xfId="12149" xr:uid="{75A66BBE-2CD9-49B8-A056-AC7D91C464DC}"/>
    <cellStyle name="20% - Accent6 2 6 3" xfId="5786" xr:uid="{00000000-0005-0000-0000-00006A030000}"/>
    <cellStyle name="20% - Accent6 2 6 3 2" xfId="14222" xr:uid="{F35F3534-BADD-4681-99B1-2344B7C5EBA0}"/>
    <cellStyle name="20% - Accent6 2 6 4" xfId="10004" xr:uid="{0C4242F3-C27F-4F06-9A0A-E13349E33725}"/>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0" xr:uid="{DC83A1B7-9B36-44D6-91C7-2CF9DAF65981}"/>
    <cellStyle name="20% - Accent6 2 7 2 3" xfId="12562" xr:uid="{19D2A5E0-5FD7-41BE-98C9-B246B5E5E857}"/>
    <cellStyle name="20% - Accent6 2 7 3" xfId="6199" xr:uid="{00000000-0005-0000-0000-00006E030000}"/>
    <cellStyle name="20% - Accent6 2 7 3 2" xfId="14635" xr:uid="{901BD9DF-1E3B-4892-A60D-5A6D51D77C79}"/>
    <cellStyle name="20% - Accent6 2 7 4" xfId="10417" xr:uid="{10923BC1-8F1F-4862-A49C-7D0EECBBAF1A}"/>
    <cellStyle name="20% - Accent6 2 8" xfId="2305" xr:uid="{00000000-0005-0000-0000-00006F030000}"/>
    <cellStyle name="20% - Accent6 2 8 2" xfId="6612" xr:uid="{00000000-0005-0000-0000-000070030000}"/>
    <cellStyle name="20% - Accent6 2 8 2 2" xfId="15048" xr:uid="{468EEED1-586A-4268-A430-3F1A6EFEB15C}"/>
    <cellStyle name="20% - Accent6 2 8 3" xfId="10830" xr:uid="{25FAFE90-9939-4DC5-AF99-89FF2CA2593C}"/>
    <cellStyle name="20% - Accent6 2 9" xfId="4546" xr:uid="{00000000-0005-0000-0000-000071030000}"/>
    <cellStyle name="20% - Accent6 2 9 2" xfId="12982" xr:uid="{C2E18744-B882-4581-B9EC-103EB6DD8659}"/>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6" xr:uid="{8A9B9439-ECE9-4FF5-A5E1-E6CE4F15D315}"/>
    <cellStyle name="20% - Accent6 3 2 2 2 3" xfId="11328" xr:uid="{8A805C39-2850-4D56-B568-BCC351371521}"/>
    <cellStyle name="20% - Accent6 3 2 2 3" xfId="4965" xr:uid="{00000000-0005-0000-0000-000077030000}"/>
    <cellStyle name="20% - Accent6 3 2 2 3 2" xfId="13401" xr:uid="{3FE5857F-5477-44B9-BA01-518F6D7A3DCC}"/>
    <cellStyle name="20% - Accent6 3 2 2 4" xfId="9183" xr:uid="{DCAC0EB3-BAB7-45E6-897F-F1170445E589}"/>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59" xr:uid="{64D5AC7F-E350-4115-9482-C52AE22E0598}"/>
    <cellStyle name="20% - Accent6 3 2 3 2 3" xfId="11741" xr:uid="{FE48846B-F39A-4114-8185-A3BF355AB355}"/>
    <cellStyle name="20% - Accent6 3 2 3 3" xfId="5378" xr:uid="{00000000-0005-0000-0000-00007B030000}"/>
    <cellStyle name="20% - Accent6 3 2 3 3 2" xfId="13814" xr:uid="{10BA0A31-3BC2-4CB2-A524-1A2A6A3442CD}"/>
    <cellStyle name="20% - Accent6 3 2 3 4" xfId="9596" xr:uid="{CE8A8D99-CE7D-4D33-AF01-C9D028EFEE29}"/>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2" xr:uid="{FC1B451B-885C-4E43-9DB9-71E31E12629A}"/>
    <cellStyle name="20% - Accent6 3 2 4 2 3" xfId="12154" xr:uid="{E1D85116-D734-4829-A768-C5B5F7A8166E}"/>
    <cellStyle name="20% - Accent6 3 2 4 3" xfId="5791" xr:uid="{00000000-0005-0000-0000-00007F030000}"/>
    <cellStyle name="20% - Accent6 3 2 4 3 2" xfId="14227" xr:uid="{82C81C3D-8F6C-4640-9BEB-0385FA62D1D0}"/>
    <cellStyle name="20% - Accent6 3 2 4 4" xfId="10009" xr:uid="{57A5E138-A1B5-4B07-ACAD-5618AD45341E}"/>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5" xr:uid="{CD6ACC36-4058-491E-A831-178B76FB2696}"/>
    <cellStyle name="20% - Accent6 3 2 5 2 3" xfId="12567" xr:uid="{05FEAD0B-F22D-47B5-8963-FE791FC4F02B}"/>
    <cellStyle name="20% - Accent6 3 2 5 3" xfId="6204" xr:uid="{00000000-0005-0000-0000-000083030000}"/>
    <cellStyle name="20% - Accent6 3 2 5 3 2" xfId="14640" xr:uid="{857E4E85-EAF9-4063-89F3-4345572A8E68}"/>
    <cellStyle name="20% - Accent6 3 2 5 4" xfId="10422" xr:uid="{BC055365-DF5D-420C-B507-9AD3ADDE6F3A}"/>
    <cellStyle name="20% - Accent6 3 2 6" xfId="2310" xr:uid="{00000000-0005-0000-0000-000084030000}"/>
    <cellStyle name="20% - Accent6 3 2 6 2" xfId="6617" xr:uid="{00000000-0005-0000-0000-000085030000}"/>
    <cellStyle name="20% - Accent6 3 2 6 2 2" xfId="15053" xr:uid="{29BA4FEC-53D3-4718-8BD2-CF1E9D5E67F5}"/>
    <cellStyle name="20% - Accent6 3 2 6 3" xfId="10835" xr:uid="{7C6C5390-50D3-4A7B-A6BB-0345DD5EEFD2}"/>
    <cellStyle name="20% - Accent6 3 2 7" xfId="4551" xr:uid="{00000000-0005-0000-0000-000086030000}"/>
    <cellStyle name="20% - Accent6 3 2 7 2" xfId="12987" xr:uid="{89331F86-D767-40FB-AC4C-E00530EEEC42}"/>
    <cellStyle name="20% - Accent6 3 2 8" xfId="8769" xr:uid="{9F47007F-7584-4038-9549-96C48DCA52EA}"/>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5" xr:uid="{D3F6529A-A8B3-425B-B7D8-6687F2A6147C}"/>
    <cellStyle name="20% - Accent6 3 3 2 3" xfId="11327" xr:uid="{3ABEF5AC-8771-45F1-A9D5-C4A16A82A9B5}"/>
    <cellStyle name="20% - Accent6 3 3 3" xfId="4964" xr:uid="{00000000-0005-0000-0000-00008A030000}"/>
    <cellStyle name="20% - Accent6 3 3 3 2" xfId="13400" xr:uid="{75153970-9FE9-4519-A43D-377238E74E33}"/>
    <cellStyle name="20% - Accent6 3 3 4" xfId="9182" xr:uid="{0AA8783C-1128-4654-B094-9AF669CD94BE}"/>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58" xr:uid="{3A3BFEF9-DDF9-4516-A604-B05FAE5B9B9C}"/>
    <cellStyle name="20% - Accent6 3 4 2 3" xfId="11740" xr:uid="{4B218B16-026B-47B6-AB05-C7F8678C5D47}"/>
    <cellStyle name="20% - Accent6 3 4 3" xfId="5377" xr:uid="{00000000-0005-0000-0000-00008E030000}"/>
    <cellStyle name="20% - Accent6 3 4 3 2" xfId="13813" xr:uid="{D7B11C5F-02AD-481A-AD8D-E2CA4D331433}"/>
    <cellStyle name="20% - Accent6 3 4 4" xfId="9595" xr:uid="{B76BD6D9-B047-45DA-9DD2-3568C33A8D34}"/>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1" xr:uid="{7E136F47-9D14-46FF-8B0D-BFC2D066E473}"/>
    <cellStyle name="20% - Accent6 3 5 2 3" xfId="12153" xr:uid="{0658E0CF-DFCE-4624-8DB9-6F136822BEB6}"/>
    <cellStyle name="20% - Accent6 3 5 3" xfId="5790" xr:uid="{00000000-0005-0000-0000-000092030000}"/>
    <cellStyle name="20% - Accent6 3 5 3 2" xfId="14226" xr:uid="{0A7C9DAA-5145-416A-B3B6-85FAE545F169}"/>
    <cellStyle name="20% - Accent6 3 5 4" xfId="10008" xr:uid="{D7DC426E-555B-41C2-B03D-18F05BC5AE13}"/>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4" xr:uid="{7CADE899-4079-4990-9425-82DCB4B8BC03}"/>
    <cellStyle name="20% - Accent6 3 6 2 3" xfId="12566" xr:uid="{A5F95144-8487-4039-A305-DC4579841570}"/>
    <cellStyle name="20% - Accent6 3 6 3" xfId="6203" xr:uid="{00000000-0005-0000-0000-000096030000}"/>
    <cellStyle name="20% - Accent6 3 6 3 2" xfId="14639" xr:uid="{CF3DAA67-F5AF-4C78-B4FD-FE2BF7B05775}"/>
    <cellStyle name="20% - Accent6 3 6 4" xfId="10421" xr:uid="{55E997FF-B183-41E0-8F92-37BDF3E1B8C7}"/>
    <cellStyle name="20% - Accent6 3 7" xfId="2309" xr:uid="{00000000-0005-0000-0000-000097030000}"/>
    <cellStyle name="20% - Accent6 3 7 2" xfId="6616" xr:uid="{00000000-0005-0000-0000-000098030000}"/>
    <cellStyle name="20% - Accent6 3 7 2 2" xfId="15052" xr:uid="{638CE2AF-C3AB-4418-A427-3F13D228D9A8}"/>
    <cellStyle name="20% - Accent6 3 7 3" xfId="10834" xr:uid="{DCFA6039-BCFD-4D19-831F-AD19A0512D73}"/>
    <cellStyle name="20% - Accent6 3 8" xfId="4550" xr:uid="{00000000-0005-0000-0000-000099030000}"/>
    <cellStyle name="20% - Accent6 3 8 2" xfId="12986" xr:uid="{519BF100-557C-4B19-9D6B-88070ACC6B7A}"/>
    <cellStyle name="20% - Accent6 3 9" xfId="8768" xr:uid="{86DA4806-0171-485C-8E1D-F6DDC6FF39E6}"/>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47" xr:uid="{14DA85D2-A0F9-4A33-B091-69F24FF28C96}"/>
    <cellStyle name="20% - Accent6 4 2 2 3" xfId="11329" xr:uid="{036031BC-F0D3-4A43-BB27-95BB30A9B9B2}"/>
    <cellStyle name="20% - Accent6 4 2 3" xfId="4966" xr:uid="{00000000-0005-0000-0000-00009E030000}"/>
    <cellStyle name="20% - Accent6 4 2 3 2" xfId="13402" xr:uid="{CA8F8288-7F7E-4D4B-9A23-BB0BCBC30FB6}"/>
    <cellStyle name="20% - Accent6 4 2 4" xfId="9184" xr:uid="{6A18C8A8-3FE0-4D00-9FB6-6B617C2C1088}"/>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0" xr:uid="{4C6B1DBB-E5F1-4792-BC8E-73A271E1DA47}"/>
    <cellStyle name="20% - Accent6 4 3 2 3" xfId="11742" xr:uid="{9FAE6F1F-99F4-4D4D-9E7F-EC7756AB9252}"/>
    <cellStyle name="20% - Accent6 4 3 3" xfId="5379" xr:uid="{00000000-0005-0000-0000-0000A2030000}"/>
    <cellStyle name="20% - Accent6 4 3 3 2" xfId="13815" xr:uid="{99BB6B15-DB6A-4076-B70A-9062C114C046}"/>
    <cellStyle name="20% - Accent6 4 3 4" xfId="9597" xr:uid="{F49283D8-8525-482E-9DA0-6B92FEF41DE5}"/>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3" xr:uid="{CE3D3C50-4E9D-4949-B469-C46A337192EA}"/>
    <cellStyle name="20% - Accent6 4 4 2 3" xfId="12155" xr:uid="{DAF11D31-67FB-4730-A338-6CF15D1B5465}"/>
    <cellStyle name="20% - Accent6 4 4 3" xfId="5792" xr:uid="{00000000-0005-0000-0000-0000A6030000}"/>
    <cellStyle name="20% - Accent6 4 4 3 2" xfId="14228" xr:uid="{9C172779-A903-4D84-A1CD-502B9CF827FF}"/>
    <cellStyle name="20% - Accent6 4 4 4" xfId="10010" xr:uid="{E4A80374-73F0-4A0C-83D0-09BB3F2166E4}"/>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6" xr:uid="{51FBBF85-1EE9-481E-966A-658F65B01ADC}"/>
    <cellStyle name="20% - Accent6 4 5 2 3" xfId="12568" xr:uid="{A2D01EAD-DE38-4D10-86BE-B4111FA07433}"/>
    <cellStyle name="20% - Accent6 4 5 3" xfId="6205" xr:uid="{00000000-0005-0000-0000-0000AA030000}"/>
    <cellStyle name="20% - Accent6 4 5 3 2" xfId="14641" xr:uid="{6543AFFA-3774-47A7-868A-C560234B74DD}"/>
    <cellStyle name="20% - Accent6 4 5 4" xfId="10423" xr:uid="{546EF589-43B9-49AA-9163-2511B4FA4154}"/>
    <cellStyle name="20% - Accent6 4 6" xfId="2311" xr:uid="{00000000-0005-0000-0000-0000AB030000}"/>
    <cellStyle name="20% - Accent6 4 6 2" xfId="6618" xr:uid="{00000000-0005-0000-0000-0000AC030000}"/>
    <cellStyle name="20% - Accent6 4 6 2 2" xfId="15054" xr:uid="{33D0DB4D-2666-4B98-B4A4-2A0ECFB7FACE}"/>
    <cellStyle name="20% - Accent6 4 6 3" xfId="10836" xr:uid="{BA7CB7AB-0295-42DD-A8C9-79C71F3F0CFE}"/>
    <cellStyle name="20% - Accent6 4 7" xfId="4552" xr:uid="{00000000-0005-0000-0000-0000AD030000}"/>
    <cellStyle name="20% - Accent6 4 7 2" xfId="12988" xr:uid="{AEF3A0E3-33B5-416F-8534-DA9A2EAD3DAB}"/>
    <cellStyle name="20% - Accent6 4 8" xfId="8770" xr:uid="{7B23DEE7-0130-4A43-9FD3-3BF2B1D7D8AC}"/>
    <cellStyle name="20% - Accent6 5" xfId="610" xr:uid="{00000000-0005-0000-0000-0000AE030000}"/>
    <cellStyle name="20% - Accent6 5 2" xfId="2881" xr:uid="{00000000-0005-0000-0000-0000AF030000}"/>
    <cellStyle name="20% - Accent6 5 2 2" xfId="7104" xr:uid="{00000000-0005-0000-0000-0000B0030000}"/>
    <cellStyle name="20% - Accent6 5 2 2 2" xfId="15540" xr:uid="{0D5EA51D-F51D-4A37-97B2-986DCD838EE4}"/>
    <cellStyle name="20% - Accent6 5 2 3" xfId="11322" xr:uid="{976F7E90-CFDE-4119-BEF3-0B5B19AA99AE}"/>
    <cellStyle name="20% - Accent6 5 3" xfId="4959" xr:uid="{00000000-0005-0000-0000-0000B1030000}"/>
    <cellStyle name="20% - Accent6 5 3 2" xfId="13395" xr:uid="{74B5B958-D73A-4223-8E74-B62C2872BC28}"/>
    <cellStyle name="20% - Accent6 5 4" xfId="9177" xr:uid="{8D56B84E-316C-4FCA-A85E-CD2D00B96FA6}"/>
    <cellStyle name="20% - Accent6 6" xfId="1063" xr:uid="{00000000-0005-0000-0000-0000B2030000}"/>
    <cellStyle name="20% - Accent6 6 2" xfId="3294" xr:uid="{00000000-0005-0000-0000-0000B3030000}"/>
    <cellStyle name="20% - Accent6 6 2 2" xfId="7517" xr:uid="{00000000-0005-0000-0000-0000B4030000}"/>
    <cellStyle name="20% - Accent6 6 2 2 2" xfId="15953" xr:uid="{A4F25888-0911-49D7-BA14-6F6B549F4DCD}"/>
    <cellStyle name="20% - Accent6 6 2 3" xfId="11735" xr:uid="{8824A333-0F3C-4404-9F4C-3D12378AC7AC}"/>
    <cellStyle name="20% - Accent6 6 3" xfId="5372" xr:uid="{00000000-0005-0000-0000-0000B5030000}"/>
    <cellStyle name="20% - Accent6 6 3 2" xfId="13808" xr:uid="{E4A7B880-5D1C-4AE6-94DC-09E6DE65B66C}"/>
    <cellStyle name="20% - Accent6 6 4" xfId="9590" xr:uid="{7C1DA7FB-4A96-4901-BDEB-CBCC826B77C2}"/>
    <cellStyle name="20% - Accent6 7" xfId="1477" xr:uid="{00000000-0005-0000-0000-0000B6030000}"/>
    <cellStyle name="20% - Accent6 7 2" xfId="3707" xr:uid="{00000000-0005-0000-0000-0000B7030000}"/>
    <cellStyle name="20% - Accent6 7 2 2" xfId="7930" xr:uid="{00000000-0005-0000-0000-0000B8030000}"/>
    <cellStyle name="20% - Accent6 7 2 2 2" xfId="16366" xr:uid="{47C92AD2-AF43-46E6-808B-D6AFC3DC5AED}"/>
    <cellStyle name="20% - Accent6 7 2 3" xfId="12148" xr:uid="{6D2BBE67-61D9-4E8B-941F-213FDBDCA2CD}"/>
    <cellStyle name="20% - Accent6 7 3" xfId="5785" xr:uid="{00000000-0005-0000-0000-0000B9030000}"/>
    <cellStyle name="20% - Accent6 7 3 2" xfId="14221" xr:uid="{090A1EE1-AF5E-42E2-A802-18C3AC2BCF12}"/>
    <cellStyle name="20% - Accent6 7 4" xfId="10003" xr:uid="{F7D622B0-285B-451A-AE69-264EE3D6995F}"/>
    <cellStyle name="20% - Accent6 8" xfId="1891" xr:uid="{00000000-0005-0000-0000-0000BA030000}"/>
    <cellStyle name="20% - Accent6 8 2" xfId="4120" xr:uid="{00000000-0005-0000-0000-0000BB030000}"/>
    <cellStyle name="20% - Accent6 8 2 2" xfId="8343" xr:uid="{00000000-0005-0000-0000-0000BC030000}"/>
    <cellStyle name="20% - Accent6 8 2 2 2" xfId="16779" xr:uid="{812437D4-1C71-477E-A47C-7899B16E62BF}"/>
    <cellStyle name="20% - Accent6 8 2 3" xfId="12561" xr:uid="{777168CD-35F9-4FA8-AACE-7A6F7A3F42E2}"/>
    <cellStyle name="20% - Accent6 8 3" xfId="6198" xr:uid="{00000000-0005-0000-0000-0000BD030000}"/>
    <cellStyle name="20% - Accent6 8 3 2" xfId="14634" xr:uid="{9FFE9CDE-2C2F-447D-B316-D7950D46C195}"/>
    <cellStyle name="20% - Accent6 8 4" xfId="10416" xr:uid="{E7F0314A-3BF1-4D90-8CAA-A4E3A8EA422B}"/>
    <cellStyle name="20% - Accent6 9" xfId="2304" xr:uid="{00000000-0005-0000-0000-0000BE030000}"/>
    <cellStyle name="20% - Accent6 9 2" xfId="6611" xr:uid="{00000000-0005-0000-0000-0000BF030000}"/>
    <cellStyle name="20% - Accent6 9 2 2" xfId="15047" xr:uid="{941C6594-E78F-4C15-94D1-3D1E2B1F35DD}"/>
    <cellStyle name="20% - Accent6 9 3" xfId="10829" xr:uid="{657BBE31-FD0C-454E-BEB0-37DA869E4FC9}"/>
    <cellStyle name="40% - Accent1" xfId="49" builtinId="31" customBuiltin="1"/>
    <cellStyle name="40% - Accent1 10" xfId="4553" xr:uid="{00000000-0005-0000-0000-0000C1030000}"/>
    <cellStyle name="40% - Accent1 10 2" xfId="12989" xr:uid="{D74F0DF0-BE4E-4758-8E5A-7FBB6E5885F6}"/>
    <cellStyle name="40% - Accent1 11" xfId="8771" xr:uid="{13023F8C-EF77-4D92-AFA7-39E561011CCC}"/>
    <cellStyle name="40% - Accent1 2" xfId="50" xr:uid="{00000000-0005-0000-0000-0000C2030000}"/>
    <cellStyle name="40% - Accent1 2 10" xfId="8772" xr:uid="{D4A9524C-5A3F-4468-A13B-3E4B16097A8F}"/>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1" xr:uid="{DE3477E6-22BD-4A12-A4DD-6A3C68D58106}"/>
    <cellStyle name="40% - Accent1 2 2 2 2 2 3" xfId="11333" xr:uid="{EB2A9060-8E85-4802-A5EB-53BC6B8D9CE2}"/>
    <cellStyle name="40% - Accent1 2 2 2 2 3" xfId="4970" xr:uid="{00000000-0005-0000-0000-0000C8030000}"/>
    <cellStyle name="40% - Accent1 2 2 2 2 3 2" xfId="13406" xr:uid="{EB502855-EF34-43E1-AC50-50DD58632B6D}"/>
    <cellStyle name="40% - Accent1 2 2 2 2 4" xfId="9188" xr:uid="{24B2B54E-26BC-4B03-B771-3F8803D287C2}"/>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4" xr:uid="{CE7DA7A4-4A30-4AD8-85DE-BB95CB3B5D96}"/>
    <cellStyle name="40% - Accent1 2 2 2 3 2 3" xfId="11746" xr:uid="{E7D28411-7BC2-4F3A-927A-2F6EA1711A90}"/>
    <cellStyle name="40% - Accent1 2 2 2 3 3" xfId="5383" xr:uid="{00000000-0005-0000-0000-0000CC030000}"/>
    <cellStyle name="40% - Accent1 2 2 2 3 3 2" xfId="13819" xr:uid="{5A55930E-17CB-49EF-A7BE-E9C8259468F3}"/>
    <cellStyle name="40% - Accent1 2 2 2 3 4" xfId="9601" xr:uid="{2E499649-328D-4DE9-B6F2-4E35B96D125F}"/>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77" xr:uid="{F073A0C4-BE78-4938-93CC-0406110EC62D}"/>
    <cellStyle name="40% - Accent1 2 2 2 4 2 3" xfId="12159" xr:uid="{317DF311-136C-4DBD-A2F1-8C1905F93B35}"/>
    <cellStyle name="40% - Accent1 2 2 2 4 3" xfId="5796" xr:uid="{00000000-0005-0000-0000-0000D0030000}"/>
    <cellStyle name="40% - Accent1 2 2 2 4 3 2" xfId="14232" xr:uid="{0586FCC4-0791-4509-97CF-CCBF5FE2DC17}"/>
    <cellStyle name="40% - Accent1 2 2 2 4 4" xfId="10014" xr:uid="{7E2C2B4F-5D38-4090-BD68-2096CA204B68}"/>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0" xr:uid="{FCD1A9EA-354F-48C2-B9D9-54D939BA207E}"/>
    <cellStyle name="40% - Accent1 2 2 2 5 2 3" xfId="12572" xr:uid="{24164F16-048E-4296-9195-33D6CCB5ACA1}"/>
    <cellStyle name="40% - Accent1 2 2 2 5 3" xfId="6209" xr:uid="{00000000-0005-0000-0000-0000D4030000}"/>
    <cellStyle name="40% - Accent1 2 2 2 5 3 2" xfId="14645" xr:uid="{CA0C7E00-F8C4-4C7E-B4A7-DF6B903DE7C4}"/>
    <cellStyle name="40% - Accent1 2 2 2 5 4" xfId="10427" xr:uid="{945B8954-CA2E-4028-A816-48860A840AA9}"/>
    <cellStyle name="40% - Accent1 2 2 2 6" xfId="2315" xr:uid="{00000000-0005-0000-0000-0000D5030000}"/>
    <cellStyle name="40% - Accent1 2 2 2 6 2" xfId="6622" xr:uid="{00000000-0005-0000-0000-0000D6030000}"/>
    <cellStyle name="40% - Accent1 2 2 2 6 2 2" xfId="15058" xr:uid="{31D211A9-8FFE-45BD-B1A9-8C3F9A59AE3D}"/>
    <cellStyle name="40% - Accent1 2 2 2 6 3" xfId="10840" xr:uid="{1970C3BF-7D88-4E20-9EE4-313511F4145B}"/>
    <cellStyle name="40% - Accent1 2 2 2 7" xfId="4556" xr:uid="{00000000-0005-0000-0000-0000D7030000}"/>
    <cellStyle name="40% - Accent1 2 2 2 7 2" xfId="12992" xr:uid="{F8E8D08F-BCF7-4F5E-B648-175BDD7256D1}"/>
    <cellStyle name="40% - Accent1 2 2 2 8" xfId="8774" xr:uid="{5DEB891B-1548-41A7-9B78-478A3711AACF}"/>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0" xr:uid="{A0782C97-0024-4BA3-851E-F9C45FE47429}"/>
    <cellStyle name="40% - Accent1 2 2 3 2 3" xfId="11332" xr:uid="{53EB75FC-C2E5-4E72-808D-E2DA4496727B}"/>
    <cellStyle name="40% - Accent1 2 2 3 3" xfId="4969" xr:uid="{00000000-0005-0000-0000-0000DB030000}"/>
    <cellStyle name="40% - Accent1 2 2 3 3 2" xfId="13405" xr:uid="{217E99A6-024F-4E07-8D74-B855B0B6A72F}"/>
    <cellStyle name="40% - Accent1 2 2 3 4" xfId="9187" xr:uid="{2CB84FEE-4062-4DD5-B4A3-3BDD0A235525}"/>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3" xr:uid="{493E3688-541B-4312-8B12-F006570BAD32}"/>
    <cellStyle name="40% - Accent1 2 2 4 2 3" xfId="11745" xr:uid="{21977A58-3CBB-4982-9E01-5B89D0FF37CA}"/>
    <cellStyle name="40% - Accent1 2 2 4 3" xfId="5382" xr:uid="{00000000-0005-0000-0000-0000DF030000}"/>
    <cellStyle name="40% - Accent1 2 2 4 3 2" xfId="13818" xr:uid="{5A850FF1-6468-48FA-9BC1-D54AB817BF80}"/>
    <cellStyle name="40% - Accent1 2 2 4 4" xfId="9600" xr:uid="{9A791D30-C113-417A-9F72-4B7E21DFB947}"/>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6" xr:uid="{51420FF7-3C70-4AB2-866C-831A0B91AAFA}"/>
    <cellStyle name="40% - Accent1 2 2 5 2 3" xfId="12158" xr:uid="{4D7F52BF-7FC2-4401-AF7D-9D588140D6CE}"/>
    <cellStyle name="40% - Accent1 2 2 5 3" xfId="5795" xr:uid="{00000000-0005-0000-0000-0000E3030000}"/>
    <cellStyle name="40% - Accent1 2 2 5 3 2" xfId="14231" xr:uid="{49671DFD-06D0-45CA-B378-AACCE5642DC3}"/>
    <cellStyle name="40% - Accent1 2 2 5 4" xfId="10013" xr:uid="{F9B595E4-3B64-410C-A260-8D672628791D}"/>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89" xr:uid="{CA46FF1C-40E5-45C0-9C7D-914B4719712E}"/>
    <cellStyle name="40% - Accent1 2 2 6 2 3" xfId="12571" xr:uid="{BCDD56D6-5549-4CB5-A31E-B9704859CF0E}"/>
    <cellStyle name="40% - Accent1 2 2 6 3" xfId="6208" xr:uid="{00000000-0005-0000-0000-0000E7030000}"/>
    <cellStyle name="40% - Accent1 2 2 6 3 2" xfId="14644" xr:uid="{3FFDA8DF-2D7F-435C-87A3-EA456D7C0E05}"/>
    <cellStyle name="40% - Accent1 2 2 6 4" xfId="10426" xr:uid="{9A997415-578C-4B9F-B993-2D4BB19917F3}"/>
    <cellStyle name="40% - Accent1 2 2 7" xfId="2314" xr:uid="{00000000-0005-0000-0000-0000E8030000}"/>
    <cellStyle name="40% - Accent1 2 2 7 2" xfId="6621" xr:uid="{00000000-0005-0000-0000-0000E9030000}"/>
    <cellStyle name="40% - Accent1 2 2 7 2 2" xfId="15057" xr:uid="{B79AF378-5AE7-4217-9E9E-EDDAF050A389}"/>
    <cellStyle name="40% - Accent1 2 2 7 3" xfId="10839" xr:uid="{75E5B036-D8E7-431E-8509-EBF45D6E92F8}"/>
    <cellStyle name="40% - Accent1 2 2 8" xfId="4555" xr:uid="{00000000-0005-0000-0000-0000EA030000}"/>
    <cellStyle name="40% - Accent1 2 2 8 2" xfId="12991" xr:uid="{B9693BFD-F808-4D42-83DD-252608606301}"/>
    <cellStyle name="40% - Accent1 2 2 9" xfId="8773" xr:uid="{98CE8814-3B4D-4A36-BF0A-C9E8F6D56289}"/>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2" xr:uid="{CCF84F2B-8876-4A7F-946F-62A2797B9D55}"/>
    <cellStyle name="40% - Accent1 2 3 2 2 3" xfId="11334" xr:uid="{61E721B9-6F69-4109-8D06-CE9CAE85FA3F}"/>
    <cellStyle name="40% - Accent1 2 3 2 3" xfId="4971" xr:uid="{00000000-0005-0000-0000-0000EF030000}"/>
    <cellStyle name="40% - Accent1 2 3 2 3 2" xfId="13407" xr:uid="{C7376E7D-9050-4701-B10E-5DCAA825776B}"/>
    <cellStyle name="40% - Accent1 2 3 2 4" xfId="9189" xr:uid="{C982E476-D543-4EDF-881A-BB6C2AD9F729}"/>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5" xr:uid="{9C0279A1-217F-457A-A547-A7C07C5B9184}"/>
    <cellStyle name="40% - Accent1 2 3 3 2 3" xfId="11747" xr:uid="{1F9467E7-688B-409C-9A4B-B2EB86B21DC1}"/>
    <cellStyle name="40% - Accent1 2 3 3 3" xfId="5384" xr:uid="{00000000-0005-0000-0000-0000F3030000}"/>
    <cellStyle name="40% - Accent1 2 3 3 3 2" xfId="13820" xr:uid="{46A3ABC9-821D-4029-A45C-FE02AB3C524A}"/>
    <cellStyle name="40% - Accent1 2 3 3 4" xfId="9602" xr:uid="{CC304B41-F643-41DD-9FD1-D864921D3332}"/>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78" xr:uid="{0D982D22-D4B8-48CB-92CB-F21A46DB3E35}"/>
    <cellStyle name="40% - Accent1 2 3 4 2 3" xfId="12160" xr:uid="{8A0C4735-3CC6-4096-BA92-3CE31DF04144}"/>
    <cellStyle name="40% - Accent1 2 3 4 3" xfId="5797" xr:uid="{00000000-0005-0000-0000-0000F7030000}"/>
    <cellStyle name="40% - Accent1 2 3 4 3 2" xfId="14233" xr:uid="{4A6ED38D-05AE-45CF-9B65-BBD3DFA4E565}"/>
    <cellStyle name="40% - Accent1 2 3 4 4" xfId="10015" xr:uid="{D2C7DCFE-69A2-47C3-B826-3A1F5731909A}"/>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1" xr:uid="{286525C4-697D-4A99-AA1D-47A6EBD6AC76}"/>
    <cellStyle name="40% - Accent1 2 3 5 2 3" xfId="12573" xr:uid="{5BC5968E-5ED9-4AA3-A6D3-8AE876BD987A}"/>
    <cellStyle name="40% - Accent1 2 3 5 3" xfId="6210" xr:uid="{00000000-0005-0000-0000-0000FB030000}"/>
    <cellStyle name="40% - Accent1 2 3 5 3 2" xfId="14646" xr:uid="{F5CB0ECE-78BC-478F-9290-DBAE454C8578}"/>
    <cellStyle name="40% - Accent1 2 3 5 4" xfId="10428" xr:uid="{CBD94C91-FFF2-433F-883A-615795510456}"/>
    <cellStyle name="40% - Accent1 2 3 6" xfId="2316" xr:uid="{00000000-0005-0000-0000-0000FC030000}"/>
    <cellStyle name="40% - Accent1 2 3 6 2" xfId="6623" xr:uid="{00000000-0005-0000-0000-0000FD030000}"/>
    <cellStyle name="40% - Accent1 2 3 6 2 2" xfId="15059" xr:uid="{9953E6AC-1F37-40F5-9EF5-A013766C4F56}"/>
    <cellStyle name="40% - Accent1 2 3 6 3" xfId="10841" xr:uid="{05B87423-8D5A-41F9-B1D4-613C3E0157F2}"/>
    <cellStyle name="40% - Accent1 2 3 7" xfId="4557" xr:uid="{00000000-0005-0000-0000-0000FE030000}"/>
    <cellStyle name="40% - Accent1 2 3 7 2" xfId="12993" xr:uid="{2AE39F3B-2C61-4272-B148-B73DF443ED4C}"/>
    <cellStyle name="40% - Accent1 2 3 8" xfId="8775" xr:uid="{40233B42-B7E0-46FF-919D-FDAF33FB2B60}"/>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49" xr:uid="{9FFD4538-8EB5-42B1-9559-6E294D7208DC}"/>
    <cellStyle name="40% - Accent1 2 4 2 3" xfId="11331" xr:uid="{0D502158-10E1-468E-8326-5A81576F3C26}"/>
    <cellStyle name="40% - Accent1 2 4 3" xfId="4968" xr:uid="{00000000-0005-0000-0000-000002040000}"/>
    <cellStyle name="40% - Accent1 2 4 3 2" xfId="13404" xr:uid="{F3119D3C-29FF-4A57-ACC6-3F0E0AFDCC84}"/>
    <cellStyle name="40% - Accent1 2 4 4" xfId="9186" xr:uid="{E231CA6B-FE6D-4919-9FB5-1A2E47CF11F4}"/>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2" xr:uid="{D4D9D780-ACB3-467E-9254-8B37C145C643}"/>
    <cellStyle name="40% - Accent1 2 5 2 3" xfId="11744" xr:uid="{34FA6615-B098-4F0B-9C6D-B9AA61BE0EB0}"/>
    <cellStyle name="40% - Accent1 2 5 3" xfId="5381" xr:uid="{00000000-0005-0000-0000-000006040000}"/>
    <cellStyle name="40% - Accent1 2 5 3 2" xfId="13817" xr:uid="{175F33FC-F283-4522-86C4-2FF66B546A9D}"/>
    <cellStyle name="40% - Accent1 2 5 4" xfId="9599" xr:uid="{57A3FF85-837A-444D-B285-20B6B3710E20}"/>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5" xr:uid="{54299F30-C89A-4F75-9751-3C78E7F7B492}"/>
    <cellStyle name="40% - Accent1 2 6 2 3" xfId="12157" xr:uid="{4C3C9378-9E8F-4CC5-8DF4-2F46B5D2137F}"/>
    <cellStyle name="40% - Accent1 2 6 3" xfId="5794" xr:uid="{00000000-0005-0000-0000-00000A040000}"/>
    <cellStyle name="40% - Accent1 2 6 3 2" xfId="14230" xr:uid="{4E2E42CE-62F4-4C8E-B80D-4E1329190A4A}"/>
    <cellStyle name="40% - Accent1 2 6 4" xfId="10012" xr:uid="{A77A306F-6E27-4DD9-9C5D-10B4D0D05F51}"/>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88" xr:uid="{FA3FF5EF-BCE5-4F7F-A422-549F3E941204}"/>
    <cellStyle name="40% - Accent1 2 7 2 3" xfId="12570" xr:uid="{33BD3A1D-0786-4656-B244-06310DAA835E}"/>
    <cellStyle name="40% - Accent1 2 7 3" xfId="6207" xr:uid="{00000000-0005-0000-0000-00000E040000}"/>
    <cellStyle name="40% - Accent1 2 7 3 2" xfId="14643" xr:uid="{9E9AD3A6-1599-4912-AE8E-4FA2412C3EC9}"/>
    <cellStyle name="40% - Accent1 2 7 4" xfId="10425" xr:uid="{0107DF07-8CF0-4A60-8CAF-DF522053C35E}"/>
    <cellStyle name="40% - Accent1 2 8" xfId="2313" xr:uid="{00000000-0005-0000-0000-00000F040000}"/>
    <cellStyle name="40% - Accent1 2 8 2" xfId="6620" xr:uid="{00000000-0005-0000-0000-000010040000}"/>
    <cellStyle name="40% - Accent1 2 8 2 2" xfId="15056" xr:uid="{52CC04A3-39BF-465E-8909-B0E6BBEAEC52}"/>
    <cellStyle name="40% - Accent1 2 8 3" xfId="10838" xr:uid="{0D812A25-223D-403F-9D16-06D26CE2F235}"/>
    <cellStyle name="40% - Accent1 2 9" xfId="4554" xr:uid="{00000000-0005-0000-0000-000011040000}"/>
    <cellStyle name="40% - Accent1 2 9 2" xfId="12990" xr:uid="{16A1FEE0-5540-40E7-8C5C-3456A781AFE2}"/>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4" xr:uid="{12A1050B-7383-46F2-9728-EC0D1A1F6338}"/>
    <cellStyle name="40% - Accent1 3 2 2 2 3" xfId="11336" xr:uid="{35FD6C06-396A-465C-96A9-6EDB184BA2D1}"/>
    <cellStyle name="40% - Accent1 3 2 2 3" xfId="4973" xr:uid="{00000000-0005-0000-0000-000017040000}"/>
    <cellStyle name="40% - Accent1 3 2 2 3 2" xfId="13409" xr:uid="{59E1D224-A847-4058-BACD-76876EE47557}"/>
    <cellStyle name="40% - Accent1 3 2 2 4" xfId="9191" xr:uid="{350FA874-8A80-4A57-83D4-E4F3A3AF01E9}"/>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67" xr:uid="{AC67D83D-7E50-4846-BEEB-D03E46C0AA7F}"/>
    <cellStyle name="40% - Accent1 3 2 3 2 3" xfId="11749" xr:uid="{D5933758-3B16-4A41-8C6A-CF096F589748}"/>
    <cellStyle name="40% - Accent1 3 2 3 3" xfId="5386" xr:uid="{00000000-0005-0000-0000-00001B040000}"/>
    <cellStyle name="40% - Accent1 3 2 3 3 2" xfId="13822" xr:uid="{6B72B36D-BB32-456B-824D-ADF3DDF50BA1}"/>
    <cellStyle name="40% - Accent1 3 2 3 4" xfId="9604" xr:uid="{3AF9D67B-16B8-455B-8207-B000A50B878B}"/>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0" xr:uid="{1389CA5C-53C9-4B6E-B500-DE83CCE449EF}"/>
    <cellStyle name="40% - Accent1 3 2 4 2 3" xfId="12162" xr:uid="{7EB001C1-EDC2-4248-9D54-6E341AD45747}"/>
    <cellStyle name="40% - Accent1 3 2 4 3" xfId="5799" xr:uid="{00000000-0005-0000-0000-00001F040000}"/>
    <cellStyle name="40% - Accent1 3 2 4 3 2" xfId="14235" xr:uid="{99DB91A5-ACF3-491C-BB58-6BF04F4D8DDB}"/>
    <cellStyle name="40% - Accent1 3 2 4 4" xfId="10017" xr:uid="{3846291E-2638-4B75-ABC8-0FDC46B0680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3" xr:uid="{A1ACC29B-9FDD-47E3-8D1C-E6EE1EA7E522}"/>
    <cellStyle name="40% - Accent1 3 2 5 2 3" xfId="12575" xr:uid="{528B1FA2-C1C9-477C-B2F6-A96069DE63A7}"/>
    <cellStyle name="40% - Accent1 3 2 5 3" xfId="6212" xr:uid="{00000000-0005-0000-0000-000023040000}"/>
    <cellStyle name="40% - Accent1 3 2 5 3 2" xfId="14648" xr:uid="{E35A781F-1815-4342-B351-2FC332905091}"/>
    <cellStyle name="40% - Accent1 3 2 5 4" xfId="10430" xr:uid="{7609C939-6EB7-4474-BBE6-BB407BBB075E}"/>
    <cellStyle name="40% - Accent1 3 2 6" xfId="2318" xr:uid="{00000000-0005-0000-0000-000024040000}"/>
    <cellStyle name="40% - Accent1 3 2 6 2" xfId="6625" xr:uid="{00000000-0005-0000-0000-000025040000}"/>
    <cellStyle name="40% - Accent1 3 2 6 2 2" xfId="15061" xr:uid="{6C3B4AEF-5D9E-4872-9419-B36EBCAD1636}"/>
    <cellStyle name="40% - Accent1 3 2 6 3" xfId="10843" xr:uid="{3B9E26D3-85FD-44EE-8A95-FEEF1C110395}"/>
    <cellStyle name="40% - Accent1 3 2 7" xfId="4559" xr:uid="{00000000-0005-0000-0000-000026040000}"/>
    <cellStyle name="40% - Accent1 3 2 7 2" xfId="12995" xr:uid="{BB257521-CF39-40A2-B880-CA435B37C00E}"/>
    <cellStyle name="40% - Accent1 3 2 8" xfId="8777" xr:uid="{592E73BD-6969-4058-82F7-8D1C22F33ACA}"/>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3" xr:uid="{47A4FB69-2F51-478D-8B67-785824802862}"/>
    <cellStyle name="40% - Accent1 3 3 2 3" xfId="11335" xr:uid="{E5FF45D8-BDEC-4841-B354-5E711512378E}"/>
    <cellStyle name="40% - Accent1 3 3 3" xfId="4972" xr:uid="{00000000-0005-0000-0000-00002A040000}"/>
    <cellStyle name="40% - Accent1 3 3 3 2" xfId="13408" xr:uid="{E73BB622-B20A-4A92-B2B8-EC64D2D36DEA}"/>
    <cellStyle name="40% - Accent1 3 3 4" xfId="9190" xr:uid="{6B3C57B8-51BC-4EE3-B5A4-1EE5973D317E}"/>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6" xr:uid="{F3FB1A94-4ABB-4DB8-96D9-AB1D97A6D5A4}"/>
    <cellStyle name="40% - Accent1 3 4 2 3" xfId="11748" xr:uid="{51168E5F-175F-4D64-ABBE-AD57AED60613}"/>
    <cellStyle name="40% - Accent1 3 4 3" xfId="5385" xr:uid="{00000000-0005-0000-0000-00002E040000}"/>
    <cellStyle name="40% - Accent1 3 4 3 2" xfId="13821" xr:uid="{E7B1C029-1E79-4AD7-82F1-0340EC682C4B}"/>
    <cellStyle name="40% - Accent1 3 4 4" xfId="9603" xr:uid="{3AC0FD7B-7E79-45BC-8BC1-7958B74F4060}"/>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79" xr:uid="{C13AB841-AB7C-408A-A486-19143BDAFEB6}"/>
    <cellStyle name="40% - Accent1 3 5 2 3" xfId="12161" xr:uid="{3C680ED0-519C-4A21-B207-52F383F1AE4D}"/>
    <cellStyle name="40% - Accent1 3 5 3" xfId="5798" xr:uid="{00000000-0005-0000-0000-000032040000}"/>
    <cellStyle name="40% - Accent1 3 5 3 2" xfId="14234" xr:uid="{39AB6E97-7067-4817-9D1F-33EB97990FC4}"/>
    <cellStyle name="40% - Accent1 3 5 4" xfId="10016" xr:uid="{DC581C1F-97C8-4BFF-A059-843150E9A3EC}"/>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2" xr:uid="{93AF674A-23D8-4AFA-95B7-466DEADB3CE6}"/>
    <cellStyle name="40% - Accent1 3 6 2 3" xfId="12574" xr:uid="{FA8EA0A6-19D1-45D8-86A9-2342D815C775}"/>
    <cellStyle name="40% - Accent1 3 6 3" xfId="6211" xr:uid="{00000000-0005-0000-0000-000036040000}"/>
    <cellStyle name="40% - Accent1 3 6 3 2" xfId="14647" xr:uid="{06A841BC-1E7C-4C4F-8C28-1255BCA2C18A}"/>
    <cellStyle name="40% - Accent1 3 6 4" xfId="10429" xr:uid="{3E14F442-ACFB-483E-8008-84A421116081}"/>
    <cellStyle name="40% - Accent1 3 7" xfId="2317" xr:uid="{00000000-0005-0000-0000-000037040000}"/>
    <cellStyle name="40% - Accent1 3 7 2" xfId="6624" xr:uid="{00000000-0005-0000-0000-000038040000}"/>
    <cellStyle name="40% - Accent1 3 7 2 2" xfId="15060" xr:uid="{89970D80-8EC3-49F0-BD4B-CBB1D31D848B}"/>
    <cellStyle name="40% - Accent1 3 7 3" xfId="10842" xr:uid="{E5B7AEE7-0B0D-41A9-AAB8-5D24528A72B9}"/>
    <cellStyle name="40% - Accent1 3 8" xfId="4558" xr:uid="{00000000-0005-0000-0000-000039040000}"/>
    <cellStyle name="40% - Accent1 3 8 2" xfId="12994" xr:uid="{5D398C81-821B-4CE9-BCF7-3FC93347EFD3}"/>
    <cellStyle name="40% - Accent1 3 9" xfId="8776" xr:uid="{4B07BEEF-617C-4170-B250-3BB5602A9392}"/>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5" xr:uid="{4EBC4B94-7966-439A-B8FD-40BD910E5B99}"/>
    <cellStyle name="40% - Accent1 4 2 2 3" xfId="11337" xr:uid="{DC6E412B-5DFA-4747-A7AC-86F7C518DCC5}"/>
    <cellStyle name="40% - Accent1 4 2 3" xfId="4974" xr:uid="{00000000-0005-0000-0000-00003E040000}"/>
    <cellStyle name="40% - Accent1 4 2 3 2" xfId="13410" xr:uid="{E529FC87-E7B8-484D-A9FC-208861EC8F27}"/>
    <cellStyle name="40% - Accent1 4 2 4" xfId="9192" xr:uid="{B02E1CFE-A50D-4B97-A5EB-1C9B42F4C4B0}"/>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68" xr:uid="{F67B8DDB-E480-4914-96F0-ED7C510F5454}"/>
    <cellStyle name="40% - Accent1 4 3 2 3" xfId="11750" xr:uid="{0869663A-0903-4928-861A-7F289B0D3716}"/>
    <cellStyle name="40% - Accent1 4 3 3" xfId="5387" xr:uid="{00000000-0005-0000-0000-000042040000}"/>
    <cellStyle name="40% - Accent1 4 3 3 2" xfId="13823" xr:uid="{C13DB90B-DDA8-43C7-8831-E90A820CBA9A}"/>
    <cellStyle name="40% - Accent1 4 3 4" xfId="9605" xr:uid="{45301232-168C-45C2-AA01-40D098D6E56B}"/>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1" xr:uid="{0F2F8BC1-B28E-4B0F-8B81-C5AF8B1B1D57}"/>
    <cellStyle name="40% - Accent1 4 4 2 3" xfId="12163" xr:uid="{95F00FD3-22F6-4FDE-B721-04989F8AA000}"/>
    <cellStyle name="40% - Accent1 4 4 3" xfId="5800" xr:uid="{00000000-0005-0000-0000-000046040000}"/>
    <cellStyle name="40% - Accent1 4 4 3 2" xfId="14236" xr:uid="{AD0F88C2-FFB3-4FAA-9830-2D6460703F5F}"/>
    <cellStyle name="40% - Accent1 4 4 4" xfId="10018" xr:uid="{59BC19B2-F942-43F6-9592-3A25420E1F98}"/>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4" xr:uid="{996E30AB-A583-4E6B-949D-CB926A284DE6}"/>
    <cellStyle name="40% - Accent1 4 5 2 3" xfId="12576" xr:uid="{D5B72166-08D2-46F5-8F08-B39D969824A5}"/>
    <cellStyle name="40% - Accent1 4 5 3" xfId="6213" xr:uid="{00000000-0005-0000-0000-00004A040000}"/>
    <cellStyle name="40% - Accent1 4 5 3 2" xfId="14649" xr:uid="{8BFB39D7-52F6-473F-9797-4FED6521B92D}"/>
    <cellStyle name="40% - Accent1 4 5 4" xfId="10431" xr:uid="{E7896C30-2874-42CB-B9D7-1D0E35E925D8}"/>
    <cellStyle name="40% - Accent1 4 6" xfId="2319" xr:uid="{00000000-0005-0000-0000-00004B040000}"/>
    <cellStyle name="40% - Accent1 4 6 2" xfId="6626" xr:uid="{00000000-0005-0000-0000-00004C040000}"/>
    <cellStyle name="40% - Accent1 4 6 2 2" xfId="15062" xr:uid="{96ECF73E-CFEC-455B-8B4D-9B6C5F794C9B}"/>
    <cellStyle name="40% - Accent1 4 6 3" xfId="10844" xr:uid="{85F5CD8D-4B0B-494B-A92F-12C708C8E70C}"/>
    <cellStyle name="40% - Accent1 4 7" xfId="4560" xr:uid="{00000000-0005-0000-0000-00004D040000}"/>
    <cellStyle name="40% - Accent1 4 7 2" xfId="12996" xr:uid="{94F26C9F-6A9F-42BB-9042-6D5CCF6C00AF}"/>
    <cellStyle name="40% - Accent1 4 8" xfId="8778" xr:uid="{2C29D5A3-5C62-4FFB-867A-B0A52AE2EDD9}"/>
    <cellStyle name="40% - Accent1 5" xfId="618" xr:uid="{00000000-0005-0000-0000-00004E040000}"/>
    <cellStyle name="40% - Accent1 5 2" xfId="2889" xr:uid="{00000000-0005-0000-0000-00004F040000}"/>
    <cellStyle name="40% - Accent1 5 2 2" xfId="7112" xr:uid="{00000000-0005-0000-0000-000050040000}"/>
    <cellStyle name="40% - Accent1 5 2 2 2" xfId="15548" xr:uid="{5D312876-196D-40BE-B06B-D13F547723E2}"/>
    <cellStyle name="40% - Accent1 5 2 3" xfId="11330" xr:uid="{9F5BA91D-0041-4D92-B08D-B7CD79E9C73D}"/>
    <cellStyle name="40% - Accent1 5 3" xfId="4967" xr:uid="{00000000-0005-0000-0000-000051040000}"/>
    <cellStyle name="40% - Accent1 5 3 2" xfId="13403" xr:uid="{6B8E4C4C-8DCF-4887-807D-A716F96A4E2D}"/>
    <cellStyle name="40% - Accent1 5 4" xfId="9185" xr:uid="{319E0A72-8316-4806-A53F-33449CEB03FF}"/>
    <cellStyle name="40% - Accent1 6" xfId="1071" xr:uid="{00000000-0005-0000-0000-000052040000}"/>
    <cellStyle name="40% - Accent1 6 2" xfId="3302" xr:uid="{00000000-0005-0000-0000-000053040000}"/>
    <cellStyle name="40% - Accent1 6 2 2" xfId="7525" xr:uid="{00000000-0005-0000-0000-000054040000}"/>
    <cellStyle name="40% - Accent1 6 2 2 2" xfId="15961" xr:uid="{0D1E6F86-EC90-4196-A748-76EB94BB5C16}"/>
    <cellStyle name="40% - Accent1 6 2 3" xfId="11743" xr:uid="{BD69B26C-46FF-48CE-8139-22758F981877}"/>
    <cellStyle name="40% - Accent1 6 3" xfId="5380" xr:uid="{00000000-0005-0000-0000-000055040000}"/>
    <cellStyle name="40% - Accent1 6 3 2" xfId="13816" xr:uid="{42A9B6BD-0E2B-47DE-A66F-CC694CD68A38}"/>
    <cellStyle name="40% - Accent1 6 4" xfId="9598" xr:uid="{7E5311B9-5759-45EC-AC3B-21CFC060A701}"/>
    <cellStyle name="40% - Accent1 7" xfId="1485" xr:uid="{00000000-0005-0000-0000-000056040000}"/>
    <cellStyle name="40% - Accent1 7 2" xfId="3715" xr:uid="{00000000-0005-0000-0000-000057040000}"/>
    <cellStyle name="40% - Accent1 7 2 2" xfId="7938" xr:uid="{00000000-0005-0000-0000-000058040000}"/>
    <cellStyle name="40% - Accent1 7 2 2 2" xfId="16374" xr:uid="{B099CDF5-A45F-4ACA-B7CB-E53E127DFD4C}"/>
    <cellStyle name="40% - Accent1 7 2 3" xfId="12156" xr:uid="{D01EC1D4-35E1-44DE-AC86-8E14E704B20D}"/>
    <cellStyle name="40% - Accent1 7 3" xfId="5793" xr:uid="{00000000-0005-0000-0000-000059040000}"/>
    <cellStyle name="40% - Accent1 7 3 2" xfId="14229" xr:uid="{69900D50-090B-4406-8F7D-6387CEE30071}"/>
    <cellStyle name="40% - Accent1 7 4" xfId="10011" xr:uid="{B375DA75-ECE6-4515-9E99-1EAA0417615B}"/>
    <cellStyle name="40% - Accent1 8" xfId="1899" xr:uid="{00000000-0005-0000-0000-00005A040000}"/>
    <cellStyle name="40% - Accent1 8 2" xfId="4128" xr:uid="{00000000-0005-0000-0000-00005B040000}"/>
    <cellStyle name="40% - Accent1 8 2 2" xfId="8351" xr:uid="{00000000-0005-0000-0000-00005C040000}"/>
    <cellStyle name="40% - Accent1 8 2 2 2" xfId="16787" xr:uid="{FF0AAB35-B663-43B7-BFA4-B12E5131A28A}"/>
    <cellStyle name="40% - Accent1 8 2 3" xfId="12569" xr:uid="{3BAEB2CD-889E-458B-8029-C9001FD8BBF9}"/>
    <cellStyle name="40% - Accent1 8 3" xfId="6206" xr:uid="{00000000-0005-0000-0000-00005D040000}"/>
    <cellStyle name="40% - Accent1 8 3 2" xfId="14642" xr:uid="{696A291B-423D-46D2-A7C5-6FA21F0015A0}"/>
    <cellStyle name="40% - Accent1 8 4" xfId="10424" xr:uid="{C63EB590-1CD9-4EB0-A235-1268721A9DCC}"/>
    <cellStyle name="40% - Accent1 9" xfId="2312" xr:uid="{00000000-0005-0000-0000-00005E040000}"/>
    <cellStyle name="40% - Accent1 9 2" xfId="6619" xr:uid="{00000000-0005-0000-0000-00005F040000}"/>
    <cellStyle name="40% - Accent1 9 2 2" xfId="15055" xr:uid="{9D92D35F-9D6F-4FA6-872D-488D74B7F993}"/>
    <cellStyle name="40% - Accent1 9 3" xfId="10837" xr:uid="{3E62D6EA-430A-40C6-90D3-6BDCC25A6D88}"/>
    <cellStyle name="40% - Accent2" xfId="57" builtinId="35" customBuiltin="1"/>
    <cellStyle name="40% - Accent2 10" xfId="4561" xr:uid="{00000000-0005-0000-0000-000061040000}"/>
    <cellStyle name="40% - Accent2 10 2" xfId="12997" xr:uid="{9B0C0485-24F5-4507-9353-873C734FB26D}"/>
    <cellStyle name="40% - Accent2 11" xfId="8779" xr:uid="{298EDBD7-8217-401A-85B7-EB50F90DB950}"/>
    <cellStyle name="40% - Accent2 2" xfId="58" xr:uid="{00000000-0005-0000-0000-000062040000}"/>
    <cellStyle name="40% - Accent2 2 10" xfId="8780" xr:uid="{2C4E0247-0FB6-4E5B-8FC8-D6716438F356}"/>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59" xr:uid="{6F60993F-6C46-4CE3-994E-DA0BB8C64523}"/>
    <cellStyle name="40% - Accent2 2 2 2 2 2 3" xfId="11341" xr:uid="{24F48A12-8EB4-40AD-B2F1-D8B310A29DB1}"/>
    <cellStyle name="40% - Accent2 2 2 2 2 3" xfId="4978" xr:uid="{00000000-0005-0000-0000-000068040000}"/>
    <cellStyle name="40% - Accent2 2 2 2 2 3 2" xfId="13414" xr:uid="{0AADCAFA-1DB0-46CE-BA1D-19E14DDF605E}"/>
    <cellStyle name="40% - Accent2 2 2 2 2 4" xfId="9196" xr:uid="{9670BF89-24EB-46C9-A774-9B056B3C66BD}"/>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2" xr:uid="{4B1FF203-C3AB-41B1-B4E4-79E0BC8068F6}"/>
    <cellStyle name="40% - Accent2 2 2 2 3 2 3" xfId="11754" xr:uid="{174D96A0-92C8-44AC-A8AD-BBE80B555B13}"/>
    <cellStyle name="40% - Accent2 2 2 2 3 3" xfId="5391" xr:uid="{00000000-0005-0000-0000-00006C040000}"/>
    <cellStyle name="40% - Accent2 2 2 2 3 3 2" xfId="13827" xr:uid="{70799EC3-1970-4FEF-A416-0ACDD83EDE89}"/>
    <cellStyle name="40% - Accent2 2 2 2 3 4" xfId="9609" xr:uid="{01909044-1604-4B6C-8C6E-D65087CBBE47}"/>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5" xr:uid="{8BC7BAE1-433C-4EDB-8A3E-1EA78F88552C}"/>
    <cellStyle name="40% - Accent2 2 2 2 4 2 3" xfId="12167" xr:uid="{A9E4DA8F-8B90-4006-AE06-546F8792F719}"/>
    <cellStyle name="40% - Accent2 2 2 2 4 3" xfId="5804" xr:uid="{00000000-0005-0000-0000-000070040000}"/>
    <cellStyle name="40% - Accent2 2 2 2 4 3 2" xfId="14240" xr:uid="{5F3A68A8-6412-4BF7-B52E-EA832AF48499}"/>
    <cellStyle name="40% - Accent2 2 2 2 4 4" xfId="10022" xr:uid="{3AD1AAD1-E9CD-4E51-BC44-D3DC91D69B71}"/>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798" xr:uid="{3B867B52-9338-4194-9920-9842DB9AD1E8}"/>
    <cellStyle name="40% - Accent2 2 2 2 5 2 3" xfId="12580" xr:uid="{F0B88672-7953-4CFB-B69F-10409538B77B}"/>
    <cellStyle name="40% - Accent2 2 2 2 5 3" xfId="6217" xr:uid="{00000000-0005-0000-0000-000074040000}"/>
    <cellStyle name="40% - Accent2 2 2 2 5 3 2" xfId="14653" xr:uid="{69CE50F0-14C7-45A0-BE39-BF33DACE1FDB}"/>
    <cellStyle name="40% - Accent2 2 2 2 5 4" xfId="10435" xr:uid="{9FA10B22-AA5B-446F-B30A-686D41B3E9D8}"/>
    <cellStyle name="40% - Accent2 2 2 2 6" xfId="2323" xr:uid="{00000000-0005-0000-0000-000075040000}"/>
    <cellStyle name="40% - Accent2 2 2 2 6 2" xfId="6630" xr:uid="{00000000-0005-0000-0000-000076040000}"/>
    <cellStyle name="40% - Accent2 2 2 2 6 2 2" xfId="15066" xr:uid="{F6872179-FA9F-43C6-9AA8-951F3F9F8D67}"/>
    <cellStyle name="40% - Accent2 2 2 2 6 3" xfId="10848" xr:uid="{E6219B7E-B7D4-4818-963D-7188A3F98467}"/>
    <cellStyle name="40% - Accent2 2 2 2 7" xfId="4564" xr:uid="{00000000-0005-0000-0000-000077040000}"/>
    <cellStyle name="40% - Accent2 2 2 2 7 2" xfId="13000" xr:uid="{21F076CF-019A-42D6-B431-4200B2743B87}"/>
    <cellStyle name="40% - Accent2 2 2 2 8" xfId="8782" xr:uid="{57EBCD85-A4B6-4DB5-AB86-0D1F1A6668C0}"/>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58" xr:uid="{3F8ACB9E-CC32-4FE2-AF0E-3CA98D56909A}"/>
    <cellStyle name="40% - Accent2 2 2 3 2 3" xfId="11340" xr:uid="{9069803E-4FE1-4123-B4B0-4F8C70BB8218}"/>
    <cellStyle name="40% - Accent2 2 2 3 3" xfId="4977" xr:uid="{00000000-0005-0000-0000-00007B040000}"/>
    <cellStyle name="40% - Accent2 2 2 3 3 2" xfId="13413" xr:uid="{5FC53B01-14C6-4869-8686-11DC36A8FAA8}"/>
    <cellStyle name="40% - Accent2 2 2 3 4" xfId="9195" xr:uid="{AACA0486-D430-4705-9F4E-4CEA87E79DBF}"/>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1" xr:uid="{173561FB-D387-4C4A-A5B7-330C154234DE}"/>
    <cellStyle name="40% - Accent2 2 2 4 2 3" xfId="11753" xr:uid="{6E59351C-0FD0-4F6E-B583-9FF58EC9D285}"/>
    <cellStyle name="40% - Accent2 2 2 4 3" xfId="5390" xr:uid="{00000000-0005-0000-0000-00007F040000}"/>
    <cellStyle name="40% - Accent2 2 2 4 3 2" xfId="13826" xr:uid="{29A6EADA-E02B-4075-9616-BF0835EE4AB8}"/>
    <cellStyle name="40% - Accent2 2 2 4 4" xfId="9608" xr:uid="{F0C7704F-16BD-4B97-B463-8466511D8DF6}"/>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4" xr:uid="{14845003-5835-4C81-8703-067850F2EC09}"/>
    <cellStyle name="40% - Accent2 2 2 5 2 3" xfId="12166" xr:uid="{53FA16D4-7205-4EB1-83A4-AD5ED9D5B20D}"/>
    <cellStyle name="40% - Accent2 2 2 5 3" xfId="5803" xr:uid="{00000000-0005-0000-0000-000083040000}"/>
    <cellStyle name="40% - Accent2 2 2 5 3 2" xfId="14239" xr:uid="{A9CB7680-04AB-46C8-A334-D4B2483648E3}"/>
    <cellStyle name="40% - Accent2 2 2 5 4" xfId="10021" xr:uid="{D1DB6BE3-4520-4331-99DD-E34012C7F610}"/>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797" xr:uid="{BAB1F346-C9E3-4B40-9344-1E1F4FF9FF16}"/>
    <cellStyle name="40% - Accent2 2 2 6 2 3" xfId="12579" xr:uid="{ECDDAB1F-48E0-4A1B-A052-B528983B062B}"/>
    <cellStyle name="40% - Accent2 2 2 6 3" xfId="6216" xr:uid="{00000000-0005-0000-0000-000087040000}"/>
    <cellStyle name="40% - Accent2 2 2 6 3 2" xfId="14652" xr:uid="{86BB6727-A28C-4849-A3A9-B5596A3744EE}"/>
    <cellStyle name="40% - Accent2 2 2 6 4" xfId="10434" xr:uid="{2FF8721D-5B59-42FE-B629-08426A11AA1C}"/>
    <cellStyle name="40% - Accent2 2 2 7" xfId="2322" xr:uid="{00000000-0005-0000-0000-000088040000}"/>
    <cellStyle name="40% - Accent2 2 2 7 2" xfId="6629" xr:uid="{00000000-0005-0000-0000-000089040000}"/>
    <cellStyle name="40% - Accent2 2 2 7 2 2" xfId="15065" xr:uid="{1B396882-8003-4911-980B-AE56D81705C5}"/>
    <cellStyle name="40% - Accent2 2 2 7 3" xfId="10847" xr:uid="{A4756C62-FECE-4639-BBAF-EE6B6AA5DE3F}"/>
    <cellStyle name="40% - Accent2 2 2 8" xfId="4563" xr:uid="{00000000-0005-0000-0000-00008A040000}"/>
    <cellStyle name="40% - Accent2 2 2 8 2" xfId="12999" xr:uid="{0FC68064-513D-4B50-BF3D-487D1780C2ED}"/>
    <cellStyle name="40% - Accent2 2 2 9" xfId="8781" xr:uid="{50461D1E-C52C-4C80-8BA7-3D181E682E68}"/>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0" xr:uid="{46354500-3CCE-4CD4-AD10-E53A1154C48C}"/>
    <cellStyle name="40% - Accent2 2 3 2 2 3" xfId="11342" xr:uid="{F7534D64-4119-4B0B-A627-792289931D7C}"/>
    <cellStyle name="40% - Accent2 2 3 2 3" xfId="4979" xr:uid="{00000000-0005-0000-0000-00008F040000}"/>
    <cellStyle name="40% - Accent2 2 3 2 3 2" xfId="13415" xr:uid="{4598C688-22C5-44C0-91F2-3B4F45376E4E}"/>
    <cellStyle name="40% - Accent2 2 3 2 4" xfId="9197" xr:uid="{BCE6CA85-25D4-47F2-8A4F-E803C295D6C3}"/>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3" xr:uid="{81267EEF-2DED-4AF4-9C0D-1233D94B6E3C}"/>
    <cellStyle name="40% - Accent2 2 3 3 2 3" xfId="11755" xr:uid="{CDEB2548-5D3C-4B03-BE4A-05C40FD87967}"/>
    <cellStyle name="40% - Accent2 2 3 3 3" xfId="5392" xr:uid="{00000000-0005-0000-0000-000093040000}"/>
    <cellStyle name="40% - Accent2 2 3 3 3 2" xfId="13828" xr:uid="{15B35235-2E61-4E8B-9A8B-FB0BF606BFD8}"/>
    <cellStyle name="40% - Accent2 2 3 3 4" xfId="9610" xr:uid="{499558B7-AFD2-4295-8C27-CA2E449A4DC7}"/>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6" xr:uid="{70DF9A30-FB21-4719-B800-D6394794AE99}"/>
    <cellStyle name="40% - Accent2 2 3 4 2 3" xfId="12168" xr:uid="{8EFAA348-9893-4032-A6ED-B9B40FAA6C84}"/>
    <cellStyle name="40% - Accent2 2 3 4 3" xfId="5805" xr:uid="{00000000-0005-0000-0000-000097040000}"/>
    <cellStyle name="40% - Accent2 2 3 4 3 2" xfId="14241" xr:uid="{A8B2FFA2-22FD-4BDB-B75C-098CAA39CF91}"/>
    <cellStyle name="40% - Accent2 2 3 4 4" xfId="10023" xr:uid="{693249A6-6D4D-4B07-B877-7BC23FBBAFFD}"/>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799" xr:uid="{9A501276-E3AF-4195-BAE5-C34613518E99}"/>
    <cellStyle name="40% - Accent2 2 3 5 2 3" xfId="12581" xr:uid="{93BC2BB4-F1E3-470F-A074-951B3FD809F6}"/>
    <cellStyle name="40% - Accent2 2 3 5 3" xfId="6218" xr:uid="{00000000-0005-0000-0000-00009B040000}"/>
    <cellStyle name="40% - Accent2 2 3 5 3 2" xfId="14654" xr:uid="{E285CA0B-81FE-4760-A658-B486CE1F56E7}"/>
    <cellStyle name="40% - Accent2 2 3 5 4" xfId="10436" xr:uid="{6C4BC490-2E23-4B45-8D3E-E371974180E0}"/>
    <cellStyle name="40% - Accent2 2 3 6" xfId="2324" xr:uid="{00000000-0005-0000-0000-00009C040000}"/>
    <cellStyle name="40% - Accent2 2 3 6 2" xfId="6631" xr:uid="{00000000-0005-0000-0000-00009D040000}"/>
    <cellStyle name="40% - Accent2 2 3 6 2 2" xfId="15067" xr:uid="{65C26177-A178-418C-AF84-4779D7FC0D33}"/>
    <cellStyle name="40% - Accent2 2 3 6 3" xfId="10849" xr:uid="{1DF1BEAB-61CE-45BA-AEEB-EE16237D91D7}"/>
    <cellStyle name="40% - Accent2 2 3 7" xfId="4565" xr:uid="{00000000-0005-0000-0000-00009E040000}"/>
    <cellStyle name="40% - Accent2 2 3 7 2" xfId="13001" xr:uid="{27BC1079-3FFD-45C9-94D3-BDD4E4818A1F}"/>
    <cellStyle name="40% - Accent2 2 3 8" xfId="8783" xr:uid="{9FB702A3-BF07-4C0B-B469-670E11A8AF40}"/>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57" xr:uid="{263DDDB3-D29C-499D-BA82-F4C532E39EFA}"/>
    <cellStyle name="40% - Accent2 2 4 2 3" xfId="11339" xr:uid="{E13C4367-271F-4330-B9DB-5B6D88DB423A}"/>
    <cellStyle name="40% - Accent2 2 4 3" xfId="4976" xr:uid="{00000000-0005-0000-0000-0000A2040000}"/>
    <cellStyle name="40% - Accent2 2 4 3 2" xfId="13412" xr:uid="{A4C013E3-07EC-4F6F-B7FA-8238767E9D90}"/>
    <cellStyle name="40% - Accent2 2 4 4" xfId="9194" xr:uid="{E8431475-BEB0-4542-A411-2B8D3204EB21}"/>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0" xr:uid="{1FE330C9-B6CA-4FD4-8AD4-A193D28CACAF}"/>
    <cellStyle name="40% - Accent2 2 5 2 3" xfId="11752" xr:uid="{07682432-0FBD-444F-B9F4-15253D177EC2}"/>
    <cellStyle name="40% - Accent2 2 5 3" xfId="5389" xr:uid="{00000000-0005-0000-0000-0000A6040000}"/>
    <cellStyle name="40% - Accent2 2 5 3 2" xfId="13825" xr:uid="{B332C41A-4696-4C2B-B16F-56997D73754D}"/>
    <cellStyle name="40% - Accent2 2 5 4" xfId="9607" xr:uid="{5C6751A5-4029-4525-9B1C-E3F1D66345BF}"/>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3" xr:uid="{E7D10537-AB1D-45E6-B2B8-BA1B6FA99E9A}"/>
    <cellStyle name="40% - Accent2 2 6 2 3" xfId="12165" xr:uid="{56713295-57D9-4687-868C-218B0F933127}"/>
    <cellStyle name="40% - Accent2 2 6 3" xfId="5802" xr:uid="{00000000-0005-0000-0000-0000AA040000}"/>
    <cellStyle name="40% - Accent2 2 6 3 2" xfId="14238" xr:uid="{00323F3B-3452-4D51-9B7F-F58F38531C3E}"/>
    <cellStyle name="40% - Accent2 2 6 4" xfId="10020" xr:uid="{1E668258-852B-4DD3-AD66-3CB996B79DBE}"/>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6" xr:uid="{6A0B60FF-3946-4DD9-B7DA-D85349151863}"/>
    <cellStyle name="40% - Accent2 2 7 2 3" xfId="12578" xr:uid="{04979DCE-0982-4625-B8F4-09956B3178B3}"/>
    <cellStyle name="40% - Accent2 2 7 3" xfId="6215" xr:uid="{00000000-0005-0000-0000-0000AE040000}"/>
    <cellStyle name="40% - Accent2 2 7 3 2" xfId="14651" xr:uid="{E40D3465-5500-46EF-BD20-46F64C70117B}"/>
    <cellStyle name="40% - Accent2 2 7 4" xfId="10433" xr:uid="{08CFC82F-F270-4231-9306-B304F315714B}"/>
    <cellStyle name="40% - Accent2 2 8" xfId="2321" xr:uid="{00000000-0005-0000-0000-0000AF040000}"/>
    <cellStyle name="40% - Accent2 2 8 2" xfId="6628" xr:uid="{00000000-0005-0000-0000-0000B0040000}"/>
    <cellStyle name="40% - Accent2 2 8 2 2" xfId="15064" xr:uid="{5D3664BA-0FAB-4C64-89B1-3DEA0EA78D8F}"/>
    <cellStyle name="40% - Accent2 2 8 3" xfId="10846" xr:uid="{64B94D07-B3F1-43BB-A0A4-E7D116236FB2}"/>
    <cellStyle name="40% - Accent2 2 9" xfId="4562" xr:uid="{00000000-0005-0000-0000-0000B1040000}"/>
    <cellStyle name="40% - Accent2 2 9 2" xfId="12998" xr:uid="{0EAC6963-5C0A-4B29-9B51-29ECD3018C5E}"/>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2" xr:uid="{4AEDA426-429C-497B-9026-9A35A46D62F0}"/>
    <cellStyle name="40% - Accent2 3 2 2 2 3" xfId="11344" xr:uid="{FB6B0640-D257-4D50-A615-E624A7985069}"/>
    <cellStyle name="40% - Accent2 3 2 2 3" xfId="4981" xr:uid="{00000000-0005-0000-0000-0000B7040000}"/>
    <cellStyle name="40% - Accent2 3 2 2 3 2" xfId="13417" xr:uid="{6653D064-329B-4A87-A740-261C21901F35}"/>
    <cellStyle name="40% - Accent2 3 2 2 4" xfId="9199" xr:uid="{EFEEC7FC-8216-4423-B249-EAF3C5A52F75}"/>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5" xr:uid="{EFB6E6A2-688E-46E4-8E1A-788C70C18F59}"/>
    <cellStyle name="40% - Accent2 3 2 3 2 3" xfId="11757" xr:uid="{2BACA689-B807-465C-AA31-C807BFCFD36A}"/>
    <cellStyle name="40% - Accent2 3 2 3 3" xfId="5394" xr:uid="{00000000-0005-0000-0000-0000BB040000}"/>
    <cellStyle name="40% - Accent2 3 2 3 3 2" xfId="13830" xr:uid="{FA9BCD30-4B49-4D27-8B2B-6B789DA8806B}"/>
    <cellStyle name="40% - Accent2 3 2 3 4" xfId="9612" xr:uid="{47A9D35E-A349-49F7-833A-FBCE54C28349}"/>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88" xr:uid="{55B045DE-0F3B-40B7-98FD-AC11A6A61775}"/>
    <cellStyle name="40% - Accent2 3 2 4 2 3" xfId="12170" xr:uid="{7AA6D933-1D70-4EF5-BFA6-33172CEE8A25}"/>
    <cellStyle name="40% - Accent2 3 2 4 3" xfId="5807" xr:uid="{00000000-0005-0000-0000-0000BF040000}"/>
    <cellStyle name="40% - Accent2 3 2 4 3 2" xfId="14243" xr:uid="{4008157B-E83C-45FB-90E3-DB172F09588C}"/>
    <cellStyle name="40% - Accent2 3 2 4 4" xfId="10025" xr:uid="{5BCE5CF2-93E2-4F26-83E2-C10434A6FEFD}"/>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1" xr:uid="{58935ECD-D4E5-452E-A41F-2F1DC705FEED}"/>
    <cellStyle name="40% - Accent2 3 2 5 2 3" xfId="12583" xr:uid="{05581715-0357-4D03-A1EC-D898094C81CB}"/>
    <cellStyle name="40% - Accent2 3 2 5 3" xfId="6220" xr:uid="{00000000-0005-0000-0000-0000C3040000}"/>
    <cellStyle name="40% - Accent2 3 2 5 3 2" xfId="14656" xr:uid="{B759AA2A-8E54-4D06-92A4-7EA5A1EA9061}"/>
    <cellStyle name="40% - Accent2 3 2 5 4" xfId="10438" xr:uid="{E63BF750-4B77-447A-8023-614064CA1449}"/>
    <cellStyle name="40% - Accent2 3 2 6" xfId="2326" xr:uid="{00000000-0005-0000-0000-0000C4040000}"/>
    <cellStyle name="40% - Accent2 3 2 6 2" xfId="6633" xr:uid="{00000000-0005-0000-0000-0000C5040000}"/>
    <cellStyle name="40% - Accent2 3 2 6 2 2" xfId="15069" xr:uid="{65D301D4-AFE9-4E82-A8E1-25CAF4DE4215}"/>
    <cellStyle name="40% - Accent2 3 2 6 3" xfId="10851" xr:uid="{A6C9C318-1C9E-4692-A965-17FEE51B7AE8}"/>
    <cellStyle name="40% - Accent2 3 2 7" xfId="4567" xr:uid="{00000000-0005-0000-0000-0000C6040000}"/>
    <cellStyle name="40% - Accent2 3 2 7 2" xfId="13003" xr:uid="{1A6303B0-D048-4DA0-BD2F-780F963A4470}"/>
    <cellStyle name="40% - Accent2 3 2 8" xfId="8785" xr:uid="{8E2E5953-96AD-462D-B6A5-705F6B07DA57}"/>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1" xr:uid="{654EC1EC-E67A-43B1-B9C7-55C8B5564E2F}"/>
    <cellStyle name="40% - Accent2 3 3 2 3" xfId="11343" xr:uid="{D1686EC6-68F6-4823-85BE-AEF80AA07636}"/>
    <cellStyle name="40% - Accent2 3 3 3" xfId="4980" xr:uid="{00000000-0005-0000-0000-0000CA040000}"/>
    <cellStyle name="40% - Accent2 3 3 3 2" xfId="13416" xr:uid="{468F3A08-0AFA-4A31-B6B8-2F61E685D96F}"/>
    <cellStyle name="40% - Accent2 3 3 4" xfId="9198" xr:uid="{5F17FC19-6137-472E-939B-BF1687024C59}"/>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4" xr:uid="{9E3D228B-AE0E-42BD-9A28-72BE4DB42042}"/>
    <cellStyle name="40% - Accent2 3 4 2 3" xfId="11756" xr:uid="{42B6BC78-69C9-4B01-8B30-1C5A99A790D6}"/>
    <cellStyle name="40% - Accent2 3 4 3" xfId="5393" xr:uid="{00000000-0005-0000-0000-0000CE040000}"/>
    <cellStyle name="40% - Accent2 3 4 3 2" xfId="13829" xr:uid="{BDA2A387-3D9F-4872-B180-BA3A8B553B80}"/>
    <cellStyle name="40% - Accent2 3 4 4" xfId="9611" xr:uid="{279A7146-C354-430A-83BE-5113EAD911A1}"/>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87" xr:uid="{FE97276B-872E-4E3D-BE68-F9953ECF0209}"/>
    <cellStyle name="40% - Accent2 3 5 2 3" xfId="12169" xr:uid="{94371B9A-0BA6-4996-ABFF-8F6F31736AF1}"/>
    <cellStyle name="40% - Accent2 3 5 3" xfId="5806" xr:uid="{00000000-0005-0000-0000-0000D2040000}"/>
    <cellStyle name="40% - Accent2 3 5 3 2" xfId="14242" xr:uid="{0265A07E-56A5-4881-9A35-E9104B1875B3}"/>
    <cellStyle name="40% - Accent2 3 5 4" xfId="10024" xr:uid="{929A022B-98BA-463E-A74C-698BF5561B51}"/>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0" xr:uid="{6326516B-FD70-4379-8095-3212E16061FE}"/>
    <cellStyle name="40% - Accent2 3 6 2 3" xfId="12582" xr:uid="{30FBF03B-51E3-4FE8-B941-D0309E4F84D1}"/>
    <cellStyle name="40% - Accent2 3 6 3" xfId="6219" xr:uid="{00000000-0005-0000-0000-0000D6040000}"/>
    <cellStyle name="40% - Accent2 3 6 3 2" xfId="14655" xr:uid="{A0C9C300-E92F-4808-929C-FF07B421A193}"/>
    <cellStyle name="40% - Accent2 3 6 4" xfId="10437" xr:uid="{17D167E9-B7E2-40FD-8E4D-1351D38B1E3B}"/>
    <cellStyle name="40% - Accent2 3 7" xfId="2325" xr:uid="{00000000-0005-0000-0000-0000D7040000}"/>
    <cellStyle name="40% - Accent2 3 7 2" xfId="6632" xr:uid="{00000000-0005-0000-0000-0000D8040000}"/>
    <cellStyle name="40% - Accent2 3 7 2 2" xfId="15068" xr:uid="{75BC36EB-21B4-4824-9E42-6C2B2C8DF2D9}"/>
    <cellStyle name="40% - Accent2 3 7 3" xfId="10850" xr:uid="{026D634F-1CBD-4E48-AEF4-68B2B416B6AC}"/>
    <cellStyle name="40% - Accent2 3 8" xfId="4566" xr:uid="{00000000-0005-0000-0000-0000D9040000}"/>
    <cellStyle name="40% - Accent2 3 8 2" xfId="13002" xr:uid="{294ADB38-6020-4FB0-945F-F3641EF5FAC8}"/>
    <cellStyle name="40% - Accent2 3 9" xfId="8784" xr:uid="{526289E1-5F26-4923-8674-9A9132B454EE}"/>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3" xr:uid="{EE352A73-7F79-4FDF-80FA-E475F0A0B354}"/>
    <cellStyle name="40% - Accent2 4 2 2 3" xfId="11345" xr:uid="{CE8FEED7-B3F1-4C31-A968-325F54B8FD1D}"/>
    <cellStyle name="40% - Accent2 4 2 3" xfId="4982" xr:uid="{00000000-0005-0000-0000-0000DE040000}"/>
    <cellStyle name="40% - Accent2 4 2 3 2" xfId="13418" xr:uid="{C4AFAA17-54B1-48A0-89B0-398988EC330B}"/>
    <cellStyle name="40% - Accent2 4 2 4" xfId="9200" xr:uid="{08519E2F-CC82-4DF1-920E-31C709B89EF3}"/>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6" xr:uid="{325359D7-A880-4879-8914-18C6587A17B3}"/>
    <cellStyle name="40% - Accent2 4 3 2 3" xfId="11758" xr:uid="{54B67D7C-10B9-418A-B889-2711FA49AF5E}"/>
    <cellStyle name="40% - Accent2 4 3 3" xfId="5395" xr:uid="{00000000-0005-0000-0000-0000E2040000}"/>
    <cellStyle name="40% - Accent2 4 3 3 2" xfId="13831" xr:uid="{9AEB5846-DA83-498B-9671-FB1662D3AE53}"/>
    <cellStyle name="40% - Accent2 4 3 4" xfId="9613" xr:uid="{3100D319-182B-417B-8D23-FF9C797C358B}"/>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89" xr:uid="{E0DD1402-8E21-4452-82A6-6797440D40F3}"/>
    <cellStyle name="40% - Accent2 4 4 2 3" xfId="12171" xr:uid="{7575859F-36D9-4BE5-AC25-9A16A7F4DDB7}"/>
    <cellStyle name="40% - Accent2 4 4 3" xfId="5808" xr:uid="{00000000-0005-0000-0000-0000E6040000}"/>
    <cellStyle name="40% - Accent2 4 4 3 2" xfId="14244" xr:uid="{04DB50A2-72C5-45F6-8C07-742DC2296AAF}"/>
    <cellStyle name="40% - Accent2 4 4 4" xfId="10026" xr:uid="{126AD324-73BA-4D1F-B5FE-7049EE580495}"/>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2" xr:uid="{3927C095-7865-41C2-ABF2-A861D10DDBDA}"/>
    <cellStyle name="40% - Accent2 4 5 2 3" xfId="12584" xr:uid="{A472B551-8414-472C-84EF-7139671E5924}"/>
    <cellStyle name="40% - Accent2 4 5 3" xfId="6221" xr:uid="{00000000-0005-0000-0000-0000EA040000}"/>
    <cellStyle name="40% - Accent2 4 5 3 2" xfId="14657" xr:uid="{B2694F75-95B3-426A-8B79-FCE6B8034DCB}"/>
    <cellStyle name="40% - Accent2 4 5 4" xfId="10439" xr:uid="{4269CF8D-7DCA-4D85-88A5-60C4FBAC2B3E}"/>
    <cellStyle name="40% - Accent2 4 6" xfId="2327" xr:uid="{00000000-0005-0000-0000-0000EB040000}"/>
    <cellStyle name="40% - Accent2 4 6 2" xfId="6634" xr:uid="{00000000-0005-0000-0000-0000EC040000}"/>
    <cellStyle name="40% - Accent2 4 6 2 2" xfId="15070" xr:uid="{613EF791-DB66-498C-9A70-F98747074CA1}"/>
    <cellStyle name="40% - Accent2 4 6 3" xfId="10852" xr:uid="{916688E7-B56C-43EA-AA21-059054D8A91B}"/>
    <cellStyle name="40% - Accent2 4 7" xfId="4568" xr:uid="{00000000-0005-0000-0000-0000ED040000}"/>
    <cellStyle name="40% - Accent2 4 7 2" xfId="13004" xr:uid="{7C4A59DC-DC34-412F-BE54-10576EAEF0B6}"/>
    <cellStyle name="40% - Accent2 4 8" xfId="8786" xr:uid="{64E99A89-C7A3-401F-A5B9-71997B3B307D}"/>
    <cellStyle name="40% - Accent2 5" xfId="626" xr:uid="{00000000-0005-0000-0000-0000EE040000}"/>
    <cellStyle name="40% - Accent2 5 2" xfId="2897" xr:uid="{00000000-0005-0000-0000-0000EF040000}"/>
    <cellStyle name="40% - Accent2 5 2 2" xfId="7120" xr:uid="{00000000-0005-0000-0000-0000F0040000}"/>
    <cellStyle name="40% - Accent2 5 2 2 2" xfId="15556" xr:uid="{33425F37-FFBF-4C99-86C3-AB57FC453607}"/>
    <cellStyle name="40% - Accent2 5 2 3" xfId="11338" xr:uid="{60A53184-98D9-4CF4-B9C1-F3D11216FA1C}"/>
    <cellStyle name="40% - Accent2 5 3" xfId="4975" xr:uid="{00000000-0005-0000-0000-0000F1040000}"/>
    <cellStyle name="40% - Accent2 5 3 2" xfId="13411" xr:uid="{4A3F68DD-467C-4E05-8A22-C07C59BA55A6}"/>
    <cellStyle name="40% - Accent2 5 4" xfId="9193" xr:uid="{BDDBF5CB-5D63-42E6-94BE-AF729ECE3EF0}"/>
    <cellStyle name="40% - Accent2 6" xfId="1079" xr:uid="{00000000-0005-0000-0000-0000F2040000}"/>
    <cellStyle name="40% - Accent2 6 2" xfId="3310" xr:uid="{00000000-0005-0000-0000-0000F3040000}"/>
    <cellStyle name="40% - Accent2 6 2 2" xfId="7533" xr:uid="{00000000-0005-0000-0000-0000F4040000}"/>
    <cellStyle name="40% - Accent2 6 2 2 2" xfId="15969" xr:uid="{556D1977-552B-4BB1-841A-3FEA4615A964}"/>
    <cellStyle name="40% - Accent2 6 2 3" xfId="11751" xr:uid="{BC814009-B58B-4EFA-9A97-A6B806E24FD7}"/>
    <cellStyle name="40% - Accent2 6 3" xfId="5388" xr:uid="{00000000-0005-0000-0000-0000F5040000}"/>
    <cellStyle name="40% - Accent2 6 3 2" xfId="13824" xr:uid="{ABFDB07D-5AFA-4C45-8517-BE48201DBFB9}"/>
    <cellStyle name="40% - Accent2 6 4" xfId="9606" xr:uid="{00EFE6EF-07F9-4AEB-9DAA-B44A1ABDB568}"/>
    <cellStyle name="40% - Accent2 7" xfId="1493" xr:uid="{00000000-0005-0000-0000-0000F6040000}"/>
    <cellStyle name="40% - Accent2 7 2" xfId="3723" xr:uid="{00000000-0005-0000-0000-0000F7040000}"/>
    <cellStyle name="40% - Accent2 7 2 2" xfId="7946" xr:uid="{00000000-0005-0000-0000-0000F8040000}"/>
    <cellStyle name="40% - Accent2 7 2 2 2" xfId="16382" xr:uid="{A16007B9-6892-42EA-948D-824C92EED393}"/>
    <cellStyle name="40% - Accent2 7 2 3" xfId="12164" xr:uid="{E1348653-1575-4E4B-B906-E4E4F87210E3}"/>
    <cellStyle name="40% - Accent2 7 3" xfId="5801" xr:uid="{00000000-0005-0000-0000-0000F9040000}"/>
    <cellStyle name="40% - Accent2 7 3 2" xfId="14237" xr:uid="{C92B7292-84C0-4D11-85E3-85864EDF85DE}"/>
    <cellStyle name="40% - Accent2 7 4" xfId="10019" xr:uid="{03D7A35C-6CCF-44EF-9152-6E15D73E99ED}"/>
    <cellStyle name="40% - Accent2 8" xfId="1907" xr:uid="{00000000-0005-0000-0000-0000FA040000}"/>
    <cellStyle name="40% - Accent2 8 2" xfId="4136" xr:uid="{00000000-0005-0000-0000-0000FB040000}"/>
    <cellStyle name="40% - Accent2 8 2 2" xfId="8359" xr:uid="{00000000-0005-0000-0000-0000FC040000}"/>
    <cellStyle name="40% - Accent2 8 2 2 2" xfId="16795" xr:uid="{8E7DCC4E-02AC-4D89-A1CF-58D26AFC5A5A}"/>
    <cellStyle name="40% - Accent2 8 2 3" xfId="12577" xr:uid="{D1484D65-9F4E-421E-91F8-C417D7EC161F}"/>
    <cellStyle name="40% - Accent2 8 3" xfId="6214" xr:uid="{00000000-0005-0000-0000-0000FD040000}"/>
    <cellStyle name="40% - Accent2 8 3 2" xfId="14650" xr:uid="{817B7915-CC98-47DB-B745-5EC732B6E49D}"/>
    <cellStyle name="40% - Accent2 8 4" xfId="10432" xr:uid="{6290EB27-0AEC-42FA-8AB4-CF5FCE6876A4}"/>
    <cellStyle name="40% - Accent2 9" xfId="2320" xr:uid="{00000000-0005-0000-0000-0000FE040000}"/>
    <cellStyle name="40% - Accent2 9 2" xfId="6627" xr:uid="{00000000-0005-0000-0000-0000FF040000}"/>
    <cellStyle name="40% - Accent2 9 2 2" xfId="15063" xr:uid="{C225E6F0-44C1-4747-8E28-EC126D0CCDD9}"/>
    <cellStyle name="40% - Accent2 9 3" xfId="10845" xr:uid="{25487BB4-DC4B-47C8-82C2-4A46FE7C8600}"/>
    <cellStyle name="40% - Accent3" xfId="65" builtinId="39" customBuiltin="1"/>
    <cellStyle name="40% - Accent3 10" xfId="4569" xr:uid="{00000000-0005-0000-0000-000001050000}"/>
    <cellStyle name="40% - Accent3 10 2" xfId="13005" xr:uid="{5172E844-26CF-4EDA-BA76-E7B6DB5515F6}"/>
    <cellStyle name="40% - Accent3 11" xfId="8787" xr:uid="{37FA356D-17CA-4A60-834F-467D9167C254}"/>
    <cellStyle name="40% - Accent3 2" xfId="66" xr:uid="{00000000-0005-0000-0000-000002050000}"/>
    <cellStyle name="40% - Accent3 2 10" xfId="8788" xr:uid="{8441EE7A-A5B2-478C-805D-2D91A5BBBEFF}"/>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67" xr:uid="{FB3D466F-CDCC-4EAB-95BB-3FCCAC931D35}"/>
    <cellStyle name="40% - Accent3 2 2 2 2 2 3" xfId="11349" xr:uid="{E283077D-C079-46E8-93E5-23BDD1C7EE4F}"/>
    <cellStyle name="40% - Accent3 2 2 2 2 3" xfId="4986" xr:uid="{00000000-0005-0000-0000-000008050000}"/>
    <cellStyle name="40% - Accent3 2 2 2 2 3 2" xfId="13422" xr:uid="{DA034EFC-E7CC-4D95-A5CE-8910DB5951C6}"/>
    <cellStyle name="40% - Accent3 2 2 2 2 4" xfId="9204" xr:uid="{9E93EAE8-E656-4B59-9C8F-4E42E5C0613A}"/>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0" xr:uid="{5ABAA77A-4D58-4B55-8079-A91D618508C7}"/>
    <cellStyle name="40% - Accent3 2 2 2 3 2 3" xfId="11762" xr:uid="{8F2FD889-D729-4F29-82E0-93B941DC88A0}"/>
    <cellStyle name="40% - Accent3 2 2 2 3 3" xfId="5399" xr:uid="{00000000-0005-0000-0000-00000C050000}"/>
    <cellStyle name="40% - Accent3 2 2 2 3 3 2" xfId="13835" xr:uid="{6BFAC711-DC38-4721-A03F-4D198B91994B}"/>
    <cellStyle name="40% - Accent3 2 2 2 3 4" xfId="9617" xr:uid="{2A35A72C-CA6C-4FFA-924F-FB4B7BDA4BA4}"/>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3" xr:uid="{0DEDF4CD-5872-4026-A5B1-19CFDFF01253}"/>
    <cellStyle name="40% - Accent3 2 2 2 4 2 3" xfId="12175" xr:uid="{9B392201-79F4-4AEB-B4CA-6B8EED33E4CA}"/>
    <cellStyle name="40% - Accent3 2 2 2 4 3" xfId="5812" xr:uid="{00000000-0005-0000-0000-000010050000}"/>
    <cellStyle name="40% - Accent3 2 2 2 4 3 2" xfId="14248" xr:uid="{8305C960-F120-45AC-B9E0-0BFB5E429803}"/>
    <cellStyle name="40% - Accent3 2 2 2 4 4" xfId="10030" xr:uid="{27D6B731-A86D-4FE2-9A73-7DD111F2BBBF}"/>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6" xr:uid="{9403D0BD-FBB1-43CF-AA9A-22EB37DAEFCC}"/>
    <cellStyle name="40% - Accent3 2 2 2 5 2 3" xfId="12588" xr:uid="{29EA8959-90F2-4C92-8F6E-650BC2031466}"/>
    <cellStyle name="40% - Accent3 2 2 2 5 3" xfId="6225" xr:uid="{00000000-0005-0000-0000-000014050000}"/>
    <cellStyle name="40% - Accent3 2 2 2 5 3 2" xfId="14661" xr:uid="{610462D0-5D82-4E90-8186-60424BD930A2}"/>
    <cellStyle name="40% - Accent3 2 2 2 5 4" xfId="10443" xr:uid="{DE742036-72F7-458E-8FDC-602355BD0593}"/>
    <cellStyle name="40% - Accent3 2 2 2 6" xfId="2331" xr:uid="{00000000-0005-0000-0000-000015050000}"/>
    <cellStyle name="40% - Accent3 2 2 2 6 2" xfId="6638" xr:uid="{00000000-0005-0000-0000-000016050000}"/>
    <cellStyle name="40% - Accent3 2 2 2 6 2 2" xfId="15074" xr:uid="{B7E0A72A-6CEA-4942-B1F3-6149A166F46E}"/>
    <cellStyle name="40% - Accent3 2 2 2 6 3" xfId="10856" xr:uid="{6AD47106-CE57-4146-806A-E03D2EE910CA}"/>
    <cellStyle name="40% - Accent3 2 2 2 7" xfId="4572" xr:uid="{00000000-0005-0000-0000-000017050000}"/>
    <cellStyle name="40% - Accent3 2 2 2 7 2" xfId="13008" xr:uid="{4D656EF7-1E84-4306-BC9F-5361B1DF2BCC}"/>
    <cellStyle name="40% - Accent3 2 2 2 8" xfId="8790" xr:uid="{2FF1F4BE-26A7-4220-8518-E80BB6D0AE63}"/>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6" xr:uid="{E0FF407D-88E8-4B60-AFFA-3140D75A45E8}"/>
    <cellStyle name="40% - Accent3 2 2 3 2 3" xfId="11348" xr:uid="{E9F34330-1D9B-4151-B556-2B6B05272A09}"/>
    <cellStyle name="40% - Accent3 2 2 3 3" xfId="4985" xr:uid="{00000000-0005-0000-0000-00001B050000}"/>
    <cellStyle name="40% - Accent3 2 2 3 3 2" xfId="13421" xr:uid="{DBAD80BD-1817-40BD-A1FE-16883F6DD32A}"/>
    <cellStyle name="40% - Accent3 2 2 3 4" xfId="9203" xr:uid="{7CB1553A-A31B-454D-9954-74F43315302B}"/>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79" xr:uid="{9AC11B94-86E6-4987-B719-2AE805ECD52B}"/>
    <cellStyle name="40% - Accent3 2 2 4 2 3" xfId="11761" xr:uid="{887119EE-8200-4D8A-B233-D3278392948F}"/>
    <cellStyle name="40% - Accent3 2 2 4 3" xfId="5398" xr:uid="{00000000-0005-0000-0000-00001F050000}"/>
    <cellStyle name="40% - Accent3 2 2 4 3 2" xfId="13834" xr:uid="{3DAC618E-BFCE-4163-AE4D-691BA80E2D68}"/>
    <cellStyle name="40% - Accent3 2 2 4 4" xfId="9616" xr:uid="{5CEA6194-2B8F-4B4E-A6D8-B70623E2E3D0}"/>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2" xr:uid="{4483BBE8-9285-4905-8829-6EAD9150DE52}"/>
    <cellStyle name="40% - Accent3 2 2 5 2 3" xfId="12174" xr:uid="{B807909C-64D4-4ED5-95F7-518C66EE32A2}"/>
    <cellStyle name="40% - Accent3 2 2 5 3" xfId="5811" xr:uid="{00000000-0005-0000-0000-000023050000}"/>
    <cellStyle name="40% - Accent3 2 2 5 3 2" xfId="14247" xr:uid="{2F0DFEC6-E718-40A4-8831-C93C24D8C760}"/>
    <cellStyle name="40% - Accent3 2 2 5 4" xfId="10029" xr:uid="{BC55D56D-012F-46F8-B393-51E1D3585A3E}"/>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5" xr:uid="{9C9AE53C-3865-469A-A963-CFECCB9226F9}"/>
    <cellStyle name="40% - Accent3 2 2 6 2 3" xfId="12587" xr:uid="{DBCC3A45-9CC5-4C75-9D5B-5D3C61F26F6A}"/>
    <cellStyle name="40% - Accent3 2 2 6 3" xfId="6224" xr:uid="{00000000-0005-0000-0000-000027050000}"/>
    <cellStyle name="40% - Accent3 2 2 6 3 2" xfId="14660" xr:uid="{765AE661-4D57-4330-89A5-23BA97A124CC}"/>
    <cellStyle name="40% - Accent3 2 2 6 4" xfId="10442" xr:uid="{7DB67652-0C50-4A7C-ADD0-ADBC05702EE3}"/>
    <cellStyle name="40% - Accent3 2 2 7" xfId="2330" xr:uid="{00000000-0005-0000-0000-000028050000}"/>
    <cellStyle name="40% - Accent3 2 2 7 2" xfId="6637" xr:uid="{00000000-0005-0000-0000-000029050000}"/>
    <cellStyle name="40% - Accent3 2 2 7 2 2" xfId="15073" xr:uid="{34BAF5FD-6051-4D46-BFE7-32BE09F71DE3}"/>
    <cellStyle name="40% - Accent3 2 2 7 3" xfId="10855" xr:uid="{1CA3A508-1753-4D19-A225-DE34E2E8B514}"/>
    <cellStyle name="40% - Accent3 2 2 8" xfId="4571" xr:uid="{00000000-0005-0000-0000-00002A050000}"/>
    <cellStyle name="40% - Accent3 2 2 8 2" xfId="13007" xr:uid="{DB7C40FE-88CF-478E-B847-79B2DCD14260}"/>
    <cellStyle name="40% - Accent3 2 2 9" xfId="8789" xr:uid="{210497C3-AD66-4D5A-A44D-A65A33D08E41}"/>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68" xr:uid="{ABB1A67F-1DD2-4D2F-BD65-6601872AC992}"/>
    <cellStyle name="40% - Accent3 2 3 2 2 3" xfId="11350" xr:uid="{65F731D3-FA7B-43AB-8CD6-89D9D14F3136}"/>
    <cellStyle name="40% - Accent3 2 3 2 3" xfId="4987" xr:uid="{00000000-0005-0000-0000-00002F050000}"/>
    <cellStyle name="40% - Accent3 2 3 2 3 2" xfId="13423" xr:uid="{C86512D9-A9F7-412F-A993-2AD45F3CDAC3}"/>
    <cellStyle name="40% - Accent3 2 3 2 4" xfId="9205" xr:uid="{11772DC6-1F6D-4BE9-9163-7F70D1254343}"/>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1" xr:uid="{FADC9A9A-8154-4EF0-86BB-F36BE661295D}"/>
    <cellStyle name="40% - Accent3 2 3 3 2 3" xfId="11763" xr:uid="{BBAACB1F-B330-455E-AE80-C31CFF8B4D67}"/>
    <cellStyle name="40% - Accent3 2 3 3 3" xfId="5400" xr:uid="{00000000-0005-0000-0000-000033050000}"/>
    <cellStyle name="40% - Accent3 2 3 3 3 2" xfId="13836" xr:uid="{8B040B2F-1C96-417B-BEEE-0396650DD8B6}"/>
    <cellStyle name="40% - Accent3 2 3 3 4" xfId="9618" xr:uid="{601D9B01-3931-41DD-A845-705D35D3B077}"/>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4" xr:uid="{CB64B948-5176-4580-B9C9-B1DF1CEFAB0E}"/>
    <cellStyle name="40% - Accent3 2 3 4 2 3" xfId="12176" xr:uid="{7AD91120-5BE2-4794-9229-346266505D88}"/>
    <cellStyle name="40% - Accent3 2 3 4 3" xfId="5813" xr:uid="{00000000-0005-0000-0000-000037050000}"/>
    <cellStyle name="40% - Accent3 2 3 4 3 2" xfId="14249" xr:uid="{7C418AB4-1307-4023-8E57-6CFB79EFDB72}"/>
    <cellStyle name="40% - Accent3 2 3 4 4" xfId="10031" xr:uid="{8F297F28-A191-4920-A471-61025B67B629}"/>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07" xr:uid="{1FCD4196-4914-4070-A861-C0B04F4BF5D7}"/>
    <cellStyle name="40% - Accent3 2 3 5 2 3" xfId="12589" xr:uid="{4D226E42-664D-42E1-BA39-89FC49AAC1FA}"/>
    <cellStyle name="40% - Accent3 2 3 5 3" xfId="6226" xr:uid="{00000000-0005-0000-0000-00003B050000}"/>
    <cellStyle name="40% - Accent3 2 3 5 3 2" xfId="14662" xr:uid="{CD9DCCC6-7F2A-43A9-9425-F65C25A574DB}"/>
    <cellStyle name="40% - Accent3 2 3 5 4" xfId="10444" xr:uid="{48D107D9-AB06-49AD-8D5C-05C9F3AF2C3C}"/>
    <cellStyle name="40% - Accent3 2 3 6" xfId="2332" xr:uid="{00000000-0005-0000-0000-00003C050000}"/>
    <cellStyle name="40% - Accent3 2 3 6 2" xfId="6639" xr:uid="{00000000-0005-0000-0000-00003D050000}"/>
    <cellStyle name="40% - Accent3 2 3 6 2 2" xfId="15075" xr:uid="{83F60B4D-F37F-4887-B831-1FE947EA04D2}"/>
    <cellStyle name="40% - Accent3 2 3 6 3" xfId="10857" xr:uid="{E919A940-3370-481E-A20B-462F1D9AA367}"/>
    <cellStyle name="40% - Accent3 2 3 7" xfId="4573" xr:uid="{00000000-0005-0000-0000-00003E050000}"/>
    <cellStyle name="40% - Accent3 2 3 7 2" xfId="13009" xr:uid="{511E0081-DB45-435B-9153-9379AF1CD590}"/>
    <cellStyle name="40% - Accent3 2 3 8" xfId="8791" xr:uid="{C014CD6D-CFF1-4CBB-B11E-0D190133861C}"/>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5" xr:uid="{02140E7F-8E74-4371-99F3-069AD1C0D205}"/>
    <cellStyle name="40% - Accent3 2 4 2 3" xfId="11347" xr:uid="{42D23F3A-C75C-4021-969E-62FEF0ACCC58}"/>
    <cellStyle name="40% - Accent3 2 4 3" xfId="4984" xr:uid="{00000000-0005-0000-0000-000042050000}"/>
    <cellStyle name="40% - Accent3 2 4 3 2" xfId="13420" xr:uid="{42D221B6-0108-4C59-A52E-8611391E647C}"/>
    <cellStyle name="40% - Accent3 2 4 4" xfId="9202" xr:uid="{4FD69DF8-9948-4F9D-9A35-31F2084D1D18}"/>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78" xr:uid="{A8AFEC23-EE5E-4583-9B86-20449B88BE6C}"/>
    <cellStyle name="40% - Accent3 2 5 2 3" xfId="11760" xr:uid="{8F233758-480C-4038-A5BB-B71BEB64DB3D}"/>
    <cellStyle name="40% - Accent3 2 5 3" xfId="5397" xr:uid="{00000000-0005-0000-0000-000046050000}"/>
    <cellStyle name="40% - Accent3 2 5 3 2" xfId="13833" xr:uid="{453C3CB6-D70A-4DAD-8E18-E11DC94FB683}"/>
    <cellStyle name="40% - Accent3 2 5 4" xfId="9615" xr:uid="{DBB9697B-B6DD-42C9-835D-49FA17D46DF1}"/>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1" xr:uid="{19AE7835-8432-4588-95E8-68539826C979}"/>
    <cellStyle name="40% - Accent3 2 6 2 3" xfId="12173" xr:uid="{F2059593-2A88-4BB3-A8FC-2D2B6EB957E5}"/>
    <cellStyle name="40% - Accent3 2 6 3" xfId="5810" xr:uid="{00000000-0005-0000-0000-00004A050000}"/>
    <cellStyle name="40% - Accent3 2 6 3 2" xfId="14246" xr:uid="{3B956306-B534-480B-AD56-4E1484D4F35B}"/>
    <cellStyle name="40% - Accent3 2 6 4" xfId="10028" xr:uid="{1F58995A-BFAA-4FF1-A601-DF82F7F3B0F7}"/>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4" xr:uid="{D70065D3-202B-4A8C-81DA-C4F03984B9C3}"/>
    <cellStyle name="40% - Accent3 2 7 2 3" xfId="12586" xr:uid="{E94D02C9-ED3F-497E-B792-96033EFFD514}"/>
    <cellStyle name="40% - Accent3 2 7 3" xfId="6223" xr:uid="{00000000-0005-0000-0000-00004E050000}"/>
    <cellStyle name="40% - Accent3 2 7 3 2" xfId="14659" xr:uid="{BA944FFF-CFE4-4B4A-A9A1-EC75B5C30488}"/>
    <cellStyle name="40% - Accent3 2 7 4" xfId="10441" xr:uid="{C45FF206-4E5F-4BC9-8074-5D84C7539312}"/>
    <cellStyle name="40% - Accent3 2 8" xfId="2329" xr:uid="{00000000-0005-0000-0000-00004F050000}"/>
    <cellStyle name="40% - Accent3 2 8 2" xfId="6636" xr:uid="{00000000-0005-0000-0000-000050050000}"/>
    <cellStyle name="40% - Accent3 2 8 2 2" xfId="15072" xr:uid="{D1F98717-9412-4AC3-BC73-24CC900A5791}"/>
    <cellStyle name="40% - Accent3 2 8 3" xfId="10854" xr:uid="{265205A7-5E0E-47C4-8668-F7B6BA8F2DB0}"/>
    <cellStyle name="40% - Accent3 2 9" xfId="4570" xr:uid="{00000000-0005-0000-0000-000051050000}"/>
    <cellStyle name="40% - Accent3 2 9 2" xfId="13006" xr:uid="{622B407A-98BD-4BA8-866C-BF2C899ED90C}"/>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0" xr:uid="{73070CA7-AFDF-4073-B493-F77589C06D8F}"/>
    <cellStyle name="40% - Accent3 3 2 2 2 3" xfId="11352" xr:uid="{9FFA2E8B-9A0D-4CD6-9CB7-03BC52CCE68F}"/>
    <cellStyle name="40% - Accent3 3 2 2 3" xfId="4989" xr:uid="{00000000-0005-0000-0000-000057050000}"/>
    <cellStyle name="40% - Accent3 3 2 2 3 2" xfId="13425" xr:uid="{92DD0658-837F-4711-8382-37BAD532DF4A}"/>
    <cellStyle name="40% - Accent3 3 2 2 4" xfId="9207" xr:uid="{A74B0BBB-23B8-47EE-B040-5F9E2A7F24EE}"/>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3" xr:uid="{CD790189-4D8E-49DA-9E34-98FF84AF3A42}"/>
    <cellStyle name="40% - Accent3 3 2 3 2 3" xfId="11765" xr:uid="{9578EEBD-A79F-4E0F-B763-C71DE3BCA206}"/>
    <cellStyle name="40% - Accent3 3 2 3 3" xfId="5402" xr:uid="{00000000-0005-0000-0000-00005B050000}"/>
    <cellStyle name="40% - Accent3 3 2 3 3 2" xfId="13838" xr:uid="{BBFBE899-3043-4C51-8B70-E3ACBD30859C}"/>
    <cellStyle name="40% - Accent3 3 2 3 4" xfId="9620" xr:uid="{DDF12BD0-4345-4D75-945A-2BD1BBDE1B1D}"/>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6" xr:uid="{C654B3A5-F1F5-41FF-B0C6-44A4E83B68CF}"/>
    <cellStyle name="40% - Accent3 3 2 4 2 3" xfId="12178" xr:uid="{D088C87B-3338-46BE-BDFB-97EC6A3EF13D}"/>
    <cellStyle name="40% - Accent3 3 2 4 3" xfId="5815" xr:uid="{00000000-0005-0000-0000-00005F050000}"/>
    <cellStyle name="40% - Accent3 3 2 4 3 2" xfId="14251" xr:uid="{F6E8791B-0448-43D8-9C06-BAE593300D6E}"/>
    <cellStyle name="40% - Accent3 3 2 4 4" xfId="10033" xr:uid="{DFF6E1B5-1A23-481E-909D-E4EAA1EA8C3E}"/>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09" xr:uid="{1A76B8B2-9D0C-4479-9B70-C8E3C8656719}"/>
    <cellStyle name="40% - Accent3 3 2 5 2 3" xfId="12591" xr:uid="{ADDA368E-558B-419E-BF61-E90A6A19C9E4}"/>
    <cellStyle name="40% - Accent3 3 2 5 3" xfId="6228" xr:uid="{00000000-0005-0000-0000-000063050000}"/>
    <cellStyle name="40% - Accent3 3 2 5 3 2" xfId="14664" xr:uid="{A2EF5A7B-B1F6-42B1-98E3-4289305D2E74}"/>
    <cellStyle name="40% - Accent3 3 2 5 4" xfId="10446" xr:uid="{BFA19913-6D2E-4DDE-8863-7A4613B92EF1}"/>
    <cellStyle name="40% - Accent3 3 2 6" xfId="2334" xr:uid="{00000000-0005-0000-0000-000064050000}"/>
    <cellStyle name="40% - Accent3 3 2 6 2" xfId="6641" xr:uid="{00000000-0005-0000-0000-000065050000}"/>
    <cellStyle name="40% - Accent3 3 2 6 2 2" xfId="15077" xr:uid="{7FDB86FE-E28D-471F-9472-5598F3D6B8E4}"/>
    <cellStyle name="40% - Accent3 3 2 6 3" xfId="10859" xr:uid="{E5B4CE22-923C-4962-BA6F-93D69D1A4CB9}"/>
    <cellStyle name="40% - Accent3 3 2 7" xfId="4575" xr:uid="{00000000-0005-0000-0000-000066050000}"/>
    <cellStyle name="40% - Accent3 3 2 7 2" xfId="13011" xr:uid="{7B31459F-F47E-498C-B2B2-469DD73B34B0}"/>
    <cellStyle name="40% - Accent3 3 2 8" xfId="8793" xr:uid="{B913062A-1E83-48FE-84FD-4ED65993A2DF}"/>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69" xr:uid="{A7BA2EB5-02EA-4786-A0C4-0F604D1C94C4}"/>
    <cellStyle name="40% - Accent3 3 3 2 3" xfId="11351" xr:uid="{B7284F79-001E-4C5C-A623-3FA5EC922C8A}"/>
    <cellStyle name="40% - Accent3 3 3 3" xfId="4988" xr:uid="{00000000-0005-0000-0000-00006A050000}"/>
    <cellStyle name="40% - Accent3 3 3 3 2" xfId="13424" xr:uid="{08228374-C016-42C1-88E5-FEFC2C485F3B}"/>
    <cellStyle name="40% - Accent3 3 3 4" xfId="9206" xr:uid="{FE37BB36-0645-4E1B-B254-6B01CC1138BB}"/>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2" xr:uid="{70A78F27-3DB1-4B40-8966-10F195D799B6}"/>
    <cellStyle name="40% - Accent3 3 4 2 3" xfId="11764" xr:uid="{76AF1F93-82FA-4FF0-88AA-81BE847BA35F}"/>
    <cellStyle name="40% - Accent3 3 4 3" xfId="5401" xr:uid="{00000000-0005-0000-0000-00006E050000}"/>
    <cellStyle name="40% - Accent3 3 4 3 2" xfId="13837" xr:uid="{7EF67972-0E9F-4503-990F-034217753AA1}"/>
    <cellStyle name="40% - Accent3 3 4 4" xfId="9619" xr:uid="{A759B4AB-5A06-4D80-A19E-858D3D3837F0}"/>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5" xr:uid="{23066969-58F9-4985-A167-05AFF5EA26DF}"/>
    <cellStyle name="40% - Accent3 3 5 2 3" xfId="12177" xr:uid="{4B6B0C7F-ED52-42FA-B026-9511E8EB0163}"/>
    <cellStyle name="40% - Accent3 3 5 3" xfId="5814" xr:uid="{00000000-0005-0000-0000-000072050000}"/>
    <cellStyle name="40% - Accent3 3 5 3 2" xfId="14250" xr:uid="{62C296E8-1FBA-45D7-96FE-30DF813B9AB9}"/>
    <cellStyle name="40% - Accent3 3 5 4" xfId="10032" xr:uid="{62992F1C-D30E-4EFA-936D-B0E8403ABBC7}"/>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08" xr:uid="{AF74FC1D-67F0-4EE0-897D-0C48528BDDD8}"/>
    <cellStyle name="40% - Accent3 3 6 2 3" xfId="12590" xr:uid="{7A0533A5-4D55-4E0E-B5E1-85111685CC2A}"/>
    <cellStyle name="40% - Accent3 3 6 3" xfId="6227" xr:uid="{00000000-0005-0000-0000-000076050000}"/>
    <cellStyle name="40% - Accent3 3 6 3 2" xfId="14663" xr:uid="{CF00A924-3831-4D35-9DF2-10A9109DAE98}"/>
    <cellStyle name="40% - Accent3 3 6 4" xfId="10445" xr:uid="{0931258E-A3A6-49A1-B36C-3DC005A0D092}"/>
    <cellStyle name="40% - Accent3 3 7" xfId="2333" xr:uid="{00000000-0005-0000-0000-000077050000}"/>
    <cellStyle name="40% - Accent3 3 7 2" xfId="6640" xr:uid="{00000000-0005-0000-0000-000078050000}"/>
    <cellStyle name="40% - Accent3 3 7 2 2" xfId="15076" xr:uid="{FDF01D74-35C3-4195-838C-02E0B1EACDB4}"/>
    <cellStyle name="40% - Accent3 3 7 3" xfId="10858" xr:uid="{F2A4CFEF-2294-47DE-8EE4-4E3E7C49C317}"/>
    <cellStyle name="40% - Accent3 3 8" xfId="4574" xr:uid="{00000000-0005-0000-0000-000079050000}"/>
    <cellStyle name="40% - Accent3 3 8 2" xfId="13010" xr:uid="{9542E66D-A18D-4F25-B5CB-A88FDA1E2520}"/>
    <cellStyle name="40% - Accent3 3 9" xfId="8792" xr:uid="{19603692-9FD8-41C6-AC1E-90867FC7FF11}"/>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1" xr:uid="{778E9472-4E92-44C8-A44F-8EA069CD4ADF}"/>
    <cellStyle name="40% - Accent3 4 2 2 3" xfId="11353" xr:uid="{822E5B0E-40B9-4553-B296-3F1710E512FC}"/>
    <cellStyle name="40% - Accent3 4 2 3" xfId="4990" xr:uid="{00000000-0005-0000-0000-00007E050000}"/>
    <cellStyle name="40% - Accent3 4 2 3 2" xfId="13426" xr:uid="{7792BC71-22A5-4DE3-9B74-12E7EC6FDD18}"/>
    <cellStyle name="40% - Accent3 4 2 4" xfId="9208" xr:uid="{4B8B8298-2CE0-4DDA-B8EA-61E05A397F99}"/>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4" xr:uid="{64501425-7026-4B4A-A28F-BB5F18CEC37A}"/>
    <cellStyle name="40% - Accent3 4 3 2 3" xfId="11766" xr:uid="{32F8846A-9BE4-462C-B40B-26534D0D3800}"/>
    <cellStyle name="40% - Accent3 4 3 3" xfId="5403" xr:uid="{00000000-0005-0000-0000-000082050000}"/>
    <cellStyle name="40% - Accent3 4 3 3 2" xfId="13839" xr:uid="{2E170F9D-64C6-48B3-A3EC-FF6227E310C6}"/>
    <cellStyle name="40% - Accent3 4 3 4" xfId="9621" xr:uid="{7AB65379-15A0-4A5A-AD7E-02D08BD47D87}"/>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397" xr:uid="{2FDEB0E8-34EE-4097-82A6-326C4BE08972}"/>
    <cellStyle name="40% - Accent3 4 4 2 3" xfId="12179" xr:uid="{11DF2B31-F8A1-4DD5-B358-8BA7E1FAAAF2}"/>
    <cellStyle name="40% - Accent3 4 4 3" xfId="5816" xr:uid="{00000000-0005-0000-0000-000086050000}"/>
    <cellStyle name="40% - Accent3 4 4 3 2" xfId="14252" xr:uid="{45F5A45D-C0C3-4C27-A179-80E78E8BEC9F}"/>
    <cellStyle name="40% - Accent3 4 4 4" xfId="10034" xr:uid="{7B76D45F-1C78-4BDD-BC32-E2FA3EFBC0B4}"/>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0" xr:uid="{5EBB1186-A7BB-4BBC-90A2-7C152DEE81C7}"/>
    <cellStyle name="40% - Accent3 4 5 2 3" xfId="12592" xr:uid="{5CB331C9-E38A-4F2D-B9E2-FB19A076B601}"/>
    <cellStyle name="40% - Accent3 4 5 3" xfId="6229" xr:uid="{00000000-0005-0000-0000-00008A050000}"/>
    <cellStyle name="40% - Accent3 4 5 3 2" xfId="14665" xr:uid="{0FE1C984-AC69-48D0-AA34-300F6BF0CB43}"/>
    <cellStyle name="40% - Accent3 4 5 4" xfId="10447" xr:uid="{6D54AD04-9C9C-46B4-882A-9D8CC8BE5C3E}"/>
    <cellStyle name="40% - Accent3 4 6" xfId="2335" xr:uid="{00000000-0005-0000-0000-00008B050000}"/>
    <cellStyle name="40% - Accent3 4 6 2" xfId="6642" xr:uid="{00000000-0005-0000-0000-00008C050000}"/>
    <cellStyle name="40% - Accent3 4 6 2 2" xfId="15078" xr:uid="{E4FBAC46-E91B-4BFF-85B5-9A13B2F0B861}"/>
    <cellStyle name="40% - Accent3 4 6 3" xfId="10860" xr:uid="{EF49B716-8EFC-4BE2-8D1E-B23A7EB6D0B7}"/>
    <cellStyle name="40% - Accent3 4 7" xfId="4576" xr:uid="{00000000-0005-0000-0000-00008D050000}"/>
    <cellStyle name="40% - Accent3 4 7 2" xfId="13012" xr:uid="{25DABF84-3ACD-48EF-A7B1-425C9DF1167E}"/>
    <cellStyle name="40% - Accent3 4 8" xfId="8794" xr:uid="{B2A40BEF-7438-4897-9880-F341154D3B30}"/>
    <cellStyle name="40% - Accent3 5" xfId="634" xr:uid="{00000000-0005-0000-0000-00008E050000}"/>
    <cellStyle name="40% - Accent3 5 2" xfId="2905" xr:uid="{00000000-0005-0000-0000-00008F050000}"/>
    <cellStyle name="40% - Accent3 5 2 2" xfId="7128" xr:uid="{00000000-0005-0000-0000-000090050000}"/>
    <cellStyle name="40% - Accent3 5 2 2 2" xfId="15564" xr:uid="{743C62CB-2511-4F69-B316-102FE7A79C88}"/>
    <cellStyle name="40% - Accent3 5 2 3" xfId="11346" xr:uid="{29E7B915-0641-4AF7-B906-C72F6BAB7DCA}"/>
    <cellStyle name="40% - Accent3 5 3" xfId="4983" xr:uid="{00000000-0005-0000-0000-000091050000}"/>
    <cellStyle name="40% - Accent3 5 3 2" xfId="13419" xr:uid="{1FDF9306-4B2F-46ED-9144-361FA7028812}"/>
    <cellStyle name="40% - Accent3 5 4" xfId="9201" xr:uid="{E99874F9-604E-4C03-93F9-034334FEC3CB}"/>
    <cellStyle name="40% - Accent3 6" xfId="1087" xr:uid="{00000000-0005-0000-0000-000092050000}"/>
    <cellStyle name="40% - Accent3 6 2" xfId="3318" xr:uid="{00000000-0005-0000-0000-000093050000}"/>
    <cellStyle name="40% - Accent3 6 2 2" xfId="7541" xr:uid="{00000000-0005-0000-0000-000094050000}"/>
    <cellStyle name="40% - Accent3 6 2 2 2" xfId="15977" xr:uid="{37877F9D-2B83-4AD8-99C7-1E483548C940}"/>
    <cellStyle name="40% - Accent3 6 2 3" xfId="11759" xr:uid="{A78FF01C-9FB5-4700-8A98-19F2F832ABB9}"/>
    <cellStyle name="40% - Accent3 6 3" xfId="5396" xr:uid="{00000000-0005-0000-0000-000095050000}"/>
    <cellStyle name="40% - Accent3 6 3 2" xfId="13832" xr:uid="{E526CB55-253E-4787-A97E-90B94FD237E3}"/>
    <cellStyle name="40% - Accent3 6 4" xfId="9614" xr:uid="{C583CA5C-1A56-46B0-B257-171E3ABB5CE4}"/>
    <cellStyle name="40% - Accent3 7" xfId="1501" xr:uid="{00000000-0005-0000-0000-000096050000}"/>
    <cellStyle name="40% - Accent3 7 2" xfId="3731" xr:uid="{00000000-0005-0000-0000-000097050000}"/>
    <cellStyle name="40% - Accent3 7 2 2" xfId="7954" xr:uid="{00000000-0005-0000-0000-000098050000}"/>
    <cellStyle name="40% - Accent3 7 2 2 2" xfId="16390" xr:uid="{D19BC3B9-DEDD-451F-B5C3-47A72C6481E0}"/>
    <cellStyle name="40% - Accent3 7 2 3" xfId="12172" xr:uid="{2A5C14DD-79D8-4B0E-B6A3-F2F9B52492CB}"/>
    <cellStyle name="40% - Accent3 7 3" xfId="5809" xr:uid="{00000000-0005-0000-0000-000099050000}"/>
    <cellStyle name="40% - Accent3 7 3 2" xfId="14245" xr:uid="{DEEF0AB6-6B94-422F-85AA-9093CB13AE82}"/>
    <cellStyle name="40% - Accent3 7 4" xfId="10027" xr:uid="{BDA55E6B-A511-4FBC-BDC8-DA1023C28D6E}"/>
    <cellStyle name="40% - Accent3 8" xfId="1915" xr:uid="{00000000-0005-0000-0000-00009A050000}"/>
    <cellStyle name="40% - Accent3 8 2" xfId="4144" xr:uid="{00000000-0005-0000-0000-00009B050000}"/>
    <cellStyle name="40% - Accent3 8 2 2" xfId="8367" xr:uid="{00000000-0005-0000-0000-00009C050000}"/>
    <cellStyle name="40% - Accent3 8 2 2 2" xfId="16803" xr:uid="{9BE41D04-9FCB-4A9F-A421-5407FEB263C6}"/>
    <cellStyle name="40% - Accent3 8 2 3" xfId="12585" xr:uid="{97BEF9E3-8432-40E6-845F-50999FEDE845}"/>
    <cellStyle name="40% - Accent3 8 3" xfId="6222" xr:uid="{00000000-0005-0000-0000-00009D050000}"/>
    <cellStyle name="40% - Accent3 8 3 2" xfId="14658" xr:uid="{6C79FA64-3AA9-477B-BD67-FA85331CAE54}"/>
    <cellStyle name="40% - Accent3 8 4" xfId="10440" xr:uid="{B9D2EE62-6F7B-46BB-934C-89D70EC2DD27}"/>
    <cellStyle name="40% - Accent3 9" xfId="2328" xr:uid="{00000000-0005-0000-0000-00009E050000}"/>
    <cellStyle name="40% - Accent3 9 2" xfId="6635" xr:uid="{00000000-0005-0000-0000-00009F050000}"/>
    <cellStyle name="40% - Accent3 9 2 2" xfId="15071" xr:uid="{EF6FEA2F-A027-4754-8B7C-F826C564B2A3}"/>
    <cellStyle name="40% - Accent3 9 3" xfId="10853" xr:uid="{F56B97E6-0615-4944-85AC-9C99BC451E80}"/>
    <cellStyle name="40% - Accent4" xfId="73" builtinId="43" customBuiltin="1"/>
    <cellStyle name="40% - Accent4 10" xfId="4577" xr:uid="{00000000-0005-0000-0000-0000A1050000}"/>
    <cellStyle name="40% - Accent4 10 2" xfId="13013" xr:uid="{33B51924-60CC-4E66-92BD-674B1A78FBA0}"/>
    <cellStyle name="40% - Accent4 11" xfId="8795" xr:uid="{70D3D394-038E-4603-96F8-54F0915602CD}"/>
    <cellStyle name="40% - Accent4 2" xfId="74" xr:uid="{00000000-0005-0000-0000-0000A2050000}"/>
    <cellStyle name="40% - Accent4 2 10" xfId="8796" xr:uid="{042C42A7-DFB4-4AB9-BBCF-8182B678D8DE}"/>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5" xr:uid="{199077B3-90EC-4F58-BE02-0E72C5DF9E6C}"/>
    <cellStyle name="40% - Accent4 2 2 2 2 2 3" xfId="11357" xr:uid="{22662EC0-507D-4DC7-A41E-A15BBCD7B783}"/>
    <cellStyle name="40% - Accent4 2 2 2 2 3" xfId="4994" xr:uid="{00000000-0005-0000-0000-0000A8050000}"/>
    <cellStyle name="40% - Accent4 2 2 2 2 3 2" xfId="13430" xr:uid="{09C08B40-93A0-4546-9525-BAD5B0032AF7}"/>
    <cellStyle name="40% - Accent4 2 2 2 2 4" xfId="9212" xr:uid="{9F5B445E-3150-4341-BB7F-767D8C044DC5}"/>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88" xr:uid="{542BBEB5-E5A7-4CA7-A228-8C7DACC9E40C}"/>
    <cellStyle name="40% - Accent4 2 2 2 3 2 3" xfId="11770" xr:uid="{4352D1DF-D192-4310-986F-C9FDD45A8DB9}"/>
    <cellStyle name="40% - Accent4 2 2 2 3 3" xfId="5407" xr:uid="{00000000-0005-0000-0000-0000AC050000}"/>
    <cellStyle name="40% - Accent4 2 2 2 3 3 2" xfId="13843" xr:uid="{CBBF2140-B40B-4CF3-A551-686B36D8D7D1}"/>
    <cellStyle name="40% - Accent4 2 2 2 3 4" xfId="9625" xr:uid="{49F85CF6-FA77-4731-88BB-B65192AC933A}"/>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1" xr:uid="{ACB0F44F-52E1-4FD0-A4FD-3C91ADD986A9}"/>
    <cellStyle name="40% - Accent4 2 2 2 4 2 3" xfId="12183" xr:uid="{D6A237F3-D5F2-4C5A-8690-1129A751D529}"/>
    <cellStyle name="40% - Accent4 2 2 2 4 3" xfId="5820" xr:uid="{00000000-0005-0000-0000-0000B0050000}"/>
    <cellStyle name="40% - Accent4 2 2 2 4 3 2" xfId="14256" xr:uid="{F988F242-51C7-4C04-BB7F-C43184243C20}"/>
    <cellStyle name="40% - Accent4 2 2 2 4 4" xfId="10038" xr:uid="{2DD1179C-DE8A-4B27-AE80-F465ED97DB64}"/>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4" xr:uid="{26CE3941-9DBA-4B14-957B-7B8686EF68ED}"/>
    <cellStyle name="40% - Accent4 2 2 2 5 2 3" xfId="12596" xr:uid="{2A43DBF2-86C3-4EE0-ADEC-16F4B4F53088}"/>
    <cellStyle name="40% - Accent4 2 2 2 5 3" xfId="6233" xr:uid="{00000000-0005-0000-0000-0000B4050000}"/>
    <cellStyle name="40% - Accent4 2 2 2 5 3 2" xfId="14669" xr:uid="{1AA2CC42-09D4-474C-BB4F-43ECF51AB44A}"/>
    <cellStyle name="40% - Accent4 2 2 2 5 4" xfId="10451" xr:uid="{0D37BEAB-A607-4448-A17A-8B71EDB77F6F}"/>
    <cellStyle name="40% - Accent4 2 2 2 6" xfId="2339" xr:uid="{00000000-0005-0000-0000-0000B5050000}"/>
    <cellStyle name="40% - Accent4 2 2 2 6 2" xfId="6646" xr:uid="{00000000-0005-0000-0000-0000B6050000}"/>
    <cellStyle name="40% - Accent4 2 2 2 6 2 2" xfId="15082" xr:uid="{044351E7-E434-4EAA-AC6D-E9DA8FD206EE}"/>
    <cellStyle name="40% - Accent4 2 2 2 6 3" xfId="10864" xr:uid="{3A934F30-8058-46B8-B699-8705765BECF0}"/>
    <cellStyle name="40% - Accent4 2 2 2 7" xfId="4580" xr:uid="{00000000-0005-0000-0000-0000B7050000}"/>
    <cellStyle name="40% - Accent4 2 2 2 7 2" xfId="13016" xr:uid="{3768AC82-1EE7-4C4E-B8C3-6F78F266F885}"/>
    <cellStyle name="40% - Accent4 2 2 2 8" xfId="8798" xr:uid="{976DBA8D-909D-45BB-A601-0A4CBAD6DBB3}"/>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4" xr:uid="{E52931A3-7B49-4132-BFCF-ECBBA88D58DD}"/>
    <cellStyle name="40% - Accent4 2 2 3 2 3" xfId="11356" xr:uid="{A4601F81-A22E-4F5F-9790-F49614BDEF6F}"/>
    <cellStyle name="40% - Accent4 2 2 3 3" xfId="4993" xr:uid="{00000000-0005-0000-0000-0000BB050000}"/>
    <cellStyle name="40% - Accent4 2 2 3 3 2" xfId="13429" xr:uid="{FF7757C0-0584-4254-A484-3856D5EC5DBC}"/>
    <cellStyle name="40% - Accent4 2 2 3 4" xfId="9211" xr:uid="{FBABEE7A-0E29-4624-83A8-ADC1E2A925F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87" xr:uid="{39AC3D77-D9B5-4913-B007-C983B3BBF932}"/>
    <cellStyle name="40% - Accent4 2 2 4 2 3" xfId="11769" xr:uid="{D1EC1412-F194-4C68-BB37-9BDA2B5544A3}"/>
    <cellStyle name="40% - Accent4 2 2 4 3" xfId="5406" xr:uid="{00000000-0005-0000-0000-0000BF050000}"/>
    <cellStyle name="40% - Accent4 2 2 4 3 2" xfId="13842" xr:uid="{8A8EC3B8-862E-4B91-8E2A-4764DC88A259}"/>
    <cellStyle name="40% - Accent4 2 2 4 4" xfId="9624" xr:uid="{03C037E5-83B0-4B09-A49F-6F04FF01749B}"/>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0" xr:uid="{B03D9BAE-E4AF-4332-A771-C4343E99DE05}"/>
    <cellStyle name="40% - Accent4 2 2 5 2 3" xfId="12182" xr:uid="{AE4E1EDE-7B6C-4006-87C3-8355655C04A1}"/>
    <cellStyle name="40% - Accent4 2 2 5 3" xfId="5819" xr:uid="{00000000-0005-0000-0000-0000C3050000}"/>
    <cellStyle name="40% - Accent4 2 2 5 3 2" xfId="14255" xr:uid="{F08730EE-E119-4B5F-B5F3-EF09ED1B7042}"/>
    <cellStyle name="40% - Accent4 2 2 5 4" xfId="10037" xr:uid="{82CFEDDB-0240-4F73-879A-AC46C223BCB9}"/>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3" xr:uid="{B2D4A119-2946-4DFE-8542-D289B9CC96CC}"/>
    <cellStyle name="40% - Accent4 2 2 6 2 3" xfId="12595" xr:uid="{387E0D81-3DD8-4E03-8A45-E07E9CC2B753}"/>
    <cellStyle name="40% - Accent4 2 2 6 3" xfId="6232" xr:uid="{00000000-0005-0000-0000-0000C7050000}"/>
    <cellStyle name="40% - Accent4 2 2 6 3 2" xfId="14668" xr:uid="{2A96B226-AC7A-4C7F-8955-E2D9DB67158E}"/>
    <cellStyle name="40% - Accent4 2 2 6 4" xfId="10450" xr:uid="{5DB751B7-C10E-4DF2-93B6-BCB593202884}"/>
    <cellStyle name="40% - Accent4 2 2 7" xfId="2338" xr:uid="{00000000-0005-0000-0000-0000C8050000}"/>
    <cellStyle name="40% - Accent4 2 2 7 2" xfId="6645" xr:uid="{00000000-0005-0000-0000-0000C9050000}"/>
    <cellStyle name="40% - Accent4 2 2 7 2 2" xfId="15081" xr:uid="{A079AEA8-BC5E-4B11-96BE-3536CF70F0AB}"/>
    <cellStyle name="40% - Accent4 2 2 7 3" xfId="10863" xr:uid="{56E99CF6-AB83-4FDE-AC23-6D0791E4B121}"/>
    <cellStyle name="40% - Accent4 2 2 8" xfId="4579" xr:uid="{00000000-0005-0000-0000-0000CA050000}"/>
    <cellStyle name="40% - Accent4 2 2 8 2" xfId="13015" xr:uid="{720C4F78-889E-4D28-9762-E21A29778DD2}"/>
    <cellStyle name="40% - Accent4 2 2 9" xfId="8797" xr:uid="{FC083D1A-81DB-487C-BE0E-4B8DCC52D05A}"/>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6" xr:uid="{C5235E4B-D6DD-4DF2-ABC5-B78D99CC1FBB}"/>
    <cellStyle name="40% - Accent4 2 3 2 2 3" xfId="11358" xr:uid="{1AE5EB0B-C7A6-4D94-AF85-97E9A0EA0B98}"/>
    <cellStyle name="40% - Accent4 2 3 2 3" xfId="4995" xr:uid="{00000000-0005-0000-0000-0000CF050000}"/>
    <cellStyle name="40% - Accent4 2 3 2 3 2" xfId="13431" xr:uid="{BA069435-4BAC-44B0-AC59-A7288D3CA102}"/>
    <cellStyle name="40% - Accent4 2 3 2 4" xfId="9213" xr:uid="{3D3F80D1-3913-4C8D-967B-BA1DB2593CD4}"/>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89" xr:uid="{2A4ECB25-0C11-4E51-A93E-8E2A7D15D3FB}"/>
    <cellStyle name="40% - Accent4 2 3 3 2 3" xfId="11771" xr:uid="{9B534360-AC75-42C2-9950-49FCC11073C7}"/>
    <cellStyle name="40% - Accent4 2 3 3 3" xfId="5408" xr:uid="{00000000-0005-0000-0000-0000D3050000}"/>
    <cellStyle name="40% - Accent4 2 3 3 3 2" xfId="13844" xr:uid="{2F842356-7C79-42D9-82AB-50DC377A38DD}"/>
    <cellStyle name="40% - Accent4 2 3 3 4" xfId="9626" xr:uid="{C559286C-F160-49EA-BBB3-B897CBE341C9}"/>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2" xr:uid="{4276CC2B-EB32-4BEE-95EC-63FD8D329A3B}"/>
    <cellStyle name="40% - Accent4 2 3 4 2 3" xfId="12184" xr:uid="{969B0EB9-39EE-4529-A0A2-63338D49E86F}"/>
    <cellStyle name="40% - Accent4 2 3 4 3" xfId="5821" xr:uid="{00000000-0005-0000-0000-0000D7050000}"/>
    <cellStyle name="40% - Accent4 2 3 4 3 2" xfId="14257" xr:uid="{E781B50D-F936-4C80-84BB-489C7E22CEB8}"/>
    <cellStyle name="40% - Accent4 2 3 4 4" xfId="10039" xr:uid="{391140DF-4459-4FC6-AB09-50750BB774A5}"/>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5" xr:uid="{355F4E9F-157F-4146-B727-B6CDF2C85948}"/>
    <cellStyle name="40% - Accent4 2 3 5 2 3" xfId="12597" xr:uid="{31AE5927-B733-4FAB-B51A-E8F8759BF2D0}"/>
    <cellStyle name="40% - Accent4 2 3 5 3" xfId="6234" xr:uid="{00000000-0005-0000-0000-0000DB050000}"/>
    <cellStyle name="40% - Accent4 2 3 5 3 2" xfId="14670" xr:uid="{50317E48-658C-40D0-B2AB-4095E1FB2551}"/>
    <cellStyle name="40% - Accent4 2 3 5 4" xfId="10452" xr:uid="{73A2D252-5F29-48BF-949D-152B1CA72BEA}"/>
    <cellStyle name="40% - Accent4 2 3 6" xfId="2340" xr:uid="{00000000-0005-0000-0000-0000DC050000}"/>
    <cellStyle name="40% - Accent4 2 3 6 2" xfId="6647" xr:uid="{00000000-0005-0000-0000-0000DD050000}"/>
    <cellStyle name="40% - Accent4 2 3 6 2 2" xfId="15083" xr:uid="{6AF5AE85-BF30-407C-828C-4105F7C69BB9}"/>
    <cellStyle name="40% - Accent4 2 3 6 3" xfId="10865" xr:uid="{A9309DF6-741C-4B8A-89DD-06E793B4CFA1}"/>
    <cellStyle name="40% - Accent4 2 3 7" xfId="4581" xr:uid="{00000000-0005-0000-0000-0000DE050000}"/>
    <cellStyle name="40% - Accent4 2 3 7 2" xfId="13017" xr:uid="{CA768BAE-8319-49F6-8199-5DD465FDDB0C}"/>
    <cellStyle name="40% - Accent4 2 3 8" xfId="8799" xr:uid="{76E28180-8C45-4E0B-B265-5225CDF7B226}"/>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3" xr:uid="{9555C3BC-E01E-48F3-BCBC-E5D6707CAD2B}"/>
    <cellStyle name="40% - Accent4 2 4 2 3" xfId="11355" xr:uid="{97602809-456F-4CBB-8CE8-9EB84FD56819}"/>
    <cellStyle name="40% - Accent4 2 4 3" xfId="4992" xr:uid="{00000000-0005-0000-0000-0000E2050000}"/>
    <cellStyle name="40% - Accent4 2 4 3 2" xfId="13428" xr:uid="{1A67FCD5-1E12-4CAE-BDBE-1BF6E29E504A}"/>
    <cellStyle name="40% - Accent4 2 4 4" xfId="9210" xr:uid="{FC3C59A0-88E2-455D-9767-A5E3E3EB84E9}"/>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6" xr:uid="{4643A919-5ABC-4F3A-A143-F211401EF5AF}"/>
    <cellStyle name="40% - Accent4 2 5 2 3" xfId="11768" xr:uid="{EA8A74B5-1832-496F-8C7A-4E40A7912FFE}"/>
    <cellStyle name="40% - Accent4 2 5 3" xfId="5405" xr:uid="{00000000-0005-0000-0000-0000E6050000}"/>
    <cellStyle name="40% - Accent4 2 5 3 2" xfId="13841" xr:uid="{9B26BE1F-F573-4F86-A2AE-974BA24EDE00}"/>
    <cellStyle name="40% - Accent4 2 5 4" xfId="9623" xr:uid="{2499F1BC-951A-4833-B652-12CA9BD901A5}"/>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399" xr:uid="{D8067387-D70B-491F-A81C-7B18B6E48E43}"/>
    <cellStyle name="40% - Accent4 2 6 2 3" xfId="12181" xr:uid="{2D291B76-E0F7-4AE9-8D42-C2E881FC1D58}"/>
    <cellStyle name="40% - Accent4 2 6 3" xfId="5818" xr:uid="{00000000-0005-0000-0000-0000EA050000}"/>
    <cellStyle name="40% - Accent4 2 6 3 2" xfId="14254" xr:uid="{E9044C0B-CA34-4A9F-81A4-BBF1820E0567}"/>
    <cellStyle name="40% - Accent4 2 6 4" xfId="10036" xr:uid="{BD242B79-1D34-4D27-9D46-6231FF0A49AA}"/>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2" xr:uid="{AFFB59FF-0F0A-4F22-9255-69C773A88D67}"/>
    <cellStyle name="40% - Accent4 2 7 2 3" xfId="12594" xr:uid="{874CBAEA-4BD6-4108-9E5A-C07BAC76EEAE}"/>
    <cellStyle name="40% - Accent4 2 7 3" xfId="6231" xr:uid="{00000000-0005-0000-0000-0000EE050000}"/>
    <cellStyle name="40% - Accent4 2 7 3 2" xfId="14667" xr:uid="{16FD0717-1BE6-4710-BC43-5D0A72482013}"/>
    <cellStyle name="40% - Accent4 2 7 4" xfId="10449" xr:uid="{C391C72D-C43B-47B3-AEE1-7126D4B15C21}"/>
    <cellStyle name="40% - Accent4 2 8" xfId="2337" xr:uid="{00000000-0005-0000-0000-0000EF050000}"/>
    <cellStyle name="40% - Accent4 2 8 2" xfId="6644" xr:uid="{00000000-0005-0000-0000-0000F0050000}"/>
    <cellStyle name="40% - Accent4 2 8 2 2" xfId="15080" xr:uid="{B9CF349B-6145-4B51-B483-2B9F4A7E2149}"/>
    <cellStyle name="40% - Accent4 2 8 3" xfId="10862" xr:uid="{9B913217-1B56-46B1-9B60-61E7FADF7DCD}"/>
    <cellStyle name="40% - Accent4 2 9" xfId="4578" xr:uid="{00000000-0005-0000-0000-0000F1050000}"/>
    <cellStyle name="40% - Accent4 2 9 2" xfId="13014" xr:uid="{A7804975-1B04-4184-BB4A-8AF2E917E07A}"/>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78" xr:uid="{B178C4BC-F4F7-4525-AC0E-3AAD6F09262F}"/>
    <cellStyle name="40% - Accent4 3 2 2 2 3" xfId="11360" xr:uid="{AC4CD813-82C2-42B3-925D-3CE2A4EAB088}"/>
    <cellStyle name="40% - Accent4 3 2 2 3" xfId="4997" xr:uid="{00000000-0005-0000-0000-0000F7050000}"/>
    <cellStyle name="40% - Accent4 3 2 2 3 2" xfId="13433" xr:uid="{3C2AFE6E-0026-4F3F-B744-24EFF5C3566C}"/>
    <cellStyle name="40% - Accent4 3 2 2 4" xfId="9215" xr:uid="{202F0519-2D65-45B7-B2CF-EA085C4A59F8}"/>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1" xr:uid="{A9E88C32-5F8F-4C70-B273-3D50E506FFE9}"/>
    <cellStyle name="40% - Accent4 3 2 3 2 3" xfId="11773" xr:uid="{91032A5E-5C45-4A18-91D8-84B751E7B233}"/>
    <cellStyle name="40% - Accent4 3 2 3 3" xfId="5410" xr:uid="{00000000-0005-0000-0000-0000FB050000}"/>
    <cellStyle name="40% - Accent4 3 2 3 3 2" xfId="13846" xr:uid="{CD906ADB-39FB-4731-9C57-40128959AD5D}"/>
    <cellStyle name="40% - Accent4 3 2 3 4" xfId="9628" xr:uid="{BC20A85F-3435-4600-A2C0-226E334A2BAA}"/>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4" xr:uid="{3B3A85C6-53D2-400E-93FB-4F1CDC70441C}"/>
    <cellStyle name="40% - Accent4 3 2 4 2 3" xfId="12186" xr:uid="{8FFF4B01-480D-4667-BCEF-69C3A0068233}"/>
    <cellStyle name="40% - Accent4 3 2 4 3" xfId="5823" xr:uid="{00000000-0005-0000-0000-0000FF050000}"/>
    <cellStyle name="40% - Accent4 3 2 4 3 2" xfId="14259" xr:uid="{9A8BF7A4-AF15-4372-B8CF-416C5ADCC1ED}"/>
    <cellStyle name="40% - Accent4 3 2 4 4" xfId="10041" xr:uid="{632F80A1-97F7-447B-8414-A660B8A424C4}"/>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17" xr:uid="{AD73E8BC-E0A2-466C-AACB-45652B3851FE}"/>
    <cellStyle name="40% - Accent4 3 2 5 2 3" xfId="12599" xr:uid="{F156538C-B28F-44D3-AAEA-F78651EBCDCD}"/>
    <cellStyle name="40% - Accent4 3 2 5 3" xfId="6236" xr:uid="{00000000-0005-0000-0000-000003060000}"/>
    <cellStyle name="40% - Accent4 3 2 5 3 2" xfId="14672" xr:uid="{01F22383-5168-42CA-82D2-5C4E77B84376}"/>
    <cellStyle name="40% - Accent4 3 2 5 4" xfId="10454" xr:uid="{37E3581C-E346-4B3A-8BEE-BB41BD30C819}"/>
    <cellStyle name="40% - Accent4 3 2 6" xfId="2342" xr:uid="{00000000-0005-0000-0000-000004060000}"/>
    <cellStyle name="40% - Accent4 3 2 6 2" xfId="6649" xr:uid="{00000000-0005-0000-0000-000005060000}"/>
    <cellStyle name="40% - Accent4 3 2 6 2 2" xfId="15085" xr:uid="{3F1DBB82-0A3F-4F5C-9417-7DA665F3507C}"/>
    <cellStyle name="40% - Accent4 3 2 6 3" xfId="10867" xr:uid="{ADFFA7C8-70B9-46D0-B271-4B3C099C1FA5}"/>
    <cellStyle name="40% - Accent4 3 2 7" xfId="4583" xr:uid="{00000000-0005-0000-0000-000006060000}"/>
    <cellStyle name="40% - Accent4 3 2 7 2" xfId="13019" xr:uid="{65E5D16C-1B32-4630-ACAB-756CD85BC3B3}"/>
    <cellStyle name="40% - Accent4 3 2 8" xfId="8801" xr:uid="{8FFA19E3-2445-4D84-B0E1-21AE39BA862C}"/>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77" xr:uid="{3E9541AF-8B2B-485B-A1AF-A31D20CD0A80}"/>
    <cellStyle name="40% - Accent4 3 3 2 3" xfId="11359" xr:uid="{65A503E0-04E9-49E3-84C9-2533B0488121}"/>
    <cellStyle name="40% - Accent4 3 3 3" xfId="4996" xr:uid="{00000000-0005-0000-0000-00000A060000}"/>
    <cellStyle name="40% - Accent4 3 3 3 2" xfId="13432" xr:uid="{42EA7615-2E60-4227-8832-34D8FF10980A}"/>
    <cellStyle name="40% - Accent4 3 3 4" xfId="9214" xr:uid="{B536C3FD-390B-4F25-95CE-5C5F97F5AA2F}"/>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0" xr:uid="{D74CA5B4-2897-4B0D-BFBE-5C411A4F05CB}"/>
    <cellStyle name="40% - Accent4 3 4 2 3" xfId="11772" xr:uid="{8DA538F0-629E-4CF7-94C2-5AD8C96CD4D0}"/>
    <cellStyle name="40% - Accent4 3 4 3" xfId="5409" xr:uid="{00000000-0005-0000-0000-00000E060000}"/>
    <cellStyle name="40% - Accent4 3 4 3 2" xfId="13845" xr:uid="{D00B303C-C98E-42B9-B348-23C3EF857269}"/>
    <cellStyle name="40% - Accent4 3 4 4" xfId="9627" xr:uid="{59CCD0A8-1BFA-4835-A9F5-A25D5D270B5F}"/>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3" xr:uid="{3BB4CC22-B56E-49A7-9EC0-75D2EC979BB5}"/>
    <cellStyle name="40% - Accent4 3 5 2 3" xfId="12185" xr:uid="{150A3944-607A-4DB1-934B-00116586F607}"/>
    <cellStyle name="40% - Accent4 3 5 3" xfId="5822" xr:uid="{00000000-0005-0000-0000-000012060000}"/>
    <cellStyle name="40% - Accent4 3 5 3 2" xfId="14258" xr:uid="{4A7D8D52-AEB4-4438-B97A-9B00EA21697D}"/>
    <cellStyle name="40% - Accent4 3 5 4" xfId="10040" xr:uid="{995857A4-3B5B-4E52-8003-975333F0954C}"/>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6" xr:uid="{829FBDAD-96E3-42F0-BE9A-1444FE869D5B}"/>
    <cellStyle name="40% - Accent4 3 6 2 3" xfId="12598" xr:uid="{4EA9BB31-11CA-4EA4-AD85-83F48A561477}"/>
    <cellStyle name="40% - Accent4 3 6 3" xfId="6235" xr:uid="{00000000-0005-0000-0000-000016060000}"/>
    <cellStyle name="40% - Accent4 3 6 3 2" xfId="14671" xr:uid="{3E63D381-1A27-4CEB-8B00-30AF68456ACC}"/>
    <cellStyle name="40% - Accent4 3 6 4" xfId="10453" xr:uid="{15E00336-34B2-4C08-8A69-7015BE64200C}"/>
    <cellStyle name="40% - Accent4 3 7" xfId="2341" xr:uid="{00000000-0005-0000-0000-000017060000}"/>
    <cellStyle name="40% - Accent4 3 7 2" xfId="6648" xr:uid="{00000000-0005-0000-0000-000018060000}"/>
    <cellStyle name="40% - Accent4 3 7 2 2" xfId="15084" xr:uid="{5FDEC26B-E161-4A2B-B25B-B1A389796674}"/>
    <cellStyle name="40% - Accent4 3 7 3" xfId="10866" xr:uid="{718A2773-4575-4F80-889D-AFE9413F3499}"/>
    <cellStyle name="40% - Accent4 3 8" xfId="4582" xr:uid="{00000000-0005-0000-0000-000019060000}"/>
    <cellStyle name="40% - Accent4 3 8 2" xfId="13018" xr:uid="{B00EB3B1-B1CF-4B71-87EA-EF7C3D5D0E90}"/>
    <cellStyle name="40% - Accent4 3 9" xfId="8800" xr:uid="{CA5D5A20-751F-429C-8363-E3346179A20D}"/>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79" xr:uid="{BEF53A8D-61FB-4826-BB19-DA39330D81CA}"/>
    <cellStyle name="40% - Accent4 4 2 2 3" xfId="11361" xr:uid="{2C243F67-2F5D-496F-B9FB-E84C4D35C43B}"/>
    <cellStyle name="40% - Accent4 4 2 3" xfId="4998" xr:uid="{00000000-0005-0000-0000-00001E060000}"/>
    <cellStyle name="40% - Accent4 4 2 3 2" xfId="13434" xr:uid="{E7203F23-9862-4BF8-8836-B7BC23CD157C}"/>
    <cellStyle name="40% - Accent4 4 2 4" xfId="9216" xr:uid="{139A3550-29A6-4801-9108-0E4127B6EC95}"/>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2" xr:uid="{330E145E-1A63-45CD-8642-A733F9B6FD91}"/>
    <cellStyle name="40% - Accent4 4 3 2 3" xfId="11774" xr:uid="{04A1FD13-0800-4592-B572-EC4EED4E17F8}"/>
    <cellStyle name="40% - Accent4 4 3 3" xfId="5411" xr:uid="{00000000-0005-0000-0000-000022060000}"/>
    <cellStyle name="40% - Accent4 4 3 3 2" xfId="13847" xr:uid="{12EE6048-CC36-4A80-A222-FCE86F201E4C}"/>
    <cellStyle name="40% - Accent4 4 3 4" xfId="9629" xr:uid="{280A375B-6E10-45EE-ABB1-883DA5BD3755}"/>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5" xr:uid="{FF735972-668C-47EB-B614-0F37EEE177EB}"/>
    <cellStyle name="40% - Accent4 4 4 2 3" xfId="12187" xr:uid="{B409EA73-30AA-4482-BEEB-549D6FD3A7A1}"/>
    <cellStyle name="40% - Accent4 4 4 3" xfId="5824" xr:uid="{00000000-0005-0000-0000-000026060000}"/>
    <cellStyle name="40% - Accent4 4 4 3 2" xfId="14260" xr:uid="{4BCB15D0-0804-41FE-8BBE-B78C21FFD34C}"/>
    <cellStyle name="40% - Accent4 4 4 4" xfId="10042" xr:uid="{68DB68E7-E27B-477A-B5D6-82883BF0DDB8}"/>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18" xr:uid="{5907F1E1-E6D3-4B58-AB98-82BF1409C43B}"/>
    <cellStyle name="40% - Accent4 4 5 2 3" xfId="12600" xr:uid="{5F109E73-EB1F-4774-A972-2C1522DFAEFD}"/>
    <cellStyle name="40% - Accent4 4 5 3" xfId="6237" xr:uid="{00000000-0005-0000-0000-00002A060000}"/>
    <cellStyle name="40% - Accent4 4 5 3 2" xfId="14673" xr:uid="{C0254D06-CADB-4116-9C68-5F5ED7EAAE5A}"/>
    <cellStyle name="40% - Accent4 4 5 4" xfId="10455" xr:uid="{F889198B-7A95-4223-9D61-2928375013A6}"/>
    <cellStyle name="40% - Accent4 4 6" xfId="2343" xr:uid="{00000000-0005-0000-0000-00002B060000}"/>
    <cellStyle name="40% - Accent4 4 6 2" xfId="6650" xr:uid="{00000000-0005-0000-0000-00002C060000}"/>
    <cellStyle name="40% - Accent4 4 6 2 2" xfId="15086" xr:uid="{28D5830B-643C-401B-A056-637B87709667}"/>
    <cellStyle name="40% - Accent4 4 6 3" xfId="10868" xr:uid="{332941B5-B5CD-417D-B638-6475E270A3C6}"/>
    <cellStyle name="40% - Accent4 4 7" xfId="4584" xr:uid="{00000000-0005-0000-0000-00002D060000}"/>
    <cellStyle name="40% - Accent4 4 7 2" xfId="13020" xr:uid="{EB35D31D-DE8C-4025-A85F-BE913309F79D}"/>
    <cellStyle name="40% - Accent4 4 8" xfId="8802" xr:uid="{43557CEA-56F4-46B3-BF8B-D3203E3702CE}"/>
    <cellStyle name="40% - Accent4 5" xfId="642" xr:uid="{00000000-0005-0000-0000-00002E060000}"/>
    <cellStyle name="40% - Accent4 5 2" xfId="2913" xr:uid="{00000000-0005-0000-0000-00002F060000}"/>
    <cellStyle name="40% - Accent4 5 2 2" xfId="7136" xr:uid="{00000000-0005-0000-0000-000030060000}"/>
    <cellStyle name="40% - Accent4 5 2 2 2" xfId="15572" xr:uid="{9B5B9CC7-06F7-476D-AD7B-EC3C068AC0CE}"/>
    <cellStyle name="40% - Accent4 5 2 3" xfId="11354" xr:uid="{81754BCD-6F8B-4AF4-8B6C-C6E0FC49BA9A}"/>
    <cellStyle name="40% - Accent4 5 3" xfId="4991" xr:uid="{00000000-0005-0000-0000-000031060000}"/>
    <cellStyle name="40% - Accent4 5 3 2" xfId="13427" xr:uid="{DE552DFE-563A-4C3E-A215-F2E736136EA8}"/>
    <cellStyle name="40% - Accent4 5 4" xfId="9209" xr:uid="{B5601066-0A22-4EA4-85AC-A11D2F4D9092}"/>
    <cellStyle name="40% - Accent4 6" xfId="1095" xr:uid="{00000000-0005-0000-0000-000032060000}"/>
    <cellStyle name="40% - Accent4 6 2" xfId="3326" xr:uid="{00000000-0005-0000-0000-000033060000}"/>
    <cellStyle name="40% - Accent4 6 2 2" xfId="7549" xr:uid="{00000000-0005-0000-0000-000034060000}"/>
    <cellStyle name="40% - Accent4 6 2 2 2" xfId="15985" xr:uid="{8CFCC44C-5A6D-4E1A-B4E1-69FBC12F2FE8}"/>
    <cellStyle name="40% - Accent4 6 2 3" xfId="11767" xr:uid="{036673F4-7C2B-41CF-A6C5-612BEB8997EF}"/>
    <cellStyle name="40% - Accent4 6 3" xfId="5404" xr:uid="{00000000-0005-0000-0000-000035060000}"/>
    <cellStyle name="40% - Accent4 6 3 2" xfId="13840" xr:uid="{AC263758-E705-4F1D-8581-96CC654D777E}"/>
    <cellStyle name="40% - Accent4 6 4" xfId="9622" xr:uid="{1E9930A4-D7D9-4D85-8AEA-C3CE3B0A9922}"/>
    <cellStyle name="40% - Accent4 7" xfId="1509" xr:uid="{00000000-0005-0000-0000-000036060000}"/>
    <cellStyle name="40% - Accent4 7 2" xfId="3739" xr:uid="{00000000-0005-0000-0000-000037060000}"/>
    <cellStyle name="40% - Accent4 7 2 2" xfId="7962" xr:uid="{00000000-0005-0000-0000-000038060000}"/>
    <cellStyle name="40% - Accent4 7 2 2 2" xfId="16398" xr:uid="{0732C63A-EBB0-45C2-BC78-BC11DFFA5A77}"/>
    <cellStyle name="40% - Accent4 7 2 3" xfId="12180" xr:uid="{47436F29-4C4F-4AFB-A507-E9B49181F09D}"/>
    <cellStyle name="40% - Accent4 7 3" xfId="5817" xr:uid="{00000000-0005-0000-0000-000039060000}"/>
    <cellStyle name="40% - Accent4 7 3 2" xfId="14253" xr:uid="{71E7F3AD-D4C2-4CF7-9E90-340E3D3089AA}"/>
    <cellStyle name="40% - Accent4 7 4" xfId="10035" xr:uid="{983157B2-2331-42B4-8A12-9ECA540205F1}"/>
    <cellStyle name="40% - Accent4 8" xfId="1923" xr:uid="{00000000-0005-0000-0000-00003A060000}"/>
    <cellStyle name="40% - Accent4 8 2" xfId="4152" xr:uid="{00000000-0005-0000-0000-00003B060000}"/>
    <cellStyle name="40% - Accent4 8 2 2" xfId="8375" xr:uid="{00000000-0005-0000-0000-00003C060000}"/>
    <cellStyle name="40% - Accent4 8 2 2 2" xfId="16811" xr:uid="{632395CB-49FF-4290-A96B-CB07C7C4C75E}"/>
    <cellStyle name="40% - Accent4 8 2 3" xfId="12593" xr:uid="{B9EA14F9-5347-4210-961E-6D0E2366C06F}"/>
    <cellStyle name="40% - Accent4 8 3" xfId="6230" xr:uid="{00000000-0005-0000-0000-00003D060000}"/>
    <cellStyle name="40% - Accent4 8 3 2" xfId="14666" xr:uid="{CB52DEC2-8512-4C69-85CE-BE1A0B5D3FFA}"/>
    <cellStyle name="40% - Accent4 8 4" xfId="10448" xr:uid="{2AED7510-4FAA-4AFA-8D81-85C50E8CCD66}"/>
    <cellStyle name="40% - Accent4 9" xfId="2336" xr:uid="{00000000-0005-0000-0000-00003E060000}"/>
    <cellStyle name="40% - Accent4 9 2" xfId="6643" xr:uid="{00000000-0005-0000-0000-00003F060000}"/>
    <cellStyle name="40% - Accent4 9 2 2" xfId="15079" xr:uid="{C3013D8A-D3D1-4BD7-A85E-B92F48DE1AE9}"/>
    <cellStyle name="40% - Accent4 9 3" xfId="10861" xr:uid="{D16FB6A0-B0D8-4B7F-8DA5-C8CCCCCB9763}"/>
    <cellStyle name="40% - Accent5" xfId="81" builtinId="47" customBuiltin="1"/>
    <cellStyle name="40% - Accent5 10" xfId="4585" xr:uid="{00000000-0005-0000-0000-000041060000}"/>
    <cellStyle name="40% - Accent5 10 2" xfId="13021" xr:uid="{9328D12E-AD2D-4ADD-9625-BE5FDD9F43C2}"/>
    <cellStyle name="40% - Accent5 11" xfId="8803" xr:uid="{2931F85D-B784-4C22-B7B7-371B13F1A409}"/>
    <cellStyle name="40% - Accent5 2" xfId="82" xr:uid="{00000000-0005-0000-0000-000042060000}"/>
    <cellStyle name="40% - Accent5 2 10" xfId="8804" xr:uid="{6F403299-DCAF-47ED-AF0D-56B8924E46DC}"/>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3" xr:uid="{984F6B79-CF3D-4C9D-8941-E1ECDA03DF10}"/>
    <cellStyle name="40% - Accent5 2 2 2 2 2 3" xfId="11365" xr:uid="{B901CF76-3FCC-44E2-95E8-F7DD98B03F3C}"/>
    <cellStyle name="40% - Accent5 2 2 2 2 3" xfId="5002" xr:uid="{00000000-0005-0000-0000-000048060000}"/>
    <cellStyle name="40% - Accent5 2 2 2 2 3 2" xfId="13438" xr:uid="{C5E515AE-F2DF-40C9-A29D-304D7AFFC21B}"/>
    <cellStyle name="40% - Accent5 2 2 2 2 4" xfId="9220" xr:uid="{A4C01A95-7181-4B02-89F1-85004B8F8996}"/>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6" xr:uid="{11BEDB38-3B8A-4830-8BBA-F507AC127881}"/>
    <cellStyle name="40% - Accent5 2 2 2 3 2 3" xfId="11778" xr:uid="{FE1851FD-38D3-47CF-B41D-E3DDE1955637}"/>
    <cellStyle name="40% - Accent5 2 2 2 3 3" xfId="5415" xr:uid="{00000000-0005-0000-0000-00004C060000}"/>
    <cellStyle name="40% - Accent5 2 2 2 3 3 2" xfId="13851" xr:uid="{ECF0F488-CF4E-4808-8BD8-F720976A873C}"/>
    <cellStyle name="40% - Accent5 2 2 2 3 4" xfId="9633" xr:uid="{415CFF5E-B4A1-4FDE-BF90-80098EECBECE}"/>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09" xr:uid="{710851DC-53B2-4E5F-8F26-030734331545}"/>
    <cellStyle name="40% - Accent5 2 2 2 4 2 3" xfId="12191" xr:uid="{55527557-7216-4226-B5B5-8FCAC67596F0}"/>
    <cellStyle name="40% - Accent5 2 2 2 4 3" xfId="5828" xr:uid="{00000000-0005-0000-0000-000050060000}"/>
    <cellStyle name="40% - Accent5 2 2 2 4 3 2" xfId="14264" xr:uid="{1EC76152-DB59-4B16-BC08-FC48C580D78F}"/>
    <cellStyle name="40% - Accent5 2 2 2 4 4" xfId="10046" xr:uid="{E1492A64-DF43-4E2E-BA75-2948B5DE01E9}"/>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2" xr:uid="{067FF849-940F-4BF8-8521-6760983BC8DE}"/>
    <cellStyle name="40% - Accent5 2 2 2 5 2 3" xfId="12604" xr:uid="{F0CE8DFA-7715-4A5D-8A13-DBA58A6C5E44}"/>
    <cellStyle name="40% - Accent5 2 2 2 5 3" xfId="6241" xr:uid="{00000000-0005-0000-0000-000054060000}"/>
    <cellStyle name="40% - Accent5 2 2 2 5 3 2" xfId="14677" xr:uid="{5704315D-ED33-4F38-9EF9-247A31110CEB}"/>
    <cellStyle name="40% - Accent5 2 2 2 5 4" xfId="10459" xr:uid="{96BF489C-13B5-4965-8151-5F5920B6BDB1}"/>
    <cellStyle name="40% - Accent5 2 2 2 6" xfId="2347" xr:uid="{00000000-0005-0000-0000-000055060000}"/>
    <cellStyle name="40% - Accent5 2 2 2 6 2" xfId="6654" xr:uid="{00000000-0005-0000-0000-000056060000}"/>
    <cellStyle name="40% - Accent5 2 2 2 6 2 2" xfId="15090" xr:uid="{DE2A4898-F8D2-41AB-BFB8-95972D16FA55}"/>
    <cellStyle name="40% - Accent5 2 2 2 6 3" xfId="10872" xr:uid="{AC156441-F84D-4E12-9F4B-BEFE1F3CD62B}"/>
    <cellStyle name="40% - Accent5 2 2 2 7" xfId="4588" xr:uid="{00000000-0005-0000-0000-000057060000}"/>
    <cellStyle name="40% - Accent5 2 2 2 7 2" xfId="13024" xr:uid="{225D9869-EF16-4234-9451-1451F2BE382C}"/>
    <cellStyle name="40% - Accent5 2 2 2 8" xfId="8806" xr:uid="{97CDCD08-A96D-4E1F-A8F8-E1E509CC5E6A}"/>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2" xr:uid="{0A3B9458-BC77-4B65-99FA-ECF77E1F1530}"/>
    <cellStyle name="40% - Accent5 2 2 3 2 3" xfId="11364" xr:uid="{39C04BF7-1AF4-49A7-9F35-62561E5DB10E}"/>
    <cellStyle name="40% - Accent5 2 2 3 3" xfId="5001" xr:uid="{00000000-0005-0000-0000-00005B060000}"/>
    <cellStyle name="40% - Accent5 2 2 3 3 2" xfId="13437" xr:uid="{130D5F8D-EC58-4587-8412-FF8786012A1D}"/>
    <cellStyle name="40% - Accent5 2 2 3 4" xfId="9219" xr:uid="{D6B97754-2C6D-4206-AD06-F4595F9A0AC4}"/>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5" xr:uid="{83650C54-5BE1-446D-9CE1-51D042FE5C8A}"/>
    <cellStyle name="40% - Accent5 2 2 4 2 3" xfId="11777" xr:uid="{8D2C2499-2D0C-42F9-B762-483B2B3EAF9D}"/>
    <cellStyle name="40% - Accent5 2 2 4 3" xfId="5414" xr:uid="{00000000-0005-0000-0000-00005F060000}"/>
    <cellStyle name="40% - Accent5 2 2 4 3 2" xfId="13850" xr:uid="{2B4CB745-21C5-4BFE-AF6C-4A3A71F3BEDF}"/>
    <cellStyle name="40% - Accent5 2 2 4 4" xfId="9632" xr:uid="{47755674-4C9B-4E3A-8C64-58BDB9CACF72}"/>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08" xr:uid="{E267290D-EE40-474A-9776-220831D15FBF}"/>
    <cellStyle name="40% - Accent5 2 2 5 2 3" xfId="12190" xr:uid="{C9E8F239-A9BF-4D6C-9D00-247C47B2FFC5}"/>
    <cellStyle name="40% - Accent5 2 2 5 3" xfId="5827" xr:uid="{00000000-0005-0000-0000-000063060000}"/>
    <cellStyle name="40% - Accent5 2 2 5 3 2" xfId="14263" xr:uid="{BF624928-3F24-485A-BC6A-D9806A23DF60}"/>
    <cellStyle name="40% - Accent5 2 2 5 4" xfId="10045" xr:uid="{35C24926-F68D-4422-BA25-134907B0B180}"/>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1" xr:uid="{A6745986-2A09-4525-9429-826A3F2F93C3}"/>
    <cellStyle name="40% - Accent5 2 2 6 2 3" xfId="12603" xr:uid="{73C627B1-AEF7-4B3F-B452-2A67B98F562B}"/>
    <cellStyle name="40% - Accent5 2 2 6 3" xfId="6240" xr:uid="{00000000-0005-0000-0000-000067060000}"/>
    <cellStyle name="40% - Accent5 2 2 6 3 2" xfId="14676" xr:uid="{5B338A77-C07E-492A-9598-3F8648299D16}"/>
    <cellStyle name="40% - Accent5 2 2 6 4" xfId="10458" xr:uid="{BCCA406A-3D45-493D-B325-EE8B17305452}"/>
    <cellStyle name="40% - Accent5 2 2 7" xfId="2346" xr:uid="{00000000-0005-0000-0000-000068060000}"/>
    <cellStyle name="40% - Accent5 2 2 7 2" xfId="6653" xr:uid="{00000000-0005-0000-0000-000069060000}"/>
    <cellStyle name="40% - Accent5 2 2 7 2 2" xfId="15089" xr:uid="{4FD1CA15-3DC8-4B55-B3B6-06A0096BD610}"/>
    <cellStyle name="40% - Accent5 2 2 7 3" xfId="10871" xr:uid="{3CB129B2-9E3B-4DB5-8716-09BEF980A099}"/>
    <cellStyle name="40% - Accent5 2 2 8" xfId="4587" xr:uid="{00000000-0005-0000-0000-00006A060000}"/>
    <cellStyle name="40% - Accent5 2 2 8 2" xfId="13023" xr:uid="{F62567DC-7A59-4352-8257-CFBD508D5DDE}"/>
    <cellStyle name="40% - Accent5 2 2 9" xfId="8805" xr:uid="{7082B33E-201F-4AD3-8299-B2249A928A23}"/>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4" xr:uid="{B1A4F250-36BB-45EA-B48E-3589B88000E5}"/>
    <cellStyle name="40% - Accent5 2 3 2 2 3" xfId="11366" xr:uid="{FFAF12F0-0704-496A-A382-F83002479A42}"/>
    <cellStyle name="40% - Accent5 2 3 2 3" xfId="5003" xr:uid="{00000000-0005-0000-0000-00006F060000}"/>
    <cellStyle name="40% - Accent5 2 3 2 3 2" xfId="13439" xr:uid="{3CAF49C9-64B8-4700-8EC3-DC6E00636CEF}"/>
    <cellStyle name="40% - Accent5 2 3 2 4" xfId="9221" xr:uid="{200A46D0-561B-48F9-B50A-CE8364BF5959}"/>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5997" xr:uid="{3FA0DF44-1DA5-4F12-A3FE-2DBAC0192EED}"/>
    <cellStyle name="40% - Accent5 2 3 3 2 3" xfId="11779" xr:uid="{4773023B-D9F4-47C9-BBCE-AF4252C4C3AD}"/>
    <cellStyle name="40% - Accent5 2 3 3 3" xfId="5416" xr:uid="{00000000-0005-0000-0000-000073060000}"/>
    <cellStyle name="40% - Accent5 2 3 3 3 2" xfId="13852" xr:uid="{469B9FC4-A09A-4A3D-B8D8-49E814F4258E}"/>
    <cellStyle name="40% - Accent5 2 3 3 4" xfId="9634" xr:uid="{488686F9-1F90-4DBD-BCBF-A4AE3CBD34A2}"/>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0" xr:uid="{AC4526CB-903C-4DBB-91CF-A11CF244FA97}"/>
    <cellStyle name="40% - Accent5 2 3 4 2 3" xfId="12192" xr:uid="{F82D56C0-0C03-4314-8D0E-A77E01ECBC3A}"/>
    <cellStyle name="40% - Accent5 2 3 4 3" xfId="5829" xr:uid="{00000000-0005-0000-0000-000077060000}"/>
    <cellStyle name="40% - Accent5 2 3 4 3 2" xfId="14265" xr:uid="{D74043D1-E87F-4A97-B74D-7873B4F421CC}"/>
    <cellStyle name="40% - Accent5 2 3 4 4" xfId="10047" xr:uid="{DDE6CE8A-25B7-4624-8116-97BFE2F9A473}"/>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3" xr:uid="{2243DF3D-2D7D-4D3A-A815-51F892807972}"/>
    <cellStyle name="40% - Accent5 2 3 5 2 3" xfId="12605" xr:uid="{BB3C810E-B013-40C5-B9CB-5C7F1B1E0A9D}"/>
    <cellStyle name="40% - Accent5 2 3 5 3" xfId="6242" xr:uid="{00000000-0005-0000-0000-00007B060000}"/>
    <cellStyle name="40% - Accent5 2 3 5 3 2" xfId="14678" xr:uid="{7996FF7B-1D49-41DE-8BF7-E7321CA8EAB7}"/>
    <cellStyle name="40% - Accent5 2 3 5 4" xfId="10460" xr:uid="{EC7EAA89-172C-4CF1-94FF-EA6EBEF2535C}"/>
    <cellStyle name="40% - Accent5 2 3 6" xfId="2348" xr:uid="{00000000-0005-0000-0000-00007C060000}"/>
    <cellStyle name="40% - Accent5 2 3 6 2" xfId="6655" xr:uid="{00000000-0005-0000-0000-00007D060000}"/>
    <cellStyle name="40% - Accent5 2 3 6 2 2" xfId="15091" xr:uid="{9971EE8A-4FA4-4F6C-B012-7A0D7EE8E1D1}"/>
    <cellStyle name="40% - Accent5 2 3 6 3" xfId="10873" xr:uid="{72E1CFE7-FD5A-4818-BD3C-E91367F1A053}"/>
    <cellStyle name="40% - Accent5 2 3 7" xfId="4589" xr:uid="{00000000-0005-0000-0000-00007E060000}"/>
    <cellStyle name="40% - Accent5 2 3 7 2" xfId="13025" xr:uid="{F7D81167-6108-4FD0-8686-9598E2189322}"/>
    <cellStyle name="40% - Accent5 2 3 8" xfId="8807" xr:uid="{4132194E-BC35-4D59-8F04-DFB65D8AC879}"/>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1" xr:uid="{25DE92DE-AE46-4D4E-965B-EB8635D37282}"/>
    <cellStyle name="40% - Accent5 2 4 2 3" xfId="11363" xr:uid="{CE5D2A1B-B187-4D50-AA35-0D5B8A105151}"/>
    <cellStyle name="40% - Accent5 2 4 3" xfId="5000" xr:uid="{00000000-0005-0000-0000-000082060000}"/>
    <cellStyle name="40% - Accent5 2 4 3 2" xfId="13436" xr:uid="{D057D0AC-9D6A-4F0A-A081-6A7F69B0F7D6}"/>
    <cellStyle name="40% - Accent5 2 4 4" xfId="9218" xr:uid="{73C07519-1E3C-4FC7-8518-5CB07ED22D8B}"/>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4" xr:uid="{E27AEEBC-6851-43AA-81DD-1713D5CA6EFE}"/>
    <cellStyle name="40% - Accent5 2 5 2 3" xfId="11776" xr:uid="{64D6FA20-03E2-4A7D-80F8-1B8EE1E9FD33}"/>
    <cellStyle name="40% - Accent5 2 5 3" xfId="5413" xr:uid="{00000000-0005-0000-0000-000086060000}"/>
    <cellStyle name="40% - Accent5 2 5 3 2" xfId="13849" xr:uid="{9E8ED2EE-2D29-42D9-B8B2-19058E4DB4AA}"/>
    <cellStyle name="40% - Accent5 2 5 4" xfId="9631" xr:uid="{01482A30-8D01-491E-A550-6B2697240FE7}"/>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07" xr:uid="{9A1C53C7-8301-4D00-B07C-EB9CFCE31C7E}"/>
    <cellStyle name="40% - Accent5 2 6 2 3" xfId="12189" xr:uid="{84086175-D1CD-47A0-9990-CE3C391C98CD}"/>
    <cellStyle name="40% - Accent5 2 6 3" xfId="5826" xr:uid="{00000000-0005-0000-0000-00008A060000}"/>
    <cellStyle name="40% - Accent5 2 6 3 2" xfId="14262" xr:uid="{21E09FC2-CA51-45DF-9CD3-57471F8D40E1}"/>
    <cellStyle name="40% - Accent5 2 6 4" xfId="10044" xr:uid="{14CC71AA-39BD-4153-9A85-7195954DC5BF}"/>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0" xr:uid="{90240189-0847-4845-B2E1-7556FE7D034B}"/>
    <cellStyle name="40% - Accent5 2 7 2 3" xfId="12602" xr:uid="{EEA8EE9F-1F44-480E-BB46-9FE5E0DB82D1}"/>
    <cellStyle name="40% - Accent5 2 7 3" xfId="6239" xr:uid="{00000000-0005-0000-0000-00008E060000}"/>
    <cellStyle name="40% - Accent5 2 7 3 2" xfId="14675" xr:uid="{2D070800-71FF-42D6-A7FC-07A71D65A21B}"/>
    <cellStyle name="40% - Accent5 2 7 4" xfId="10457" xr:uid="{05C6FE00-9C28-4ECC-AA3D-F9C1268949AA}"/>
    <cellStyle name="40% - Accent5 2 8" xfId="2345" xr:uid="{00000000-0005-0000-0000-00008F060000}"/>
    <cellStyle name="40% - Accent5 2 8 2" xfId="6652" xr:uid="{00000000-0005-0000-0000-000090060000}"/>
    <cellStyle name="40% - Accent5 2 8 2 2" xfId="15088" xr:uid="{2EDF77BE-FE0F-4C24-B3B0-65EFD2E566FC}"/>
    <cellStyle name="40% - Accent5 2 8 3" xfId="10870" xr:uid="{8C33905F-5512-4D16-8A7E-B168E37F83E7}"/>
    <cellStyle name="40% - Accent5 2 9" xfId="4586" xr:uid="{00000000-0005-0000-0000-000091060000}"/>
    <cellStyle name="40% - Accent5 2 9 2" xfId="13022" xr:uid="{6ABC4B96-AA27-48D6-99C7-144A305C63BD}"/>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6" xr:uid="{503DBE67-14BA-400E-947C-33072AAA9B4C}"/>
    <cellStyle name="40% - Accent5 3 2 2 2 3" xfId="11368" xr:uid="{AE684F6D-5166-4F6B-81E5-0ED8FFD402F5}"/>
    <cellStyle name="40% - Accent5 3 2 2 3" xfId="5005" xr:uid="{00000000-0005-0000-0000-000097060000}"/>
    <cellStyle name="40% - Accent5 3 2 2 3 2" xfId="13441" xr:uid="{33796188-D876-4024-B48F-F0C8EDACC060}"/>
    <cellStyle name="40% - Accent5 3 2 2 4" xfId="9223" xr:uid="{E65E88B2-4E04-4E07-8B9E-20CC5E9EDAAC}"/>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5999" xr:uid="{1575441F-7CEB-48C2-94AA-4EF81F94FC67}"/>
    <cellStyle name="40% - Accent5 3 2 3 2 3" xfId="11781" xr:uid="{775F46F3-66DA-4207-924D-1F01B156CDED}"/>
    <cellStyle name="40% - Accent5 3 2 3 3" xfId="5418" xr:uid="{00000000-0005-0000-0000-00009B060000}"/>
    <cellStyle name="40% - Accent5 3 2 3 3 2" xfId="13854" xr:uid="{EC28B4DB-3DA2-4E7F-AB4E-8FF968888508}"/>
    <cellStyle name="40% - Accent5 3 2 3 4" xfId="9636" xr:uid="{61850E7E-1339-49AB-A6AA-6D44F2298F7F}"/>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2" xr:uid="{EE18C648-2176-4512-990A-348CABD04619}"/>
    <cellStyle name="40% - Accent5 3 2 4 2 3" xfId="12194" xr:uid="{E692D338-AA7F-4A16-B3E1-9044E3790194}"/>
    <cellStyle name="40% - Accent5 3 2 4 3" xfId="5831" xr:uid="{00000000-0005-0000-0000-00009F060000}"/>
    <cellStyle name="40% - Accent5 3 2 4 3 2" xfId="14267" xr:uid="{A706D037-91D0-4EAA-A7B9-C514ABC5903F}"/>
    <cellStyle name="40% - Accent5 3 2 4 4" xfId="10049" xr:uid="{493860AE-249E-48D4-B739-BF2CD465F637}"/>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5" xr:uid="{A3E41996-9A26-41AB-B4BD-2938E233808A}"/>
    <cellStyle name="40% - Accent5 3 2 5 2 3" xfId="12607" xr:uid="{AE26F917-0D78-4AA2-93C2-B5B19C6E32DB}"/>
    <cellStyle name="40% - Accent5 3 2 5 3" xfId="6244" xr:uid="{00000000-0005-0000-0000-0000A3060000}"/>
    <cellStyle name="40% - Accent5 3 2 5 3 2" xfId="14680" xr:uid="{35718AE6-F3ED-4AFC-A3FE-4FCEFF7CA972}"/>
    <cellStyle name="40% - Accent5 3 2 5 4" xfId="10462" xr:uid="{2242BC46-4E0E-4A64-A8B3-20EE78C475AA}"/>
    <cellStyle name="40% - Accent5 3 2 6" xfId="2350" xr:uid="{00000000-0005-0000-0000-0000A4060000}"/>
    <cellStyle name="40% - Accent5 3 2 6 2" xfId="6657" xr:uid="{00000000-0005-0000-0000-0000A5060000}"/>
    <cellStyle name="40% - Accent5 3 2 6 2 2" xfId="15093" xr:uid="{422FA193-B8DC-4824-97C8-86DDA2A9F866}"/>
    <cellStyle name="40% - Accent5 3 2 6 3" xfId="10875" xr:uid="{3BE7208A-BEF7-4AAC-871C-265D6F9F16E3}"/>
    <cellStyle name="40% - Accent5 3 2 7" xfId="4591" xr:uid="{00000000-0005-0000-0000-0000A6060000}"/>
    <cellStyle name="40% - Accent5 3 2 7 2" xfId="13027" xr:uid="{E78C85A9-1A23-454D-9F75-7585FC176353}"/>
    <cellStyle name="40% - Accent5 3 2 8" xfId="8809" xr:uid="{1AAAF1C4-F5AF-43A1-96AC-0C4B3E6E672E}"/>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5" xr:uid="{BA53B502-4569-4C82-A01C-BB6901BCD7DA}"/>
    <cellStyle name="40% - Accent5 3 3 2 3" xfId="11367" xr:uid="{BC195D27-9B3D-4768-A1DB-3D18DAB10237}"/>
    <cellStyle name="40% - Accent5 3 3 3" xfId="5004" xr:uid="{00000000-0005-0000-0000-0000AA060000}"/>
    <cellStyle name="40% - Accent5 3 3 3 2" xfId="13440" xr:uid="{1C475C18-A156-4A6A-8A03-E84BEDD2864D}"/>
    <cellStyle name="40% - Accent5 3 3 4" xfId="9222" xr:uid="{AD917AF7-A69F-47DC-BE42-19202AF82405}"/>
    <cellStyle name="40% - Accent5 3 4" xfId="1108" xr:uid="{00000000-0005-0000-0000-0000AB060000}"/>
    <cellStyle name="40% - Accent5 3 4 2" xfId="3339" xr:uid="{00000000-0005-0000-0000-0000AC060000}"/>
    <cellStyle name="40% - Accent5 3 4 2 2" xfId="7562" xr:uid="{00000000-0005-0000-0000-0000AD060000}"/>
    <cellStyle name="40% - Accent5 3 4 2 2 2" xfId="15998" xr:uid="{158167B4-293C-461D-8D54-339F246B4BEF}"/>
    <cellStyle name="40% - Accent5 3 4 2 3" xfId="11780" xr:uid="{D7DE105C-F98C-4509-9E95-25092C1D4658}"/>
    <cellStyle name="40% - Accent5 3 4 3" xfId="5417" xr:uid="{00000000-0005-0000-0000-0000AE060000}"/>
    <cellStyle name="40% - Accent5 3 4 3 2" xfId="13853" xr:uid="{9407BE8A-2545-482D-80FE-C023483380BC}"/>
    <cellStyle name="40% - Accent5 3 4 4" xfId="9635" xr:uid="{B750F4F4-4F6E-4857-BFA4-FE0AB5B22186}"/>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1" xr:uid="{5AC0E0D0-9BB1-42B7-BE61-49CEA88FA481}"/>
    <cellStyle name="40% - Accent5 3 5 2 3" xfId="12193" xr:uid="{0F81347E-9C93-4974-8BB5-9E962A4CC9C7}"/>
    <cellStyle name="40% - Accent5 3 5 3" xfId="5830" xr:uid="{00000000-0005-0000-0000-0000B2060000}"/>
    <cellStyle name="40% - Accent5 3 5 3 2" xfId="14266" xr:uid="{6A44FD01-1A3F-4466-8F03-E942DA522BD7}"/>
    <cellStyle name="40% - Accent5 3 5 4" xfId="10048" xr:uid="{1AC3F717-36B6-46AE-8086-BCB043B15635}"/>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4" xr:uid="{6DBC68D3-FDB8-4CC0-8D38-6C14338F92A8}"/>
    <cellStyle name="40% - Accent5 3 6 2 3" xfId="12606" xr:uid="{64977319-AE46-4B91-AA39-1BC4ED50F406}"/>
    <cellStyle name="40% - Accent5 3 6 3" xfId="6243" xr:uid="{00000000-0005-0000-0000-0000B6060000}"/>
    <cellStyle name="40% - Accent5 3 6 3 2" xfId="14679" xr:uid="{5E45E2F3-2572-4A59-88A1-669D2B9AC1B7}"/>
    <cellStyle name="40% - Accent5 3 6 4" xfId="10461" xr:uid="{C10B9C58-19E8-4AD1-927F-7C56C5223DE6}"/>
    <cellStyle name="40% - Accent5 3 7" xfId="2349" xr:uid="{00000000-0005-0000-0000-0000B7060000}"/>
    <cellStyle name="40% - Accent5 3 7 2" xfId="6656" xr:uid="{00000000-0005-0000-0000-0000B8060000}"/>
    <cellStyle name="40% - Accent5 3 7 2 2" xfId="15092" xr:uid="{12BCFA40-A4F2-4396-93A7-74871C521236}"/>
    <cellStyle name="40% - Accent5 3 7 3" xfId="10874" xr:uid="{2832D1CA-4304-48A9-AAF1-CA2D7C8A1EC0}"/>
    <cellStyle name="40% - Accent5 3 8" xfId="4590" xr:uid="{00000000-0005-0000-0000-0000B9060000}"/>
    <cellStyle name="40% - Accent5 3 8 2" xfId="13026" xr:uid="{5488B9FB-1003-4DD6-8059-E1BC11787A38}"/>
    <cellStyle name="40% - Accent5 3 9" xfId="8808" xr:uid="{ABB30A88-E906-4196-90C3-4472D9A914FD}"/>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87" xr:uid="{0AFEF221-0D40-4700-AAFF-06EA3BD9A056}"/>
    <cellStyle name="40% - Accent5 4 2 2 3" xfId="11369" xr:uid="{5F579B94-22B0-4156-BC81-98876D238C80}"/>
    <cellStyle name="40% - Accent5 4 2 3" xfId="5006" xr:uid="{00000000-0005-0000-0000-0000BE060000}"/>
    <cellStyle name="40% - Accent5 4 2 3 2" xfId="13442" xr:uid="{7051D5C9-CF1C-42A2-A827-D614D9B32249}"/>
    <cellStyle name="40% - Accent5 4 2 4" xfId="9224" xr:uid="{189126AC-8EE9-425B-AB11-B263B89FF9FA}"/>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0" xr:uid="{74F386E3-41CA-4141-A4E8-0FF8337E086A}"/>
    <cellStyle name="40% - Accent5 4 3 2 3" xfId="11782" xr:uid="{6AAB6568-E7B0-45B0-80B1-079D2E08763F}"/>
    <cellStyle name="40% - Accent5 4 3 3" xfId="5419" xr:uid="{00000000-0005-0000-0000-0000C2060000}"/>
    <cellStyle name="40% - Accent5 4 3 3 2" xfId="13855" xr:uid="{DBB45AA5-FD1D-4A2B-A8CF-3D122ADB59CE}"/>
    <cellStyle name="40% - Accent5 4 3 4" xfId="9637" xr:uid="{DC84CCF4-1DEC-46F3-82B9-6FA2A0342E06}"/>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3" xr:uid="{6349ED60-7C15-40CF-A685-B17366146F50}"/>
    <cellStyle name="40% - Accent5 4 4 2 3" xfId="12195" xr:uid="{DD3C8B44-1EB8-4AE2-B311-5127DCC52EC0}"/>
    <cellStyle name="40% - Accent5 4 4 3" xfId="5832" xr:uid="{00000000-0005-0000-0000-0000C6060000}"/>
    <cellStyle name="40% - Accent5 4 4 3 2" xfId="14268" xr:uid="{C6BEA22F-B6A2-48DE-9BA7-E02856DB1301}"/>
    <cellStyle name="40% - Accent5 4 4 4" xfId="10050" xr:uid="{A79CB810-AE8E-4D2E-9424-7599CA29E36B}"/>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6" xr:uid="{D3DBE660-6F7F-49D5-B186-A5AAC9951FD4}"/>
    <cellStyle name="40% - Accent5 4 5 2 3" xfId="12608" xr:uid="{CE0C5A47-6FCE-46EB-9095-17BCAF5302F8}"/>
    <cellStyle name="40% - Accent5 4 5 3" xfId="6245" xr:uid="{00000000-0005-0000-0000-0000CA060000}"/>
    <cellStyle name="40% - Accent5 4 5 3 2" xfId="14681" xr:uid="{1D6E03C5-7DA7-4850-BA65-B96530A5BFB2}"/>
    <cellStyle name="40% - Accent5 4 5 4" xfId="10463" xr:uid="{0F9C66BA-A122-4830-AACF-AE2791D25D80}"/>
    <cellStyle name="40% - Accent5 4 6" xfId="2351" xr:uid="{00000000-0005-0000-0000-0000CB060000}"/>
    <cellStyle name="40% - Accent5 4 6 2" xfId="6658" xr:uid="{00000000-0005-0000-0000-0000CC060000}"/>
    <cellStyle name="40% - Accent5 4 6 2 2" xfId="15094" xr:uid="{D8864E24-38A5-469D-BE96-88D80D6AA18B}"/>
    <cellStyle name="40% - Accent5 4 6 3" xfId="10876" xr:uid="{5D0BC2C5-A1D7-4629-B4E7-F882EB78243A}"/>
    <cellStyle name="40% - Accent5 4 7" xfId="4592" xr:uid="{00000000-0005-0000-0000-0000CD060000}"/>
    <cellStyle name="40% - Accent5 4 7 2" xfId="13028" xr:uid="{D6058F07-F73D-4B8D-9C35-00ECC0F9BFD9}"/>
    <cellStyle name="40% - Accent5 4 8" xfId="8810" xr:uid="{A6BC0BDB-3D40-4DE6-B94A-4E6DC938DFDF}"/>
    <cellStyle name="40% - Accent5 5" xfId="650" xr:uid="{00000000-0005-0000-0000-0000CE060000}"/>
    <cellStyle name="40% - Accent5 5 2" xfId="2921" xr:uid="{00000000-0005-0000-0000-0000CF060000}"/>
    <cellStyle name="40% - Accent5 5 2 2" xfId="7144" xr:uid="{00000000-0005-0000-0000-0000D0060000}"/>
    <cellStyle name="40% - Accent5 5 2 2 2" xfId="15580" xr:uid="{52FCBBB2-5C17-45ED-8E86-3E5B647CD10C}"/>
    <cellStyle name="40% - Accent5 5 2 3" xfId="11362" xr:uid="{D9007DE6-453F-4485-92B5-88F21CD1850E}"/>
    <cellStyle name="40% - Accent5 5 3" xfId="4999" xr:uid="{00000000-0005-0000-0000-0000D1060000}"/>
    <cellStyle name="40% - Accent5 5 3 2" xfId="13435" xr:uid="{2409891F-FDA3-41A6-A709-8BA28E5757B3}"/>
    <cellStyle name="40% - Accent5 5 4" xfId="9217" xr:uid="{3A86627D-A5ED-4697-A593-D323094B8A00}"/>
    <cellStyle name="40% - Accent5 6" xfId="1103" xr:uid="{00000000-0005-0000-0000-0000D2060000}"/>
    <cellStyle name="40% - Accent5 6 2" xfId="3334" xr:uid="{00000000-0005-0000-0000-0000D3060000}"/>
    <cellStyle name="40% - Accent5 6 2 2" xfId="7557" xr:uid="{00000000-0005-0000-0000-0000D4060000}"/>
    <cellStyle name="40% - Accent5 6 2 2 2" xfId="15993" xr:uid="{43279581-C5DF-41DE-B359-CE064F1AB1A4}"/>
    <cellStyle name="40% - Accent5 6 2 3" xfId="11775" xr:uid="{D8D6590D-543E-4350-AE87-57FB70272A66}"/>
    <cellStyle name="40% - Accent5 6 3" xfId="5412" xr:uid="{00000000-0005-0000-0000-0000D5060000}"/>
    <cellStyle name="40% - Accent5 6 3 2" xfId="13848" xr:uid="{E833F3EE-6FF1-442F-A493-161FFCA72EDC}"/>
    <cellStyle name="40% - Accent5 6 4" xfId="9630" xr:uid="{5FED398A-C113-49AF-BFE1-7B9AF531C3D8}"/>
    <cellStyle name="40% - Accent5 7" xfId="1517" xr:uid="{00000000-0005-0000-0000-0000D6060000}"/>
    <cellStyle name="40% - Accent5 7 2" xfId="3747" xr:uid="{00000000-0005-0000-0000-0000D7060000}"/>
    <cellStyle name="40% - Accent5 7 2 2" xfId="7970" xr:uid="{00000000-0005-0000-0000-0000D8060000}"/>
    <cellStyle name="40% - Accent5 7 2 2 2" xfId="16406" xr:uid="{78406D02-41AE-408F-A9BF-C4905B818037}"/>
    <cellStyle name="40% - Accent5 7 2 3" xfId="12188" xr:uid="{0309E133-EAEA-48EC-9089-216C2926F15C}"/>
    <cellStyle name="40% - Accent5 7 3" xfId="5825" xr:uid="{00000000-0005-0000-0000-0000D9060000}"/>
    <cellStyle name="40% - Accent5 7 3 2" xfId="14261" xr:uid="{6EDF280B-C7F0-4524-BBFD-6B05D5841CB5}"/>
    <cellStyle name="40% - Accent5 7 4" xfId="10043" xr:uid="{7497AE82-5DEA-40C7-9EB0-9374760D3217}"/>
    <cellStyle name="40% - Accent5 8" xfId="1931" xr:uid="{00000000-0005-0000-0000-0000DA060000}"/>
    <cellStyle name="40% - Accent5 8 2" xfId="4160" xr:uid="{00000000-0005-0000-0000-0000DB060000}"/>
    <cellStyle name="40% - Accent5 8 2 2" xfId="8383" xr:uid="{00000000-0005-0000-0000-0000DC060000}"/>
    <cellStyle name="40% - Accent5 8 2 2 2" xfId="16819" xr:uid="{1C086ADC-970A-4C34-8F7B-0EC3434B4958}"/>
    <cellStyle name="40% - Accent5 8 2 3" xfId="12601" xr:uid="{CDE07747-DC63-45C8-98EB-A722E48ED862}"/>
    <cellStyle name="40% - Accent5 8 3" xfId="6238" xr:uid="{00000000-0005-0000-0000-0000DD060000}"/>
    <cellStyle name="40% - Accent5 8 3 2" xfId="14674" xr:uid="{07A70F31-F1FF-4AD9-8DDF-77726415DFF0}"/>
    <cellStyle name="40% - Accent5 8 4" xfId="10456" xr:uid="{BBB59279-781A-469A-8BB8-B21F2E94BCB8}"/>
    <cellStyle name="40% - Accent5 9" xfId="2344" xr:uid="{00000000-0005-0000-0000-0000DE060000}"/>
    <cellStyle name="40% - Accent5 9 2" xfId="6651" xr:uid="{00000000-0005-0000-0000-0000DF060000}"/>
    <cellStyle name="40% - Accent5 9 2 2" xfId="15087" xr:uid="{E7FAAAC7-A0A5-4397-AC2E-CF5F501B81C0}"/>
    <cellStyle name="40% - Accent5 9 3" xfId="10869" xr:uid="{1EC612A9-AA9C-4B67-BDA7-FE9BE4128AA2}"/>
    <cellStyle name="40% - Accent6" xfId="89" builtinId="51" customBuiltin="1"/>
    <cellStyle name="40% - Accent6 10" xfId="4593" xr:uid="{00000000-0005-0000-0000-0000E1060000}"/>
    <cellStyle name="40% - Accent6 10 2" xfId="13029" xr:uid="{FC6D6C3C-4AE7-478A-A3B1-08D982909491}"/>
    <cellStyle name="40% - Accent6 11" xfId="8811" xr:uid="{0F7CAAA1-8DC2-4576-8F20-52EC29A96DB0}"/>
    <cellStyle name="40% - Accent6 2" xfId="90" xr:uid="{00000000-0005-0000-0000-0000E2060000}"/>
    <cellStyle name="40% - Accent6 2 10" xfId="8812" xr:uid="{89F161BE-906A-4A1B-B354-527409116F43}"/>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1" xr:uid="{F1EE4B36-959D-4FFD-AB92-9C3034168DF6}"/>
    <cellStyle name="40% - Accent6 2 2 2 2 2 3" xfId="11373" xr:uid="{22AF576C-03A8-4633-A176-A82F0C740C2F}"/>
    <cellStyle name="40% - Accent6 2 2 2 2 3" xfId="5010" xr:uid="{00000000-0005-0000-0000-0000E8060000}"/>
    <cellStyle name="40% - Accent6 2 2 2 2 3 2" xfId="13446" xr:uid="{94837F77-8B19-4FF0-A597-14E00CBABCB4}"/>
    <cellStyle name="40% - Accent6 2 2 2 2 4" xfId="9228" xr:uid="{54CDA12D-6BE3-420A-B80F-E660A20AAA8D}"/>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4" xr:uid="{F2AFDBAC-3913-4BF1-AD56-21DC5ACC38F4}"/>
    <cellStyle name="40% - Accent6 2 2 2 3 2 3" xfId="11786" xr:uid="{78AD63EE-CF12-489B-B20B-50455D8A712F}"/>
    <cellStyle name="40% - Accent6 2 2 2 3 3" xfId="5423" xr:uid="{00000000-0005-0000-0000-0000EC060000}"/>
    <cellStyle name="40% - Accent6 2 2 2 3 3 2" xfId="13859" xr:uid="{17D238FF-C26B-4016-8F7E-6AB43911B2FA}"/>
    <cellStyle name="40% - Accent6 2 2 2 3 4" xfId="9641" xr:uid="{CA9A9204-66DB-4B64-B22C-F5311B19D133}"/>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17" xr:uid="{C8DA9F80-9413-46FC-B2F1-BC4A85B2B505}"/>
    <cellStyle name="40% - Accent6 2 2 2 4 2 3" xfId="12199" xr:uid="{A7F254E4-2830-4555-9190-63B2AB5AEF75}"/>
    <cellStyle name="40% - Accent6 2 2 2 4 3" xfId="5836" xr:uid="{00000000-0005-0000-0000-0000F0060000}"/>
    <cellStyle name="40% - Accent6 2 2 2 4 3 2" xfId="14272" xr:uid="{E7E14A67-EDF3-4B5D-8262-8DEC49E4E8A9}"/>
    <cellStyle name="40% - Accent6 2 2 2 4 4" xfId="10054" xr:uid="{CE5BA14E-571D-45E7-B7B2-A7CBFA22058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0" xr:uid="{43716FE9-8980-404E-BC88-3D6D2B840C73}"/>
    <cellStyle name="40% - Accent6 2 2 2 5 2 3" xfId="12612" xr:uid="{9BC4A8BA-C7BD-4C68-BF27-0469CF71D3F0}"/>
    <cellStyle name="40% - Accent6 2 2 2 5 3" xfId="6249" xr:uid="{00000000-0005-0000-0000-0000F4060000}"/>
    <cellStyle name="40% - Accent6 2 2 2 5 3 2" xfId="14685" xr:uid="{2CEC1720-875E-49A5-B7CA-488F3152C510}"/>
    <cellStyle name="40% - Accent6 2 2 2 5 4" xfId="10467" xr:uid="{90DCCE73-2B84-4DCF-A9F9-AD46B3899B3D}"/>
    <cellStyle name="40% - Accent6 2 2 2 6" xfId="2355" xr:uid="{00000000-0005-0000-0000-0000F5060000}"/>
    <cellStyle name="40% - Accent6 2 2 2 6 2" xfId="6662" xr:uid="{00000000-0005-0000-0000-0000F6060000}"/>
    <cellStyle name="40% - Accent6 2 2 2 6 2 2" xfId="15098" xr:uid="{0D586AA9-4BCC-4182-B455-75C5F532B889}"/>
    <cellStyle name="40% - Accent6 2 2 2 6 3" xfId="10880" xr:uid="{3A4BE2B9-FD88-4255-A7B1-28DB01EB6E21}"/>
    <cellStyle name="40% - Accent6 2 2 2 7" xfId="4596" xr:uid="{00000000-0005-0000-0000-0000F7060000}"/>
    <cellStyle name="40% - Accent6 2 2 2 7 2" xfId="13032" xr:uid="{7FDF8AD3-4078-4725-ADC2-A70E60EC112B}"/>
    <cellStyle name="40% - Accent6 2 2 2 8" xfId="8814" xr:uid="{DC05E895-A5F3-46D7-A5E0-501A0D378177}"/>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0" xr:uid="{1CF0AB83-A626-4283-98D4-C24B5437E370}"/>
    <cellStyle name="40% - Accent6 2 2 3 2 3" xfId="11372" xr:uid="{E111B11E-CB50-47FD-9FB7-6EBB08D61E43}"/>
    <cellStyle name="40% - Accent6 2 2 3 3" xfId="5009" xr:uid="{00000000-0005-0000-0000-0000FB060000}"/>
    <cellStyle name="40% - Accent6 2 2 3 3 2" xfId="13445" xr:uid="{2986C719-C5CA-4883-A8CB-8D9070055150}"/>
    <cellStyle name="40% - Accent6 2 2 3 4" xfId="9227" xr:uid="{C38D68FA-3BE1-4CE7-A943-8F855A4D0893}"/>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3" xr:uid="{A844B025-94F7-4742-ACE0-9E425109354B}"/>
    <cellStyle name="40% - Accent6 2 2 4 2 3" xfId="11785" xr:uid="{78FEE454-127C-4403-A8F1-3E95E13EC909}"/>
    <cellStyle name="40% - Accent6 2 2 4 3" xfId="5422" xr:uid="{00000000-0005-0000-0000-0000FF060000}"/>
    <cellStyle name="40% - Accent6 2 2 4 3 2" xfId="13858" xr:uid="{CED2B180-9A2F-4B90-B2E5-DC25345A185B}"/>
    <cellStyle name="40% - Accent6 2 2 4 4" xfId="9640" xr:uid="{38C69959-0B44-44B3-85EC-003493B655BC}"/>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6" xr:uid="{81DDC06C-2593-43FC-B8A8-81EBB7D48CD7}"/>
    <cellStyle name="40% - Accent6 2 2 5 2 3" xfId="12198" xr:uid="{39A68DB4-3B65-4B8B-AD26-4FD1FE44548C}"/>
    <cellStyle name="40% - Accent6 2 2 5 3" xfId="5835" xr:uid="{00000000-0005-0000-0000-000003070000}"/>
    <cellStyle name="40% - Accent6 2 2 5 3 2" xfId="14271" xr:uid="{9F57BA25-BD96-4CA0-9B66-8E82EA155249}"/>
    <cellStyle name="40% - Accent6 2 2 5 4" xfId="10053" xr:uid="{0B974120-38FC-4862-BDE8-DD8CB672DBB9}"/>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29" xr:uid="{E1078E28-4AF8-4380-BB4B-000E8C09F1C2}"/>
    <cellStyle name="40% - Accent6 2 2 6 2 3" xfId="12611" xr:uid="{1E310322-6956-4494-A85F-8CE102970583}"/>
    <cellStyle name="40% - Accent6 2 2 6 3" xfId="6248" xr:uid="{00000000-0005-0000-0000-000007070000}"/>
    <cellStyle name="40% - Accent6 2 2 6 3 2" xfId="14684" xr:uid="{732DF2BC-ACC1-4177-BABD-21B4DC7B8AC3}"/>
    <cellStyle name="40% - Accent6 2 2 6 4" xfId="10466" xr:uid="{2F8B99F1-416C-4B18-86C3-E444D6FF8C0E}"/>
    <cellStyle name="40% - Accent6 2 2 7" xfId="2354" xr:uid="{00000000-0005-0000-0000-000008070000}"/>
    <cellStyle name="40% - Accent6 2 2 7 2" xfId="6661" xr:uid="{00000000-0005-0000-0000-000009070000}"/>
    <cellStyle name="40% - Accent6 2 2 7 2 2" xfId="15097" xr:uid="{92318072-F963-4CEB-A0C3-F26EF0FDF565}"/>
    <cellStyle name="40% - Accent6 2 2 7 3" xfId="10879" xr:uid="{76D728E6-6EAB-44C3-A8C3-8C8AA8D09E1B}"/>
    <cellStyle name="40% - Accent6 2 2 8" xfId="4595" xr:uid="{00000000-0005-0000-0000-00000A070000}"/>
    <cellStyle name="40% - Accent6 2 2 8 2" xfId="13031" xr:uid="{432ADA76-5D85-4C04-BF9B-E747C33C8D8B}"/>
    <cellStyle name="40% - Accent6 2 2 9" xfId="8813" xr:uid="{FCD8AA49-EFA6-40CD-B908-29B195AAEAAB}"/>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2" xr:uid="{29ED2A96-1671-4350-B037-3EB10F1FDD89}"/>
    <cellStyle name="40% - Accent6 2 3 2 2 3" xfId="11374" xr:uid="{18274574-C3B1-422E-BA3E-73C7A0D89A8D}"/>
    <cellStyle name="40% - Accent6 2 3 2 3" xfId="5011" xr:uid="{00000000-0005-0000-0000-00000F070000}"/>
    <cellStyle name="40% - Accent6 2 3 2 3 2" xfId="13447" xr:uid="{D9F82742-56C9-4369-9506-4B306BADF5D2}"/>
    <cellStyle name="40% - Accent6 2 3 2 4" xfId="9229" xr:uid="{E26D7888-2AFA-4977-9E99-F42CA429C208}"/>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5" xr:uid="{AFE48FEE-FFA4-455D-838E-6A26847E9C0A}"/>
    <cellStyle name="40% - Accent6 2 3 3 2 3" xfId="11787" xr:uid="{13C61625-AAAA-4D8F-B472-78AA6820BD00}"/>
    <cellStyle name="40% - Accent6 2 3 3 3" xfId="5424" xr:uid="{00000000-0005-0000-0000-000013070000}"/>
    <cellStyle name="40% - Accent6 2 3 3 3 2" xfId="13860" xr:uid="{A0DEC1BB-94A5-4DB9-B4A6-184DB09EABD7}"/>
    <cellStyle name="40% - Accent6 2 3 3 4" xfId="9642" xr:uid="{13FA3EF2-A40A-411B-B394-9E69152EE9B4}"/>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18" xr:uid="{B215CE8F-79F2-4AB2-83FE-703EBBFCDD0B}"/>
    <cellStyle name="40% - Accent6 2 3 4 2 3" xfId="12200" xr:uid="{57C3411A-410A-4603-AF07-739E30390B7A}"/>
    <cellStyle name="40% - Accent6 2 3 4 3" xfId="5837" xr:uid="{00000000-0005-0000-0000-000017070000}"/>
    <cellStyle name="40% - Accent6 2 3 4 3 2" xfId="14273" xr:uid="{6805F9FB-B8B3-4696-9550-060393F6940A}"/>
    <cellStyle name="40% - Accent6 2 3 4 4" xfId="10055" xr:uid="{A5CC0C2E-E484-413C-8A56-B5B6CE5ED9B9}"/>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1" xr:uid="{A94A7621-EE0A-40B9-8F72-A1EDD60D4239}"/>
    <cellStyle name="40% - Accent6 2 3 5 2 3" xfId="12613" xr:uid="{F695A82C-1EDC-4543-8C18-8B4EA3AE4EB9}"/>
    <cellStyle name="40% - Accent6 2 3 5 3" xfId="6250" xr:uid="{00000000-0005-0000-0000-00001B070000}"/>
    <cellStyle name="40% - Accent6 2 3 5 3 2" xfId="14686" xr:uid="{D864AC59-8305-4225-80B5-8250270F6741}"/>
    <cellStyle name="40% - Accent6 2 3 5 4" xfId="10468" xr:uid="{D3FBF9DF-F065-47AE-B5ED-FB5CC189C7E2}"/>
    <cellStyle name="40% - Accent6 2 3 6" xfId="2356" xr:uid="{00000000-0005-0000-0000-00001C070000}"/>
    <cellStyle name="40% - Accent6 2 3 6 2" xfId="6663" xr:uid="{00000000-0005-0000-0000-00001D070000}"/>
    <cellStyle name="40% - Accent6 2 3 6 2 2" xfId="15099" xr:uid="{08401231-6A2F-4B77-9E21-B523B931CFDC}"/>
    <cellStyle name="40% - Accent6 2 3 6 3" xfId="10881" xr:uid="{27048C9E-0364-4EE9-96C0-1554DDC254EF}"/>
    <cellStyle name="40% - Accent6 2 3 7" xfId="4597" xr:uid="{00000000-0005-0000-0000-00001E070000}"/>
    <cellStyle name="40% - Accent6 2 3 7 2" xfId="13033" xr:uid="{2022A2B0-519E-4D62-B590-0F064F07F441}"/>
    <cellStyle name="40% - Accent6 2 3 8" xfId="8815" xr:uid="{7DF1F1BF-2A2F-4499-8494-68707B15265D}"/>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89" xr:uid="{05A4C7D4-5674-4C40-97FD-1F382C16BF31}"/>
    <cellStyle name="40% - Accent6 2 4 2 3" xfId="11371" xr:uid="{51C3F67D-1176-4C04-A15D-5AA8C381D868}"/>
    <cellStyle name="40% - Accent6 2 4 3" xfId="5008" xr:uid="{00000000-0005-0000-0000-000022070000}"/>
    <cellStyle name="40% - Accent6 2 4 3 2" xfId="13444" xr:uid="{C45781D4-3ECE-4C84-9BFE-114D396254CE}"/>
    <cellStyle name="40% - Accent6 2 4 4" xfId="9226" xr:uid="{D7447AC3-A8D0-4A9E-AB3F-0B09008AB7FF}"/>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2" xr:uid="{AC15C02A-022C-416A-A4D0-088C288734A4}"/>
    <cellStyle name="40% - Accent6 2 5 2 3" xfId="11784" xr:uid="{A1DD7995-4FA1-4243-B49D-DADE4B55E430}"/>
    <cellStyle name="40% - Accent6 2 5 3" xfId="5421" xr:uid="{00000000-0005-0000-0000-000026070000}"/>
    <cellStyle name="40% - Accent6 2 5 3 2" xfId="13857" xr:uid="{1EB138D8-A9D0-4BD2-BD67-0A3ADFFDB9E4}"/>
    <cellStyle name="40% - Accent6 2 5 4" xfId="9639" xr:uid="{BA1DE334-843D-4F5C-9B35-3AD6A8B01EA6}"/>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5" xr:uid="{315D91E4-1147-451B-9040-622DB7A77374}"/>
    <cellStyle name="40% - Accent6 2 6 2 3" xfId="12197" xr:uid="{44E02AC6-43AA-4FB4-9831-5ACC8733AAFE}"/>
    <cellStyle name="40% - Accent6 2 6 3" xfId="5834" xr:uid="{00000000-0005-0000-0000-00002A070000}"/>
    <cellStyle name="40% - Accent6 2 6 3 2" xfId="14270" xr:uid="{09984C1C-1D99-4134-8B12-F9F8A0B8093E}"/>
    <cellStyle name="40% - Accent6 2 6 4" xfId="10052" xr:uid="{F86053A2-7996-45D7-B87D-A6949F7B67EF}"/>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28" xr:uid="{B5C33B0D-21C2-4BB0-BA3D-979723154A16}"/>
    <cellStyle name="40% - Accent6 2 7 2 3" xfId="12610" xr:uid="{04E8E62A-7183-4DC8-B8AE-B38DA0805480}"/>
    <cellStyle name="40% - Accent6 2 7 3" xfId="6247" xr:uid="{00000000-0005-0000-0000-00002E070000}"/>
    <cellStyle name="40% - Accent6 2 7 3 2" xfId="14683" xr:uid="{4518846C-AFE3-4660-A061-BE8D7D231D68}"/>
    <cellStyle name="40% - Accent6 2 7 4" xfId="10465" xr:uid="{8B2EB284-66CB-458E-8673-845426D1A989}"/>
    <cellStyle name="40% - Accent6 2 8" xfId="2353" xr:uid="{00000000-0005-0000-0000-00002F070000}"/>
    <cellStyle name="40% - Accent6 2 8 2" xfId="6660" xr:uid="{00000000-0005-0000-0000-000030070000}"/>
    <cellStyle name="40% - Accent6 2 8 2 2" xfId="15096" xr:uid="{7DD988DE-2007-41F6-B9AA-82941D013898}"/>
    <cellStyle name="40% - Accent6 2 8 3" xfId="10878" xr:uid="{483536F2-972B-4067-8A1B-82D44B57D5ED}"/>
    <cellStyle name="40% - Accent6 2 9" xfId="4594" xr:uid="{00000000-0005-0000-0000-000031070000}"/>
    <cellStyle name="40% - Accent6 2 9 2" xfId="13030" xr:uid="{F087D781-B8F5-4906-985D-8A2D6D1906D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4" xr:uid="{E1471379-E539-4EE9-8CDF-A581B1D74A12}"/>
    <cellStyle name="40% - Accent6 3 2 2 2 3" xfId="11376" xr:uid="{0807DCD3-93E3-4775-9E9A-A08593D46CCE}"/>
    <cellStyle name="40% - Accent6 3 2 2 3" xfId="5013" xr:uid="{00000000-0005-0000-0000-000037070000}"/>
    <cellStyle name="40% - Accent6 3 2 2 3 2" xfId="13449" xr:uid="{0A09DB13-3BD4-4E5F-9DFC-40E2F2DB0ADA}"/>
    <cellStyle name="40% - Accent6 3 2 2 4" xfId="9231" xr:uid="{77C71A20-7FC5-43DD-8E2E-7E3F5AC089DF}"/>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07" xr:uid="{DB7D7A90-1577-426D-8427-6F8115130BB4}"/>
    <cellStyle name="40% - Accent6 3 2 3 2 3" xfId="11789" xr:uid="{E92581A9-AA07-40A8-A3CE-EB8E75248D1F}"/>
    <cellStyle name="40% - Accent6 3 2 3 3" xfId="5426" xr:uid="{00000000-0005-0000-0000-00003B070000}"/>
    <cellStyle name="40% - Accent6 3 2 3 3 2" xfId="13862" xr:uid="{7A5586F0-C7FF-4D59-B753-1BFF6AD8BA57}"/>
    <cellStyle name="40% - Accent6 3 2 3 4" xfId="9644" xr:uid="{E67AF339-168C-4C10-8510-BBA030456B2E}"/>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0" xr:uid="{70C9923E-E1AC-4E9A-9F1D-479D70B71FAD}"/>
    <cellStyle name="40% - Accent6 3 2 4 2 3" xfId="12202" xr:uid="{60E64BCE-6C35-4466-8B69-A5F4EA936BA1}"/>
    <cellStyle name="40% - Accent6 3 2 4 3" xfId="5839" xr:uid="{00000000-0005-0000-0000-00003F070000}"/>
    <cellStyle name="40% - Accent6 3 2 4 3 2" xfId="14275" xr:uid="{28424D7C-2799-4355-98F0-1D35080FCA48}"/>
    <cellStyle name="40% - Accent6 3 2 4 4" xfId="10057" xr:uid="{4855551E-A1C8-45A6-8BFC-8B3912CB29A5}"/>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3" xr:uid="{79890CD5-3EB3-4786-9A99-9C5BA2E643CD}"/>
    <cellStyle name="40% - Accent6 3 2 5 2 3" xfId="12615" xr:uid="{A5F0C67B-3A8C-4C1E-A865-D6EE2DE91E91}"/>
    <cellStyle name="40% - Accent6 3 2 5 3" xfId="6252" xr:uid="{00000000-0005-0000-0000-000043070000}"/>
    <cellStyle name="40% - Accent6 3 2 5 3 2" xfId="14688" xr:uid="{2EB315C0-8252-4D57-8676-8C3DF3A2FB98}"/>
    <cellStyle name="40% - Accent6 3 2 5 4" xfId="10470" xr:uid="{79C8F624-45AC-4846-A4C7-FDAD999F7D49}"/>
    <cellStyle name="40% - Accent6 3 2 6" xfId="2358" xr:uid="{00000000-0005-0000-0000-000044070000}"/>
    <cellStyle name="40% - Accent6 3 2 6 2" xfId="6665" xr:uid="{00000000-0005-0000-0000-000045070000}"/>
    <cellStyle name="40% - Accent6 3 2 6 2 2" xfId="15101" xr:uid="{BC7F5894-0B69-445D-A0A2-BB4877B8E224}"/>
    <cellStyle name="40% - Accent6 3 2 6 3" xfId="10883" xr:uid="{B9495D8F-DBB9-4CF8-A4A5-45F108A30921}"/>
    <cellStyle name="40% - Accent6 3 2 7" xfId="4599" xr:uid="{00000000-0005-0000-0000-000046070000}"/>
    <cellStyle name="40% - Accent6 3 2 7 2" xfId="13035" xr:uid="{C8F15BB0-5ACB-4441-83D1-91DCE7AD84A7}"/>
    <cellStyle name="40% - Accent6 3 2 8" xfId="8817" xr:uid="{35DCFF15-FD8F-4476-8BF2-0E861BA9639F}"/>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3" xr:uid="{2D1A8A3D-9815-48F6-BB76-0B4C8DF266AA}"/>
    <cellStyle name="40% - Accent6 3 3 2 3" xfId="11375" xr:uid="{60F62FF9-5764-4B4E-B3C1-DA50240467CD}"/>
    <cellStyle name="40% - Accent6 3 3 3" xfId="5012" xr:uid="{00000000-0005-0000-0000-00004A070000}"/>
    <cellStyle name="40% - Accent6 3 3 3 2" xfId="13448" xr:uid="{0848EA68-264B-41CA-900F-E1DD86A2A9E0}"/>
    <cellStyle name="40% - Accent6 3 3 4" xfId="9230" xr:uid="{E85EEF33-76F7-4C12-9241-D52C3F6C89D7}"/>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6" xr:uid="{8B5B1575-CC80-404C-A9AB-B496368CF23A}"/>
    <cellStyle name="40% - Accent6 3 4 2 3" xfId="11788" xr:uid="{DDA67CEF-B3EF-4C7B-B1A5-DB6A3966CC9B}"/>
    <cellStyle name="40% - Accent6 3 4 3" xfId="5425" xr:uid="{00000000-0005-0000-0000-00004E070000}"/>
    <cellStyle name="40% - Accent6 3 4 3 2" xfId="13861" xr:uid="{7C53ED51-03D6-46FF-B04C-CBB1653A2556}"/>
    <cellStyle name="40% - Accent6 3 4 4" xfId="9643" xr:uid="{77A28415-FFE1-4ABE-A4BE-1FFCFDCC2090}"/>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19" xr:uid="{8DA862E3-D666-4091-8ABF-4466531A9440}"/>
    <cellStyle name="40% - Accent6 3 5 2 3" xfId="12201" xr:uid="{5E5B9778-F007-40FA-9EA5-F408978D42C2}"/>
    <cellStyle name="40% - Accent6 3 5 3" xfId="5838" xr:uid="{00000000-0005-0000-0000-000052070000}"/>
    <cellStyle name="40% - Accent6 3 5 3 2" xfId="14274" xr:uid="{CF6A6BA5-6CCF-4418-9136-11534ACE9F1F}"/>
    <cellStyle name="40% - Accent6 3 5 4" xfId="10056" xr:uid="{C19DB4FF-8901-428B-9D1A-0129EBE062AB}"/>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2" xr:uid="{056696CE-6D57-4959-8F28-401C11CD6B8A}"/>
    <cellStyle name="40% - Accent6 3 6 2 3" xfId="12614" xr:uid="{6F4716B6-8AF0-4A59-80A3-34625E2A8A27}"/>
    <cellStyle name="40% - Accent6 3 6 3" xfId="6251" xr:uid="{00000000-0005-0000-0000-000056070000}"/>
    <cellStyle name="40% - Accent6 3 6 3 2" xfId="14687" xr:uid="{7C3619E1-EA43-4640-A587-E45516F80A18}"/>
    <cellStyle name="40% - Accent6 3 6 4" xfId="10469" xr:uid="{59EA450A-7A33-4982-BA4B-A0DFE2A8F823}"/>
    <cellStyle name="40% - Accent6 3 7" xfId="2357" xr:uid="{00000000-0005-0000-0000-000057070000}"/>
    <cellStyle name="40% - Accent6 3 7 2" xfId="6664" xr:uid="{00000000-0005-0000-0000-000058070000}"/>
    <cellStyle name="40% - Accent6 3 7 2 2" xfId="15100" xr:uid="{1FBBAB25-D1A7-4AE1-97E6-E7DBFC4AB2D1}"/>
    <cellStyle name="40% - Accent6 3 7 3" xfId="10882" xr:uid="{5B245318-C48A-4064-A9D2-D331E998DF5C}"/>
    <cellStyle name="40% - Accent6 3 8" xfId="4598" xr:uid="{00000000-0005-0000-0000-000059070000}"/>
    <cellStyle name="40% - Accent6 3 8 2" xfId="13034" xr:uid="{2E59B0A7-5130-4E09-B2D1-25BDE006CDE7}"/>
    <cellStyle name="40% - Accent6 3 9" xfId="8816" xr:uid="{7FF7E8C8-1B75-497F-9B4C-FF52D4E8F61A}"/>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5" xr:uid="{816495CA-C6EC-4CFC-A220-029B93CDFA55}"/>
    <cellStyle name="40% - Accent6 4 2 2 3" xfId="11377" xr:uid="{C4271D34-8C1A-466F-9D1A-9449BD79BCE2}"/>
    <cellStyle name="40% - Accent6 4 2 3" xfId="5014" xr:uid="{00000000-0005-0000-0000-00005E070000}"/>
    <cellStyle name="40% - Accent6 4 2 3 2" xfId="13450" xr:uid="{0E2C86C8-2724-465E-BCE8-05288F792C8F}"/>
    <cellStyle name="40% - Accent6 4 2 4" xfId="9232" xr:uid="{8D0A6CC3-9A68-4F42-9468-5ADD9E09975D}"/>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08" xr:uid="{9216EF80-01A2-41AA-94D3-1A735C657224}"/>
    <cellStyle name="40% - Accent6 4 3 2 3" xfId="11790" xr:uid="{7B7544C3-2A2A-4367-8B73-A76468683BE7}"/>
    <cellStyle name="40% - Accent6 4 3 3" xfId="5427" xr:uid="{00000000-0005-0000-0000-000062070000}"/>
    <cellStyle name="40% - Accent6 4 3 3 2" xfId="13863" xr:uid="{A79F5D94-AFC8-45F7-9D7A-4AC72513935F}"/>
    <cellStyle name="40% - Accent6 4 3 4" xfId="9645" xr:uid="{2B0642DB-5F53-450D-84C2-DA94DB880602}"/>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1" xr:uid="{B3E86EDA-39F5-4C46-A02C-0B85532971C0}"/>
    <cellStyle name="40% - Accent6 4 4 2 3" xfId="12203" xr:uid="{75C0EF1A-6C86-4C88-AD09-70CDC9648B9F}"/>
    <cellStyle name="40% - Accent6 4 4 3" xfId="5840" xr:uid="{00000000-0005-0000-0000-000066070000}"/>
    <cellStyle name="40% - Accent6 4 4 3 2" xfId="14276" xr:uid="{BC73DFC8-AE9E-4E59-8D8F-1F82A72F3EE7}"/>
    <cellStyle name="40% - Accent6 4 4 4" xfId="10058" xr:uid="{9AD97A54-4D50-4560-A1DA-FBD1E848FFF4}"/>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4" xr:uid="{E868D549-2958-429D-98CB-2A4B5A918027}"/>
    <cellStyle name="40% - Accent6 4 5 2 3" xfId="12616" xr:uid="{7D477D58-7B62-4847-8DA3-E36D48E616A6}"/>
    <cellStyle name="40% - Accent6 4 5 3" xfId="6253" xr:uid="{00000000-0005-0000-0000-00006A070000}"/>
    <cellStyle name="40% - Accent6 4 5 3 2" xfId="14689" xr:uid="{E6D24EC8-E842-4717-8A21-BE790BB97948}"/>
    <cellStyle name="40% - Accent6 4 5 4" xfId="10471" xr:uid="{44B5CA28-05F0-4740-A99E-12B7958B7083}"/>
    <cellStyle name="40% - Accent6 4 6" xfId="2359" xr:uid="{00000000-0005-0000-0000-00006B070000}"/>
    <cellStyle name="40% - Accent6 4 6 2" xfId="6666" xr:uid="{00000000-0005-0000-0000-00006C070000}"/>
    <cellStyle name="40% - Accent6 4 6 2 2" xfId="15102" xr:uid="{A25B0204-0FB0-41A6-B6EC-1E01B76F90E8}"/>
    <cellStyle name="40% - Accent6 4 6 3" xfId="10884" xr:uid="{182B039F-A826-430B-A1EC-AA3462FD81A0}"/>
    <cellStyle name="40% - Accent6 4 7" xfId="4600" xr:uid="{00000000-0005-0000-0000-00006D070000}"/>
    <cellStyle name="40% - Accent6 4 7 2" xfId="13036" xr:uid="{24D8D2EC-E7A1-4AB4-9B77-555E1F573405}"/>
    <cellStyle name="40% - Accent6 4 8" xfId="8818" xr:uid="{82A1B257-4502-42F5-9DE2-AFAD4D61A162}"/>
    <cellStyle name="40% - Accent6 5" xfId="658" xr:uid="{00000000-0005-0000-0000-00006E070000}"/>
    <cellStyle name="40% - Accent6 5 2" xfId="2929" xr:uid="{00000000-0005-0000-0000-00006F070000}"/>
    <cellStyle name="40% - Accent6 5 2 2" xfId="7152" xr:uid="{00000000-0005-0000-0000-000070070000}"/>
    <cellStyle name="40% - Accent6 5 2 2 2" xfId="15588" xr:uid="{60D17622-6697-4F0A-9ACD-A4757E511A33}"/>
    <cellStyle name="40% - Accent6 5 2 3" xfId="11370" xr:uid="{DEB5C55D-C870-42C0-B9A0-EAEDBC338C52}"/>
    <cellStyle name="40% - Accent6 5 3" xfId="5007" xr:uid="{00000000-0005-0000-0000-000071070000}"/>
    <cellStyle name="40% - Accent6 5 3 2" xfId="13443" xr:uid="{65A5A83F-9E89-4CA1-ABB4-DED950AC5F84}"/>
    <cellStyle name="40% - Accent6 5 4" xfId="9225" xr:uid="{2A1177AF-4BD0-45A2-B03F-99D5FDD92962}"/>
    <cellStyle name="40% - Accent6 6" xfId="1111" xr:uid="{00000000-0005-0000-0000-000072070000}"/>
    <cellStyle name="40% - Accent6 6 2" xfId="3342" xr:uid="{00000000-0005-0000-0000-000073070000}"/>
    <cellStyle name="40% - Accent6 6 2 2" xfId="7565" xr:uid="{00000000-0005-0000-0000-000074070000}"/>
    <cellStyle name="40% - Accent6 6 2 2 2" xfId="16001" xr:uid="{5E6A7434-9131-4341-91A6-49AFAA2DD65D}"/>
    <cellStyle name="40% - Accent6 6 2 3" xfId="11783" xr:uid="{9BB99DBC-9973-4F67-9316-A47EC2A39198}"/>
    <cellStyle name="40% - Accent6 6 3" xfId="5420" xr:uid="{00000000-0005-0000-0000-000075070000}"/>
    <cellStyle name="40% - Accent6 6 3 2" xfId="13856" xr:uid="{DEA937B0-A2A9-4E24-AE98-4191E2C85B7E}"/>
    <cellStyle name="40% - Accent6 6 4" xfId="9638" xr:uid="{0C6805B6-93E2-49FC-8D8B-BA70ED63C1B2}"/>
    <cellStyle name="40% - Accent6 7" xfId="1525" xr:uid="{00000000-0005-0000-0000-000076070000}"/>
    <cellStyle name="40% - Accent6 7 2" xfId="3755" xr:uid="{00000000-0005-0000-0000-000077070000}"/>
    <cellStyle name="40% - Accent6 7 2 2" xfId="7978" xr:uid="{00000000-0005-0000-0000-000078070000}"/>
    <cellStyle name="40% - Accent6 7 2 2 2" xfId="16414" xr:uid="{326AC934-1F64-4142-87C0-2B35B82C4C04}"/>
    <cellStyle name="40% - Accent6 7 2 3" xfId="12196" xr:uid="{48897BA0-9E66-44B2-94B1-B766F2A18A1D}"/>
    <cellStyle name="40% - Accent6 7 3" xfId="5833" xr:uid="{00000000-0005-0000-0000-000079070000}"/>
    <cellStyle name="40% - Accent6 7 3 2" xfId="14269" xr:uid="{95605660-D6DD-4DEF-ABBA-8C2B1ED69F4D}"/>
    <cellStyle name="40% - Accent6 7 4" xfId="10051" xr:uid="{A542A45D-2F51-4769-8AE1-380EF7E5B05D}"/>
    <cellStyle name="40% - Accent6 8" xfId="1939" xr:uid="{00000000-0005-0000-0000-00007A070000}"/>
    <cellStyle name="40% - Accent6 8 2" xfId="4168" xr:uid="{00000000-0005-0000-0000-00007B070000}"/>
    <cellStyle name="40% - Accent6 8 2 2" xfId="8391" xr:uid="{00000000-0005-0000-0000-00007C070000}"/>
    <cellStyle name="40% - Accent6 8 2 2 2" xfId="16827" xr:uid="{3A82E13C-CBFC-4A56-9B48-B4E5A004C0C7}"/>
    <cellStyle name="40% - Accent6 8 2 3" xfId="12609" xr:uid="{F863558D-BA46-4298-A0DB-A965E5ED0F88}"/>
    <cellStyle name="40% - Accent6 8 3" xfId="6246" xr:uid="{00000000-0005-0000-0000-00007D070000}"/>
    <cellStyle name="40% - Accent6 8 3 2" xfId="14682" xr:uid="{D9B95020-1E61-4607-8BE9-0A9D5F306905}"/>
    <cellStyle name="40% - Accent6 8 4" xfId="10464" xr:uid="{5AC36EAB-84E0-446C-B36D-3927AB8EECB1}"/>
    <cellStyle name="40% - Accent6 9" xfId="2352" xr:uid="{00000000-0005-0000-0000-00007E070000}"/>
    <cellStyle name="40% - Accent6 9 2" xfId="6659" xr:uid="{00000000-0005-0000-0000-00007F070000}"/>
    <cellStyle name="40% - Accent6 9 2 2" xfId="15095" xr:uid="{E09A1A38-8D41-481D-90B9-B97FF100F22A}"/>
    <cellStyle name="40% - Accent6 9 3" xfId="10877" xr:uid="{924E4FC3-EDB1-4E1F-B63D-F5F465C66B79}"/>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0" xr:uid="{AFB90C7E-C69E-485F-9D29-693E02EE48F8}"/>
    <cellStyle name="Comma 4 2 2 2 10 3" xfId="11202" xr:uid="{AC6F3567-9EC6-492F-8980-E78E161F2EB9}"/>
    <cellStyle name="Comma 4 2 2 2 11" xfId="4601" xr:uid="{00000000-0005-0000-0000-0000A3070000}"/>
    <cellStyle name="Comma 4 2 2 2 11 2" xfId="13037" xr:uid="{48B43DED-6C3C-4EBB-B196-A2A8BC395E7D}"/>
    <cellStyle name="Comma 4 2 2 2 12" xfId="8819" xr:uid="{54F782B8-6160-4B1C-A89C-6B0F678260EF}"/>
    <cellStyle name="Comma 4 2 2 2 2" xfId="129" xr:uid="{00000000-0005-0000-0000-0000A4070000}"/>
    <cellStyle name="Comma 4 2 2 2 2 10" xfId="4602" xr:uid="{00000000-0005-0000-0000-0000A5070000}"/>
    <cellStyle name="Comma 4 2 2 2 2 10 2" xfId="13038" xr:uid="{BBC58172-9CF0-4FD8-A6EC-9AD36AB0FB32}"/>
    <cellStyle name="Comma 4 2 2 2 2 11" xfId="8820" xr:uid="{CE8621F8-E73D-444D-B092-8B5C77F2491E}"/>
    <cellStyle name="Comma 4 2 2 2 2 2" xfId="130" xr:uid="{00000000-0005-0000-0000-0000A6070000}"/>
    <cellStyle name="Comma 4 2 2 2 2 2 10" xfId="8821" xr:uid="{C347BC56-6B07-498D-9C27-B96BC5B8247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598" xr:uid="{855844FE-92AC-4428-96B9-6FE6A72F9979}"/>
    <cellStyle name="Comma 4 2 2 2 2 2 2 2 3" xfId="11380" xr:uid="{4BFC59B5-5825-4489-A609-BE3F37C02C03}"/>
    <cellStyle name="Comma 4 2 2 2 2 2 2 3" xfId="5017" xr:uid="{00000000-0005-0000-0000-0000AA070000}"/>
    <cellStyle name="Comma 4 2 2 2 2 2 2 3 2" xfId="13453" xr:uid="{55150995-B452-4B58-AF80-0F2B4038661E}"/>
    <cellStyle name="Comma 4 2 2 2 2 2 2 4" xfId="9235" xr:uid="{A1D88A65-258B-460A-A7E0-B1DC5B88044D}"/>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1" xr:uid="{35E79764-154D-4A3A-8DFC-5B51E5F26671}"/>
    <cellStyle name="Comma 4 2 2 2 2 2 3 2 3" xfId="11793" xr:uid="{92197A33-56BB-4291-8DAE-A4A0703AF433}"/>
    <cellStyle name="Comma 4 2 2 2 2 2 3 3" xfId="5430" xr:uid="{00000000-0005-0000-0000-0000AE070000}"/>
    <cellStyle name="Comma 4 2 2 2 2 2 3 3 2" xfId="13866" xr:uid="{530EECC0-2A98-4AC6-8A37-9A2FB93277DC}"/>
    <cellStyle name="Comma 4 2 2 2 2 2 3 4" xfId="9648" xr:uid="{11CD2D76-143C-4A9A-A8A7-1E2A56D6FDAB}"/>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4" xr:uid="{4B8B6AD6-4DB5-4FEB-BA13-64654CA94C5E}"/>
    <cellStyle name="Comma 4 2 2 2 2 2 4 2 3" xfId="12206" xr:uid="{F4D8622C-2F42-4D1D-8858-9C1269357D89}"/>
    <cellStyle name="Comma 4 2 2 2 2 2 4 3" xfId="5843" xr:uid="{00000000-0005-0000-0000-0000B2070000}"/>
    <cellStyle name="Comma 4 2 2 2 2 2 4 3 2" xfId="14279" xr:uid="{D928ED85-455C-47D8-BD1B-8D2B394B5DEB}"/>
    <cellStyle name="Comma 4 2 2 2 2 2 4 4" xfId="10061" xr:uid="{DC1D6DFD-DF2E-4527-98F2-A772012AD4E6}"/>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37" xr:uid="{51ABDB67-4975-4809-9D36-9024A34A3050}"/>
    <cellStyle name="Comma 4 2 2 2 2 2 5 2 3" xfId="12619" xr:uid="{B251F498-173D-4686-8A2D-28DAF09F9421}"/>
    <cellStyle name="Comma 4 2 2 2 2 2 5 3" xfId="6256" xr:uid="{00000000-0005-0000-0000-0000B6070000}"/>
    <cellStyle name="Comma 4 2 2 2 2 2 5 3 2" xfId="14692" xr:uid="{D4FF760B-30D5-45F4-99EC-901040845ABB}"/>
    <cellStyle name="Comma 4 2 2 2 2 2 5 4" xfId="10474" xr:uid="{22C459A0-1400-4BE4-91B7-8A77E5C89CEB}"/>
    <cellStyle name="Comma 4 2 2 2 2 2 6" xfId="2384" xr:uid="{00000000-0005-0000-0000-0000B7070000}"/>
    <cellStyle name="Comma 4 2 2 2 2 2 6 2" xfId="6669" xr:uid="{00000000-0005-0000-0000-0000B8070000}"/>
    <cellStyle name="Comma 4 2 2 2 2 2 6 2 2" xfId="15105" xr:uid="{F5F62B26-74C2-4674-8E9C-07A167F71123}"/>
    <cellStyle name="Comma 4 2 2 2 2 2 6 3" xfId="10887" xr:uid="{838E3657-FA9D-4200-9D6B-D4C8454ED3CE}"/>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2" xr:uid="{D41D26BA-950B-41C8-9A4B-36B5D7B563A2}"/>
    <cellStyle name="Comma 4 2 2 2 2 2 8 3" xfId="11204" xr:uid="{5674D7B1-9D90-4C36-8961-4357EE12BE34}"/>
    <cellStyle name="Comma 4 2 2 2 2 2 9" xfId="4603" xr:uid="{00000000-0005-0000-0000-0000BC070000}"/>
    <cellStyle name="Comma 4 2 2 2 2 2 9 2" xfId="13039" xr:uid="{80DC1A5E-E085-4C0C-9F74-9B04FA600B46}"/>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597" xr:uid="{9B374911-078B-4B50-A757-B3F32954307B}"/>
    <cellStyle name="Comma 4 2 2 2 2 3 2 3" xfId="11379" xr:uid="{61898E3C-3884-4227-BD9D-3168BD8A754B}"/>
    <cellStyle name="Comma 4 2 2 2 2 3 3" xfId="5016" xr:uid="{00000000-0005-0000-0000-0000C0070000}"/>
    <cellStyle name="Comma 4 2 2 2 2 3 3 2" xfId="13452" xr:uid="{603E7DB1-066B-4640-8116-D9D074EBCD71}"/>
    <cellStyle name="Comma 4 2 2 2 2 3 4" xfId="9234" xr:uid="{24714116-DE28-4998-820C-D455C4B164A8}"/>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0" xr:uid="{FF76AE03-5DE6-44EB-8B40-0A9B29252635}"/>
    <cellStyle name="Comma 4 2 2 2 2 4 2 3" xfId="11792" xr:uid="{856A60F4-24F1-4A78-A4C8-57F7A1D31CC1}"/>
    <cellStyle name="Comma 4 2 2 2 2 4 3" xfId="5429" xr:uid="{00000000-0005-0000-0000-0000C4070000}"/>
    <cellStyle name="Comma 4 2 2 2 2 4 3 2" xfId="13865" xr:uid="{B0ADB453-7926-42FE-89B2-49C4AE4BA4C0}"/>
    <cellStyle name="Comma 4 2 2 2 2 4 4" xfId="9647" xr:uid="{8E59A20B-FF58-4289-8963-1022D6C72875}"/>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3" xr:uid="{E601AC76-249E-4FC2-A7B9-AEBDFBF7771F}"/>
    <cellStyle name="Comma 4 2 2 2 2 5 2 3" xfId="12205" xr:uid="{8079CAF7-578F-4E50-BF8D-45463D176BFD}"/>
    <cellStyle name="Comma 4 2 2 2 2 5 3" xfId="5842" xr:uid="{00000000-0005-0000-0000-0000C8070000}"/>
    <cellStyle name="Comma 4 2 2 2 2 5 3 2" xfId="14278" xr:uid="{A67454A8-65C9-4709-BC36-4623D9A61D4D}"/>
    <cellStyle name="Comma 4 2 2 2 2 5 4" xfId="10060" xr:uid="{C9E0821C-A8CF-435C-B314-402DBB6C55B3}"/>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6" xr:uid="{98D47817-3B18-44D6-9FC2-8C850CEE1E87}"/>
    <cellStyle name="Comma 4 2 2 2 2 6 2 3" xfId="12618" xr:uid="{29DE9C0B-47F8-4CAE-A289-74A0B384079C}"/>
    <cellStyle name="Comma 4 2 2 2 2 6 3" xfId="6255" xr:uid="{00000000-0005-0000-0000-0000CC070000}"/>
    <cellStyle name="Comma 4 2 2 2 2 6 3 2" xfId="14691" xr:uid="{5B53CA7C-3181-4B9E-BAB5-410CCC01697B}"/>
    <cellStyle name="Comma 4 2 2 2 2 6 4" xfId="10473" xr:uid="{C1B5D237-F157-443B-8ECD-992CE24C5BE5}"/>
    <cellStyle name="Comma 4 2 2 2 2 7" xfId="2383" xr:uid="{00000000-0005-0000-0000-0000CD070000}"/>
    <cellStyle name="Comma 4 2 2 2 2 7 2" xfId="6668" xr:uid="{00000000-0005-0000-0000-0000CE070000}"/>
    <cellStyle name="Comma 4 2 2 2 2 7 2 2" xfId="15104" xr:uid="{F92B36FA-8971-4F67-B03F-6EEB05AF7B67}"/>
    <cellStyle name="Comma 4 2 2 2 2 7 3" xfId="10886" xr:uid="{7A07F121-3CCD-466D-B83B-7782F0727141}"/>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1" xr:uid="{6FE9BFC5-5E7D-4F33-A91D-4D7C99F944CF}"/>
    <cellStyle name="Comma 4 2 2 2 2 9 3" xfId="11203" xr:uid="{B11BCFD4-44F9-4E49-8C4E-9521424C409F}"/>
    <cellStyle name="Comma 4 2 2 2 3" xfId="131" xr:uid="{00000000-0005-0000-0000-0000D2070000}"/>
    <cellStyle name="Comma 4 2 2 2 3 10" xfId="8822" xr:uid="{A56A7088-E149-4F31-921C-F402561131C9}"/>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599" xr:uid="{8849054D-A182-47CE-9D27-DC50929BAC6F}"/>
    <cellStyle name="Comma 4 2 2 2 3 2 2 3" xfId="11381" xr:uid="{9D8A0A39-4AD3-48F4-9645-57F37657338D}"/>
    <cellStyle name="Comma 4 2 2 2 3 2 3" xfId="5018" xr:uid="{00000000-0005-0000-0000-0000D6070000}"/>
    <cellStyle name="Comma 4 2 2 2 3 2 3 2" xfId="13454" xr:uid="{BEAE9651-AF46-4CDA-B2F5-3062EC3F7150}"/>
    <cellStyle name="Comma 4 2 2 2 3 2 4" xfId="9236" xr:uid="{8FE56129-F536-48C3-9601-B0F03C4B8E50}"/>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2" xr:uid="{FB760B61-198D-4C59-A2E6-EE55E851BE70}"/>
    <cellStyle name="Comma 4 2 2 2 3 3 2 3" xfId="11794" xr:uid="{DBCCA7C9-3148-46D7-939F-1B6B2BC8876F}"/>
    <cellStyle name="Comma 4 2 2 2 3 3 3" xfId="5431" xr:uid="{00000000-0005-0000-0000-0000DA070000}"/>
    <cellStyle name="Comma 4 2 2 2 3 3 3 2" xfId="13867" xr:uid="{B8180F43-28B5-453D-A62B-8CFA6517D9D3}"/>
    <cellStyle name="Comma 4 2 2 2 3 3 4" xfId="9649" xr:uid="{6E0D7027-E959-40DF-A814-DF596C854024}"/>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5" xr:uid="{E101F65C-DE72-40B5-BAAD-E7E480426767}"/>
    <cellStyle name="Comma 4 2 2 2 3 4 2 3" xfId="12207" xr:uid="{49F12809-08C2-44B5-AD02-D991EDFB0D9D}"/>
    <cellStyle name="Comma 4 2 2 2 3 4 3" xfId="5844" xr:uid="{00000000-0005-0000-0000-0000DE070000}"/>
    <cellStyle name="Comma 4 2 2 2 3 4 3 2" xfId="14280" xr:uid="{739B113D-8907-4AA6-887E-69D9D9D5D5B6}"/>
    <cellStyle name="Comma 4 2 2 2 3 4 4" xfId="10062" xr:uid="{097CFC9F-4070-4ACC-B44A-FB037BA72B96}"/>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38" xr:uid="{F286DC01-CE67-4F43-BD4B-9F672BF52205}"/>
    <cellStyle name="Comma 4 2 2 2 3 5 2 3" xfId="12620" xr:uid="{4DF780B5-9B64-4211-88D8-5EC9102B566E}"/>
    <cellStyle name="Comma 4 2 2 2 3 5 3" xfId="6257" xr:uid="{00000000-0005-0000-0000-0000E2070000}"/>
    <cellStyle name="Comma 4 2 2 2 3 5 3 2" xfId="14693" xr:uid="{7AC84903-756F-4A26-976C-298BEAC23612}"/>
    <cellStyle name="Comma 4 2 2 2 3 5 4" xfId="10475" xr:uid="{4CA527FE-D654-4E63-82DC-2272FD6D57F3}"/>
    <cellStyle name="Comma 4 2 2 2 3 6" xfId="2385" xr:uid="{00000000-0005-0000-0000-0000E3070000}"/>
    <cellStyle name="Comma 4 2 2 2 3 6 2" xfId="6670" xr:uid="{00000000-0005-0000-0000-0000E4070000}"/>
    <cellStyle name="Comma 4 2 2 2 3 6 2 2" xfId="15106" xr:uid="{4C06DF3C-4C19-4DA8-99E4-9E6DEDAC51BF}"/>
    <cellStyle name="Comma 4 2 2 2 3 6 3" xfId="10888" xr:uid="{6E76D9A0-4438-4819-AB97-83147859F4F7}"/>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3" xr:uid="{32B2056A-6A17-4A2A-ABE4-D131F2EB6973}"/>
    <cellStyle name="Comma 4 2 2 2 3 8 3" xfId="11205" xr:uid="{542FF827-9F51-4D43-BAC6-0D2B7AE28A44}"/>
    <cellStyle name="Comma 4 2 2 2 3 9" xfId="4604" xr:uid="{00000000-0005-0000-0000-0000E8070000}"/>
    <cellStyle name="Comma 4 2 2 2 3 9 2" xfId="13040" xr:uid="{0C89A401-9A0E-4EDE-8A1B-962B4CD29C6B}"/>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6" xr:uid="{DE90BE31-DEEE-4054-982A-6990B81EF744}"/>
    <cellStyle name="Comma 4 2 2 2 4 2 3" xfId="11378" xr:uid="{21EEEB06-4733-4002-8E26-EAF364F3FD1B}"/>
    <cellStyle name="Comma 4 2 2 2 4 3" xfId="5015" xr:uid="{00000000-0005-0000-0000-0000EC070000}"/>
    <cellStyle name="Comma 4 2 2 2 4 3 2" xfId="13451" xr:uid="{A269A674-4C33-427F-92A8-719DEB063659}"/>
    <cellStyle name="Comma 4 2 2 2 4 4" xfId="9233" xr:uid="{CDA46A5C-690C-4B16-A62A-AB591F36B39A}"/>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09" xr:uid="{871D18D2-4F30-4240-AFAE-625323880DBB}"/>
    <cellStyle name="Comma 4 2 2 2 5 2 3" xfId="11791" xr:uid="{D15C3D07-E5E9-4D52-B68F-5129A0A00D3D}"/>
    <cellStyle name="Comma 4 2 2 2 5 3" xfId="5428" xr:uid="{00000000-0005-0000-0000-0000F0070000}"/>
    <cellStyle name="Comma 4 2 2 2 5 3 2" xfId="13864" xr:uid="{064B4E59-80A5-413E-BBCC-B01B75E19A77}"/>
    <cellStyle name="Comma 4 2 2 2 5 4" xfId="9646" xr:uid="{0D4F0F03-86C3-4837-94C9-34D9116A61EF}"/>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2" xr:uid="{2407D403-CDD6-4415-BCCE-1D83B70F1EC5}"/>
    <cellStyle name="Comma 4 2 2 2 6 2 3" xfId="12204" xr:uid="{63902981-0938-4139-8E0C-BB5171CF39D6}"/>
    <cellStyle name="Comma 4 2 2 2 6 3" xfId="5841" xr:uid="{00000000-0005-0000-0000-0000F4070000}"/>
    <cellStyle name="Comma 4 2 2 2 6 3 2" xfId="14277" xr:uid="{25371109-6C7D-4B8F-9470-4BEA2B3DACBC}"/>
    <cellStyle name="Comma 4 2 2 2 6 4" xfId="10059" xr:uid="{FB2078B0-1142-450D-9576-F7AE2313E236}"/>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5" xr:uid="{E4FFBE66-CBFC-4384-9F80-37DF2F7D88D3}"/>
    <cellStyle name="Comma 4 2 2 2 7 2 3" xfId="12617" xr:uid="{A5CE2C7D-BFD8-48C7-BC83-EB6B3FE37ED4}"/>
    <cellStyle name="Comma 4 2 2 2 7 3" xfId="6254" xr:uid="{00000000-0005-0000-0000-0000F8070000}"/>
    <cellStyle name="Comma 4 2 2 2 7 3 2" xfId="14690" xr:uid="{844853A8-8FF5-4DF3-B82E-4A8773083299}"/>
    <cellStyle name="Comma 4 2 2 2 7 4" xfId="10472" xr:uid="{19A410E0-F626-4DC2-BA16-2006DBD02411}"/>
    <cellStyle name="Comma 4 2 2 2 8" xfId="2382" xr:uid="{00000000-0005-0000-0000-0000F9070000}"/>
    <cellStyle name="Comma 4 2 2 2 8 2" xfId="6667" xr:uid="{00000000-0005-0000-0000-0000FA070000}"/>
    <cellStyle name="Comma 4 2 2 2 8 2 2" xfId="15103" xr:uid="{F9FFC0B0-E62D-4107-A9E1-A04F48286D14}"/>
    <cellStyle name="Comma 4 2 2 2 8 3" xfId="10885" xr:uid="{FFFA386D-C25E-4F7F-BB36-D6A29743C237}"/>
    <cellStyle name="Comma 4 2 2 2 9" xfId="2381" xr:uid="{00000000-0005-0000-0000-0000FB070000}"/>
    <cellStyle name="Comma 4 2 2 3" xfId="132" xr:uid="{00000000-0005-0000-0000-0000FC070000}"/>
    <cellStyle name="Comma 4 2 2 3 10" xfId="4605" xr:uid="{00000000-0005-0000-0000-0000FD070000}"/>
    <cellStyle name="Comma 4 2 2 3 10 2" xfId="13041" xr:uid="{9FC6A448-6189-490B-A299-0E214A538F7C}"/>
    <cellStyle name="Comma 4 2 2 3 11" xfId="8823" xr:uid="{FB3C3FC6-9D99-40A2-938A-F65BDEE1B731}"/>
    <cellStyle name="Comma 4 2 2 3 2" xfId="133" xr:uid="{00000000-0005-0000-0000-0000FE070000}"/>
    <cellStyle name="Comma 4 2 2 3 2 10" xfId="8824" xr:uid="{A8A74F4C-698B-4958-8A9E-4A1E3C9436FD}"/>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1" xr:uid="{E60ACCE9-97CD-4776-82C1-15B2F3843F7A}"/>
    <cellStyle name="Comma 4 2 2 3 2 2 2 3" xfId="11383" xr:uid="{04F45C85-B887-463E-9157-14F11C4ACDA6}"/>
    <cellStyle name="Comma 4 2 2 3 2 2 3" xfId="5020" xr:uid="{00000000-0005-0000-0000-000002080000}"/>
    <cellStyle name="Comma 4 2 2 3 2 2 3 2" xfId="13456" xr:uid="{43F5AC3E-588B-4B78-B7E2-859F5CA0C8D4}"/>
    <cellStyle name="Comma 4 2 2 3 2 2 4" xfId="9238" xr:uid="{9A7C976C-48A9-4C80-B669-F2B973E22A49}"/>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4" xr:uid="{ADC8093D-CE3D-41EC-AD7B-4CE4D1C52794}"/>
    <cellStyle name="Comma 4 2 2 3 2 3 2 3" xfId="11796" xr:uid="{42B30756-7F98-4B3D-8C4E-6984D22E6F4E}"/>
    <cellStyle name="Comma 4 2 2 3 2 3 3" xfId="5433" xr:uid="{00000000-0005-0000-0000-000006080000}"/>
    <cellStyle name="Comma 4 2 2 3 2 3 3 2" xfId="13869" xr:uid="{B5D4C095-75EB-4962-9D5D-17B68A3FE484}"/>
    <cellStyle name="Comma 4 2 2 3 2 3 4" xfId="9651" xr:uid="{9764F1B3-0291-488D-9D79-926695568F5C}"/>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27" xr:uid="{D7C32E49-2389-465D-A55E-A603DEBF6C67}"/>
    <cellStyle name="Comma 4 2 2 3 2 4 2 3" xfId="12209" xr:uid="{F3941A45-2A56-4942-8F39-65DF9E63A788}"/>
    <cellStyle name="Comma 4 2 2 3 2 4 3" xfId="5846" xr:uid="{00000000-0005-0000-0000-00000A080000}"/>
    <cellStyle name="Comma 4 2 2 3 2 4 3 2" xfId="14282" xr:uid="{80FE3BAE-7355-4371-A1C6-CB0CE19C73C5}"/>
    <cellStyle name="Comma 4 2 2 3 2 4 4" xfId="10064" xr:uid="{ED7FE7B1-3230-4EC8-ABF6-A93924DEF5A8}"/>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0" xr:uid="{06A80B1B-FA4D-424C-958C-38B890D408BF}"/>
    <cellStyle name="Comma 4 2 2 3 2 5 2 3" xfId="12622" xr:uid="{F44E580F-5BF3-4D30-91E5-1FA6E15659E4}"/>
    <cellStyle name="Comma 4 2 2 3 2 5 3" xfId="6259" xr:uid="{00000000-0005-0000-0000-00000E080000}"/>
    <cellStyle name="Comma 4 2 2 3 2 5 3 2" xfId="14695" xr:uid="{E54FFB8C-064C-4AB8-A664-5EDA9C7D8B28}"/>
    <cellStyle name="Comma 4 2 2 3 2 5 4" xfId="10477" xr:uid="{B64FD940-5124-40A1-9AA3-FB795EF6CCF5}"/>
    <cellStyle name="Comma 4 2 2 3 2 6" xfId="2387" xr:uid="{00000000-0005-0000-0000-00000F080000}"/>
    <cellStyle name="Comma 4 2 2 3 2 6 2" xfId="6672" xr:uid="{00000000-0005-0000-0000-000010080000}"/>
    <cellStyle name="Comma 4 2 2 3 2 6 2 2" xfId="15108" xr:uid="{9F0AED00-840A-4A0A-8BF7-20991FD8225F}"/>
    <cellStyle name="Comma 4 2 2 3 2 6 3" xfId="10890" xr:uid="{698530AE-3995-4D21-9171-EC6D0E040E07}"/>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5" xr:uid="{56150A9A-1F58-4CD1-9D79-4A6B79752F20}"/>
    <cellStyle name="Comma 4 2 2 3 2 8 3" xfId="11207" xr:uid="{3E3C2C9F-BD78-4906-A408-D0B51A9AE73B}"/>
    <cellStyle name="Comma 4 2 2 3 2 9" xfId="4606" xr:uid="{00000000-0005-0000-0000-000014080000}"/>
    <cellStyle name="Comma 4 2 2 3 2 9 2" xfId="13042" xr:uid="{BB7DCBAB-A31A-4EC2-9EB9-10D33495A45F}"/>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0" xr:uid="{254F1C2F-B44D-4DE8-9945-5AB9732527FF}"/>
    <cellStyle name="Comma 4 2 2 3 3 2 3" xfId="11382" xr:uid="{CE70C8B9-DA9C-4843-9F6A-E839C10B80B9}"/>
    <cellStyle name="Comma 4 2 2 3 3 3" xfId="5019" xr:uid="{00000000-0005-0000-0000-000018080000}"/>
    <cellStyle name="Comma 4 2 2 3 3 3 2" xfId="13455" xr:uid="{A3B9D260-A8A3-4AAF-9E3C-CB1911124584}"/>
    <cellStyle name="Comma 4 2 2 3 3 4" xfId="9237" xr:uid="{DBB991BB-C050-47D9-8150-6B54659875C8}"/>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3" xr:uid="{7D84D8FD-2547-41EC-BC97-DAAFE5411987}"/>
    <cellStyle name="Comma 4 2 2 3 4 2 3" xfId="11795" xr:uid="{A72F826C-6B66-4F3E-AB7F-654728BA96B2}"/>
    <cellStyle name="Comma 4 2 2 3 4 3" xfId="5432" xr:uid="{00000000-0005-0000-0000-00001C080000}"/>
    <cellStyle name="Comma 4 2 2 3 4 3 2" xfId="13868" xr:uid="{C8755218-C3E7-46F1-8538-BF9A146D0AE5}"/>
    <cellStyle name="Comma 4 2 2 3 4 4" xfId="9650" xr:uid="{C80506B7-CB58-4903-93A2-32407D6FA18B}"/>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6" xr:uid="{D3751282-77C2-4F0D-A6BE-F792B5B5CF19}"/>
    <cellStyle name="Comma 4 2 2 3 5 2 3" xfId="12208" xr:uid="{CD207B9A-B8F5-4A26-8655-13EF163C780E}"/>
    <cellStyle name="Comma 4 2 2 3 5 3" xfId="5845" xr:uid="{00000000-0005-0000-0000-000020080000}"/>
    <cellStyle name="Comma 4 2 2 3 5 3 2" xfId="14281" xr:uid="{582531D5-C006-4B08-B329-F1C7B8625B5E}"/>
    <cellStyle name="Comma 4 2 2 3 5 4" xfId="10063" xr:uid="{5769A367-D8B8-4791-B941-DDBE85716FDA}"/>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39" xr:uid="{83ABFACE-46E7-403A-BEF7-ED8F900E36F9}"/>
    <cellStyle name="Comma 4 2 2 3 6 2 3" xfId="12621" xr:uid="{ABCC01DE-5979-49D8-ABC5-9A66DA517638}"/>
    <cellStyle name="Comma 4 2 2 3 6 3" xfId="6258" xr:uid="{00000000-0005-0000-0000-000024080000}"/>
    <cellStyle name="Comma 4 2 2 3 6 3 2" xfId="14694" xr:uid="{7B7F48F3-25DD-458A-998B-01F6F3FBA5FB}"/>
    <cellStyle name="Comma 4 2 2 3 6 4" xfId="10476" xr:uid="{2B83C6F1-BAD5-461C-BC98-2B401859F716}"/>
    <cellStyle name="Comma 4 2 2 3 7" xfId="2386" xr:uid="{00000000-0005-0000-0000-000025080000}"/>
    <cellStyle name="Comma 4 2 2 3 7 2" xfId="6671" xr:uid="{00000000-0005-0000-0000-000026080000}"/>
    <cellStyle name="Comma 4 2 2 3 7 2 2" xfId="15107" xr:uid="{949D7BE6-9404-4806-A596-D1937EA39D1E}"/>
    <cellStyle name="Comma 4 2 2 3 7 3" xfId="10889" xr:uid="{017D6C76-5F32-428C-8803-DD20489F0C61}"/>
    <cellStyle name="Comma 4 2 2 3 8" xfId="2377" xr:uid="{00000000-0005-0000-0000-000027080000}"/>
    <cellStyle name="Comma 4 2 2 3 9" xfId="2764" xr:uid="{00000000-0005-0000-0000-000028080000}"/>
    <cellStyle name="Comma 4 2 2 3 9 2" xfId="6988" xr:uid="{00000000-0005-0000-0000-000029080000}"/>
    <cellStyle name="Comma 4 2 2 3 9 2 2" xfId="15424" xr:uid="{0DC3A57E-414F-44F8-9E85-1A91D5CE771B}"/>
    <cellStyle name="Comma 4 2 2 3 9 3" xfId="11206" xr:uid="{BF75F75D-EBB0-4B7B-ACB0-8AD356C6B572}"/>
    <cellStyle name="Comma 4 2 2 4" xfId="134" xr:uid="{00000000-0005-0000-0000-00002A080000}"/>
    <cellStyle name="Comma 4 2 2 4 10" xfId="8825" xr:uid="{A7EE75BE-7D16-4E6B-9A3A-FA8CD6A7612F}"/>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2" xr:uid="{A16BDF38-F28C-43FA-B743-D7AF75D19853}"/>
    <cellStyle name="Comma 4 2 2 4 2 2 3" xfId="11384" xr:uid="{EC07EADC-0519-4464-A165-0B5BA73679A5}"/>
    <cellStyle name="Comma 4 2 2 4 2 3" xfId="5021" xr:uid="{00000000-0005-0000-0000-00002E080000}"/>
    <cellStyle name="Comma 4 2 2 4 2 3 2" xfId="13457" xr:uid="{49BF1CEF-BF39-4771-B569-C51DF250E21C}"/>
    <cellStyle name="Comma 4 2 2 4 2 4" xfId="9239" xr:uid="{12F2D221-5102-4BB3-B0F6-E822817378A1}"/>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5" xr:uid="{B773CE47-B5EB-41DF-85CF-75ABC8B791C6}"/>
    <cellStyle name="Comma 4 2 2 4 3 2 3" xfId="11797" xr:uid="{D12BFA8E-AE73-442D-A66A-E51569A041AA}"/>
    <cellStyle name="Comma 4 2 2 4 3 3" xfId="5434" xr:uid="{00000000-0005-0000-0000-000032080000}"/>
    <cellStyle name="Comma 4 2 2 4 3 3 2" xfId="13870" xr:uid="{23389BE8-379E-4D6E-ABFF-6583E4AA0971}"/>
    <cellStyle name="Comma 4 2 2 4 3 4" xfId="9652" xr:uid="{AD7A11FB-C1A5-4553-80D5-CD47B2B03DCF}"/>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28" xr:uid="{53E16E5E-5CDB-4D9D-A85A-46028FAA8AD2}"/>
    <cellStyle name="Comma 4 2 2 4 4 2 3" xfId="12210" xr:uid="{A75F9DDB-DC1C-467C-9AEF-117A4A76096C}"/>
    <cellStyle name="Comma 4 2 2 4 4 3" xfId="5847" xr:uid="{00000000-0005-0000-0000-000036080000}"/>
    <cellStyle name="Comma 4 2 2 4 4 3 2" xfId="14283" xr:uid="{ECC00B28-909E-4792-AF08-521E2157FAB6}"/>
    <cellStyle name="Comma 4 2 2 4 4 4" xfId="10065" xr:uid="{C716A670-5B88-4F29-9384-BF6DE1DE1291}"/>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1" xr:uid="{BBEAA717-DECB-4731-8C99-866F255FC197}"/>
    <cellStyle name="Comma 4 2 2 4 5 2 3" xfId="12623" xr:uid="{6FE7ECC9-B878-4EF3-B832-642ECB5893DC}"/>
    <cellStyle name="Comma 4 2 2 4 5 3" xfId="6260" xr:uid="{00000000-0005-0000-0000-00003A080000}"/>
    <cellStyle name="Comma 4 2 2 4 5 3 2" xfId="14696" xr:uid="{680841EC-1FFB-47C0-9CDE-9E17591F5AEF}"/>
    <cellStyle name="Comma 4 2 2 4 5 4" xfId="10478" xr:uid="{BA3A890D-B991-4A09-BE52-EA21AA4E614C}"/>
    <cellStyle name="Comma 4 2 2 4 6" xfId="2388" xr:uid="{00000000-0005-0000-0000-00003B080000}"/>
    <cellStyle name="Comma 4 2 2 4 6 2" xfId="6673" xr:uid="{00000000-0005-0000-0000-00003C080000}"/>
    <cellStyle name="Comma 4 2 2 4 6 2 2" xfId="15109" xr:uid="{81901261-3F95-469E-AF4F-8C1314CBE7A3}"/>
    <cellStyle name="Comma 4 2 2 4 6 3" xfId="10891" xr:uid="{D8ED13F9-6295-4EDB-86B3-2E30829C2DE5}"/>
    <cellStyle name="Comma 4 2 2 4 7" xfId="2375" xr:uid="{00000000-0005-0000-0000-00003D080000}"/>
    <cellStyle name="Comma 4 2 2 4 8" xfId="2766" xr:uid="{00000000-0005-0000-0000-00003E080000}"/>
    <cellStyle name="Comma 4 2 2 4 8 2" xfId="6990" xr:uid="{00000000-0005-0000-0000-00003F080000}"/>
    <cellStyle name="Comma 4 2 2 4 8 2 2" xfId="15426" xr:uid="{119CD942-C9FF-4E76-9E70-4D74CF20C63A}"/>
    <cellStyle name="Comma 4 2 2 4 8 3" xfId="11208" xr:uid="{4D79C31C-3EF1-474D-B9C5-62E3FAA5799D}"/>
    <cellStyle name="Comma 4 2 2 4 9" xfId="4607" xr:uid="{00000000-0005-0000-0000-000040080000}"/>
    <cellStyle name="Comma 4 2 2 4 9 2" xfId="13043" xr:uid="{064DD74E-B569-4DD4-B46B-0BD6F0130BE8}"/>
    <cellStyle name="Comma 4 2 2 5" xfId="135" xr:uid="{00000000-0005-0000-0000-000041080000}"/>
    <cellStyle name="Comma 4 2 2 5 10" xfId="8826" xr:uid="{0F565308-15DA-46EC-8BCA-2175643116BE}"/>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3" xr:uid="{3A5E9004-6D11-450E-BAD8-437E6AFFD797}"/>
    <cellStyle name="Comma 4 2 2 5 2 2 3" xfId="11385" xr:uid="{B9C6F80F-5B87-47BA-8F00-8F1FDAE5508B}"/>
    <cellStyle name="Comma 4 2 2 5 2 3" xfId="5022" xr:uid="{00000000-0005-0000-0000-000045080000}"/>
    <cellStyle name="Comma 4 2 2 5 2 3 2" xfId="13458" xr:uid="{BAEE522B-2C75-4C19-AE30-F40448932E18}"/>
    <cellStyle name="Comma 4 2 2 5 2 4" xfId="9240" xr:uid="{76A5200D-7C92-45F6-8436-A14BD2F75F07}"/>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6" xr:uid="{DCBE9E97-2929-4BA2-89AE-83F6BE250F93}"/>
    <cellStyle name="Comma 4 2 2 5 3 2 3" xfId="11798" xr:uid="{8A7FE4B5-CC0A-4BE1-B3B0-1578577602ED}"/>
    <cellStyle name="Comma 4 2 2 5 3 3" xfId="5435" xr:uid="{00000000-0005-0000-0000-000049080000}"/>
    <cellStyle name="Comma 4 2 2 5 3 3 2" xfId="13871" xr:uid="{6E578319-0415-4621-A9CD-82C225A2B740}"/>
    <cellStyle name="Comma 4 2 2 5 3 4" xfId="9653" xr:uid="{86569677-68C0-42C2-9594-C24D5DCAF3EC}"/>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29" xr:uid="{674F3145-6DB1-4B70-B5FB-80787CB6539B}"/>
    <cellStyle name="Comma 4 2 2 5 4 2 3" xfId="12211" xr:uid="{EBF23E84-1DDA-4BD3-9BFF-1799C5180013}"/>
    <cellStyle name="Comma 4 2 2 5 4 3" xfId="5848" xr:uid="{00000000-0005-0000-0000-00004D080000}"/>
    <cellStyle name="Comma 4 2 2 5 4 3 2" xfId="14284" xr:uid="{F4730510-C3C8-413D-902B-42648A0D1B20}"/>
    <cellStyle name="Comma 4 2 2 5 4 4" xfId="10066" xr:uid="{85E53889-D5EC-4996-9D1D-FAE2C5A85DE7}"/>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2" xr:uid="{E894EBB3-0420-4DAE-8A3E-C6661AC01254}"/>
    <cellStyle name="Comma 4 2 2 5 5 2 3" xfId="12624" xr:uid="{E7080961-745C-46C9-8BCF-5EA1A6A5EFF0}"/>
    <cellStyle name="Comma 4 2 2 5 5 3" xfId="6261" xr:uid="{00000000-0005-0000-0000-000051080000}"/>
    <cellStyle name="Comma 4 2 2 5 5 3 2" xfId="14697" xr:uid="{FC0B558E-AE05-430D-A2D2-29D3D73912B4}"/>
    <cellStyle name="Comma 4 2 2 5 5 4" xfId="10479" xr:uid="{3AC0081D-BFAE-494E-916B-F6ED5154B2EE}"/>
    <cellStyle name="Comma 4 2 2 5 6" xfId="2389" xr:uid="{00000000-0005-0000-0000-000052080000}"/>
    <cellStyle name="Comma 4 2 2 5 6 2" xfId="6674" xr:uid="{00000000-0005-0000-0000-000053080000}"/>
    <cellStyle name="Comma 4 2 2 5 6 2 2" xfId="15110" xr:uid="{6518E35D-94CC-4763-A7A3-272288344F26}"/>
    <cellStyle name="Comma 4 2 2 5 6 3" xfId="10892" xr:uid="{83041897-7136-4FC6-8343-4128873FB6D0}"/>
    <cellStyle name="Comma 4 2 2 5 7" xfId="2374" xr:uid="{00000000-0005-0000-0000-000054080000}"/>
    <cellStyle name="Comma 4 2 2 5 8" xfId="2767" xr:uid="{00000000-0005-0000-0000-000055080000}"/>
    <cellStyle name="Comma 4 2 2 5 8 2" xfId="6991" xr:uid="{00000000-0005-0000-0000-000056080000}"/>
    <cellStyle name="Comma 4 2 2 5 8 2 2" xfId="15427" xr:uid="{0F2E0939-6F0B-4778-9044-C9EE59CCDEE7}"/>
    <cellStyle name="Comma 4 2 2 5 8 3" xfId="11209" xr:uid="{28358CCA-7CC4-4330-91A3-11A87B7C1CEC}"/>
    <cellStyle name="Comma 4 2 2 5 9" xfId="4608" xr:uid="{00000000-0005-0000-0000-000057080000}"/>
    <cellStyle name="Comma 4 2 2 5 9 2" xfId="13044" xr:uid="{4755D2AA-EF28-4E2D-9CF0-ABB6BABD7222}"/>
    <cellStyle name="Comma 4 2 3" xfId="136" xr:uid="{00000000-0005-0000-0000-000058080000}"/>
    <cellStyle name="Comma 4 2 3 10" xfId="2768" xr:uid="{00000000-0005-0000-0000-000059080000}"/>
    <cellStyle name="Comma 4 2 3 10 2" xfId="6992" xr:uid="{00000000-0005-0000-0000-00005A080000}"/>
    <cellStyle name="Comma 4 2 3 10 2 2" xfId="15428" xr:uid="{F16BB95F-B824-450B-8B44-FB8C50B4AB16}"/>
    <cellStyle name="Comma 4 2 3 10 3" xfId="11210" xr:uid="{4015BC0C-50DE-462A-9F9D-504ACD553A16}"/>
    <cellStyle name="Comma 4 2 3 11" xfId="4609" xr:uid="{00000000-0005-0000-0000-00005B080000}"/>
    <cellStyle name="Comma 4 2 3 11 2" xfId="13045" xr:uid="{FA8A584A-8DB7-4B1D-ABC5-DD7DFEC492EA}"/>
    <cellStyle name="Comma 4 2 3 12" xfId="8827" xr:uid="{A85A539D-74A7-462C-83A8-F156B5E4E526}"/>
    <cellStyle name="Comma 4 2 3 2" xfId="137" xr:uid="{00000000-0005-0000-0000-00005C080000}"/>
    <cellStyle name="Comma 4 2 3 2 10" xfId="4610" xr:uid="{00000000-0005-0000-0000-00005D080000}"/>
    <cellStyle name="Comma 4 2 3 2 10 2" xfId="13046" xr:uid="{9597362E-ED24-4D99-978B-68140DD98772}"/>
    <cellStyle name="Comma 4 2 3 2 11" xfId="8828" xr:uid="{3542298A-AE96-4B76-B11A-92DD406569C5}"/>
    <cellStyle name="Comma 4 2 3 2 2" xfId="138" xr:uid="{00000000-0005-0000-0000-00005E080000}"/>
    <cellStyle name="Comma 4 2 3 2 2 10" xfId="8829" xr:uid="{1A66A059-262F-48DF-B7E4-3F9C6A1AFFCA}"/>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6" xr:uid="{0AFADE5F-1A4C-4BFB-9F58-7AB82312DD60}"/>
    <cellStyle name="Comma 4 2 3 2 2 2 2 3" xfId="11388" xr:uid="{ED51A140-AFDB-44EB-A375-57F01203FC39}"/>
    <cellStyle name="Comma 4 2 3 2 2 2 3" xfId="5025" xr:uid="{00000000-0005-0000-0000-000062080000}"/>
    <cellStyle name="Comma 4 2 3 2 2 2 3 2" xfId="13461" xr:uid="{EC9396CA-A221-49D6-AF77-16A794E64E71}"/>
    <cellStyle name="Comma 4 2 3 2 2 2 4" xfId="9243" xr:uid="{C561D4F8-3956-4AA0-9631-A8734DF3324E}"/>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19" xr:uid="{E02A0175-A996-4306-B281-BCC000E36044}"/>
    <cellStyle name="Comma 4 2 3 2 2 3 2 3" xfId="11801" xr:uid="{51270387-FD00-409A-87D1-F4B7B0DC7361}"/>
    <cellStyle name="Comma 4 2 3 2 2 3 3" xfId="5438" xr:uid="{00000000-0005-0000-0000-000066080000}"/>
    <cellStyle name="Comma 4 2 3 2 2 3 3 2" xfId="13874" xr:uid="{2FB512F1-F432-4322-8A75-8FFB1B9D7873}"/>
    <cellStyle name="Comma 4 2 3 2 2 3 4" xfId="9656" xr:uid="{A749B92A-07E0-4962-94F8-88B548271944}"/>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2" xr:uid="{7D3CE8DA-5F30-47D8-871A-C950AF951FCE}"/>
    <cellStyle name="Comma 4 2 3 2 2 4 2 3" xfId="12214" xr:uid="{165C74C9-B3ED-4F46-B439-FBA8C6B0E074}"/>
    <cellStyle name="Comma 4 2 3 2 2 4 3" xfId="5851" xr:uid="{00000000-0005-0000-0000-00006A080000}"/>
    <cellStyle name="Comma 4 2 3 2 2 4 3 2" xfId="14287" xr:uid="{F9800B4D-C7C1-4DC3-9C69-26DD399FFB09}"/>
    <cellStyle name="Comma 4 2 3 2 2 4 4" xfId="10069" xr:uid="{D0E6B089-8C85-4FA7-9CA4-7A02CAD336D0}"/>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5" xr:uid="{0A3B1CDF-E5B0-41E8-80C7-FAFF62784F0C}"/>
    <cellStyle name="Comma 4 2 3 2 2 5 2 3" xfId="12627" xr:uid="{255814CF-04E0-4A61-8399-43C3F305ECA8}"/>
    <cellStyle name="Comma 4 2 3 2 2 5 3" xfId="6264" xr:uid="{00000000-0005-0000-0000-00006E080000}"/>
    <cellStyle name="Comma 4 2 3 2 2 5 3 2" xfId="14700" xr:uid="{C57B24B0-F54B-4903-81F8-52BC7C10F332}"/>
    <cellStyle name="Comma 4 2 3 2 2 5 4" xfId="10482" xr:uid="{3460B227-1147-43BB-9F99-5189882F2789}"/>
    <cellStyle name="Comma 4 2 3 2 2 6" xfId="2392" xr:uid="{00000000-0005-0000-0000-00006F080000}"/>
    <cellStyle name="Comma 4 2 3 2 2 6 2" xfId="6677" xr:uid="{00000000-0005-0000-0000-000070080000}"/>
    <cellStyle name="Comma 4 2 3 2 2 6 2 2" xfId="15113" xr:uid="{8AFCB0DC-8A47-45F0-B926-3BFFD533CCBA}"/>
    <cellStyle name="Comma 4 2 3 2 2 6 3" xfId="10895" xr:uid="{ECA171D1-9D00-4797-83C5-7E46FA812463}"/>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0" xr:uid="{887891BE-BC4B-488D-A4DA-6B3D8B4DD275}"/>
    <cellStyle name="Comma 4 2 3 2 2 8 3" xfId="11212" xr:uid="{403878A9-E1A2-4B85-AE47-F89158CD485F}"/>
    <cellStyle name="Comma 4 2 3 2 2 9" xfId="4611" xr:uid="{00000000-0005-0000-0000-000074080000}"/>
    <cellStyle name="Comma 4 2 3 2 2 9 2" xfId="13047" xr:uid="{27B756D1-E693-4B83-832A-60A155057BEF}"/>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5" xr:uid="{2C0CA482-F8EC-4FFA-BE9C-98EDF753B8E6}"/>
    <cellStyle name="Comma 4 2 3 2 3 2 3" xfId="11387" xr:uid="{DFC7EEDB-951B-4441-BA9B-5001ECCF9DFD}"/>
    <cellStyle name="Comma 4 2 3 2 3 3" xfId="5024" xr:uid="{00000000-0005-0000-0000-000078080000}"/>
    <cellStyle name="Comma 4 2 3 2 3 3 2" xfId="13460" xr:uid="{166CB566-164D-4267-B163-0AA60BDAA78D}"/>
    <cellStyle name="Comma 4 2 3 2 3 4" xfId="9242" xr:uid="{B2015B04-B3D9-4405-97E7-EF03A7948FEB}"/>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18" xr:uid="{A0465C9D-B16D-49D7-9C2A-986F25095FBC}"/>
    <cellStyle name="Comma 4 2 3 2 4 2 3" xfId="11800" xr:uid="{17573CCB-8451-46ED-9754-E5F2BA8656DB}"/>
    <cellStyle name="Comma 4 2 3 2 4 3" xfId="5437" xr:uid="{00000000-0005-0000-0000-00007C080000}"/>
    <cellStyle name="Comma 4 2 3 2 4 3 2" xfId="13873" xr:uid="{22778A83-E585-401A-84B1-B25F6C13435C}"/>
    <cellStyle name="Comma 4 2 3 2 4 4" xfId="9655" xr:uid="{F0B9D773-D89E-4367-8842-691BC29C34AB}"/>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1" xr:uid="{F71937E6-A7E7-4D34-91B4-89DE8C6B2653}"/>
    <cellStyle name="Comma 4 2 3 2 5 2 3" xfId="12213" xr:uid="{863B02F7-722F-4A0D-860C-4AE468A60D86}"/>
    <cellStyle name="Comma 4 2 3 2 5 3" xfId="5850" xr:uid="{00000000-0005-0000-0000-000080080000}"/>
    <cellStyle name="Comma 4 2 3 2 5 3 2" xfId="14286" xr:uid="{B49026F4-5A84-412C-AB60-C527BED501AE}"/>
    <cellStyle name="Comma 4 2 3 2 5 4" xfId="10068" xr:uid="{1C451BF3-F76F-452E-9180-133169EE6236}"/>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4" xr:uid="{583185C9-EB37-4607-B6B8-5F340FCC70A6}"/>
    <cellStyle name="Comma 4 2 3 2 6 2 3" xfId="12626" xr:uid="{0EBEF9C4-FA26-4B9E-81A9-E18CEE8D2F14}"/>
    <cellStyle name="Comma 4 2 3 2 6 3" xfId="6263" xr:uid="{00000000-0005-0000-0000-000084080000}"/>
    <cellStyle name="Comma 4 2 3 2 6 3 2" xfId="14699" xr:uid="{056DBAC9-A72C-47CE-8AA1-0363FC93249B}"/>
    <cellStyle name="Comma 4 2 3 2 6 4" xfId="10481" xr:uid="{7D83FD3B-F143-47F3-B6D2-1DF3CF0EC2C2}"/>
    <cellStyle name="Comma 4 2 3 2 7" xfId="2391" xr:uid="{00000000-0005-0000-0000-000085080000}"/>
    <cellStyle name="Comma 4 2 3 2 7 2" xfId="6676" xr:uid="{00000000-0005-0000-0000-000086080000}"/>
    <cellStyle name="Comma 4 2 3 2 7 2 2" xfId="15112" xr:uid="{CDA81FCF-3B71-4A5E-9C77-7B53C9922CBD}"/>
    <cellStyle name="Comma 4 2 3 2 7 3" xfId="10894" xr:uid="{E5BDC49E-4AEF-4A6D-A199-9AFD66C35D0B}"/>
    <cellStyle name="Comma 4 2 3 2 8" xfId="2372" xr:uid="{00000000-0005-0000-0000-000087080000}"/>
    <cellStyle name="Comma 4 2 3 2 9" xfId="2769" xr:uid="{00000000-0005-0000-0000-000088080000}"/>
    <cellStyle name="Comma 4 2 3 2 9 2" xfId="6993" xr:uid="{00000000-0005-0000-0000-000089080000}"/>
    <cellStyle name="Comma 4 2 3 2 9 2 2" xfId="15429" xr:uid="{48B97008-4A4A-4D9B-AADA-CFAACAF24B02}"/>
    <cellStyle name="Comma 4 2 3 2 9 3" xfId="11211" xr:uid="{E3936E47-7C15-4F38-B7ED-B9D1B1C1081D}"/>
    <cellStyle name="Comma 4 2 3 3" xfId="139" xr:uid="{00000000-0005-0000-0000-00008A080000}"/>
    <cellStyle name="Comma 4 2 3 3 10" xfId="8830" xr:uid="{7DA0F157-BD2C-46BD-B5AE-BFAFAA140595}"/>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07" xr:uid="{A2B13137-91D7-4D12-B9A1-C1F58FB120E3}"/>
    <cellStyle name="Comma 4 2 3 3 2 2 3" xfId="11389" xr:uid="{E3D3C25F-FCEE-48D9-AFBB-3514A435DFD4}"/>
    <cellStyle name="Comma 4 2 3 3 2 3" xfId="5026" xr:uid="{00000000-0005-0000-0000-00008E080000}"/>
    <cellStyle name="Comma 4 2 3 3 2 3 2" xfId="13462" xr:uid="{5AF439AE-FC9F-45BD-A4FA-0960F4C8BC01}"/>
    <cellStyle name="Comma 4 2 3 3 2 4" xfId="9244" xr:uid="{854DD189-704A-4874-8925-18B2994D100A}"/>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0" xr:uid="{312AD271-F8F5-4AB0-9367-A374587848B2}"/>
    <cellStyle name="Comma 4 2 3 3 3 2 3" xfId="11802" xr:uid="{711A4E76-2B47-4934-9A04-857ABDF63D3E}"/>
    <cellStyle name="Comma 4 2 3 3 3 3" xfId="5439" xr:uid="{00000000-0005-0000-0000-000092080000}"/>
    <cellStyle name="Comma 4 2 3 3 3 3 2" xfId="13875" xr:uid="{D68006D2-D5B2-4375-B14A-9BB356634109}"/>
    <cellStyle name="Comma 4 2 3 3 3 4" xfId="9657" xr:uid="{8A51BD3E-1B5D-44A2-9CDA-42632AFD8F12}"/>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3" xr:uid="{E0FCA9B9-ABD0-40E4-952F-C01F8423DE75}"/>
    <cellStyle name="Comma 4 2 3 3 4 2 3" xfId="12215" xr:uid="{0F5C5A9D-8725-4D13-9D8D-5D89E52CCB60}"/>
    <cellStyle name="Comma 4 2 3 3 4 3" xfId="5852" xr:uid="{00000000-0005-0000-0000-000096080000}"/>
    <cellStyle name="Comma 4 2 3 3 4 3 2" xfId="14288" xr:uid="{653D2220-0311-4A11-9C07-EF2C7DF7CFFE}"/>
    <cellStyle name="Comma 4 2 3 3 4 4" xfId="10070" xr:uid="{9ECD25E6-4928-43AD-8934-A907B87E980F}"/>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6" xr:uid="{063AC2D8-96CA-4702-861F-C1A21E8119AC}"/>
    <cellStyle name="Comma 4 2 3 3 5 2 3" xfId="12628" xr:uid="{89A56CEC-D0E7-48F7-932F-5E98C498F4A8}"/>
    <cellStyle name="Comma 4 2 3 3 5 3" xfId="6265" xr:uid="{00000000-0005-0000-0000-00009A080000}"/>
    <cellStyle name="Comma 4 2 3 3 5 3 2" xfId="14701" xr:uid="{34CC18DD-FB09-45BC-BCD5-73ADBF36C870}"/>
    <cellStyle name="Comma 4 2 3 3 5 4" xfId="10483" xr:uid="{E50A5219-29BD-44F9-BAEA-7D2BD2E07FDF}"/>
    <cellStyle name="Comma 4 2 3 3 6" xfId="2393" xr:uid="{00000000-0005-0000-0000-00009B080000}"/>
    <cellStyle name="Comma 4 2 3 3 6 2" xfId="6678" xr:uid="{00000000-0005-0000-0000-00009C080000}"/>
    <cellStyle name="Comma 4 2 3 3 6 2 2" xfId="15114" xr:uid="{CD6E2B31-D89F-4E26-822D-F51CA730CC9F}"/>
    <cellStyle name="Comma 4 2 3 3 6 3" xfId="10896" xr:uid="{BD63B884-0094-439B-9339-EBC06CD7AD20}"/>
    <cellStyle name="Comma 4 2 3 3 7" xfId="2370" xr:uid="{00000000-0005-0000-0000-00009D080000}"/>
    <cellStyle name="Comma 4 2 3 3 8" xfId="2771" xr:uid="{00000000-0005-0000-0000-00009E080000}"/>
    <cellStyle name="Comma 4 2 3 3 8 2" xfId="6995" xr:uid="{00000000-0005-0000-0000-00009F080000}"/>
    <cellStyle name="Comma 4 2 3 3 8 2 2" xfId="15431" xr:uid="{F094A94B-0A40-4E1D-84A0-77FF8B4D7658}"/>
    <cellStyle name="Comma 4 2 3 3 8 3" xfId="11213" xr:uid="{79BB82FB-5B11-4286-A7CB-2110BE1BB1CF}"/>
    <cellStyle name="Comma 4 2 3 3 9" xfId="4612" xr:uid="{00000000-0005-0000-0000-0000A0080000}"/>
    <cellStyle name="Comma 4 2 3 3 9 2" xfId="13048" xr:uid="{7049C624-3BA8-4E2E-864D-4E96C0DC8CCA}"/>
    <cellStyle name="Comma 4 2 3 4" xfId="674" xr:uid="{00000000-0005-0000-0000-0000A1080000}"/>
    <cellStyle name="Comma 4 2 3 4 2" xfId="2945" xr:uid="{00000000-0005-0000-0000-0000A2080000}"/>
    <cellStyle name="Comma 4 2 3 4 2 2" xfId="7168" xr:uid="{00000000-0005-0000-0000-0000A3080000}"/>
    <cellStyle name="Comma 4 2 3 4 2 2 2" xfId="15604" xr:uid="{39DC390F-BE16-412C-90EE-A68AC914431C}"/>
    <cellStyle name="Comma 4 2 3 4 2 3" xfId="11386" xr:uid="{59FC55C1-345F-43C7-B170-6C49E71A7D67}"/>
    <cellStyle name="Comma 4 2 3 4 3" xfId="5023" xr:uid="{00000000-0005-0000-0000-0000A4080000}"/>
    <cellStyle name="Comma 4 2 3 4 3 2" xfId="13459" xr:uid="{8F0944D9-033A-4012-8CB5-E269DF8A8E17}"/>
    <cellStyle name="Comma 4 2 3 4 4" xfId="9241" xr:uid="{B9A9A6FF-2249-4873-80E2-711BB8944927}"/>
    <cellStyle name="Comma 4 2 3 5" xfId="1127" xr:uid="{00000000-0005-0000-0000-0000A5080000}"/>
    <cellStyle name="Comma 4 2 3 5 2" xfId="3358" xr:uid="{00000000-0005-0000-0000-0000A6080000}"/>
    <cellStyle name="Comma 4 2 3 5 2 2" xfId="7581" xr:uid="{00000000-0005-0000-0000-0000A7080000}"/>
    <cellStyle name="Comma 4 2 3 5 2 2 2" xfId="16017" xr:uid="{2CBDD9C4-802F-4E5A-B25A-86D365E631C4}"/>
    <cellStyle name="Comma 4 2 3 5 2 3" xfId="11799" xr:uid="{EA98B2BE-1112-4F22-A365-78E1902D7BEC}"/>
    <cellStyle name="Comma 4 2 3 5 3" xfId="5436" xr:uid="{00000000-0005-0000-0000-0000A8080000}"/>
    <cellStyle name="Comma 4 2 3 5 3 2" xfId="13872" xr:uid="{680D8414-E7E2-4415-A54B-290DE4676DC7}"/>
    <cellStyle name="Comma 4 2 3 5 4" xfId="9654" xr:uid="{4F9C8606-5C02-4879-B5ED-F9A3CB3D2DC0}"/>
    <cellStyle name="Comma 4 2 3 6" xfId="1541" xr:uid="{00000000-0005-0000-0000-0000A9080000}"/>
    <cellStyle name="Comma 4 2 3 6 2" xfId="3771" xr:uid="{00000000-0005-0000-0000-0000AA080000}"/>
    <cellStyle name="Comma 4 2 3 6 2 2" xfId="7994" xr:uid="{00000000-0005-0000-0000-0000AB080000}"/>
    <cellStyle name="Comma 4 2 3 6 2 2 2" xfId="16430" xr:uid="{943A6404-786A-4ACF-A4DA-DC983A91720D}"/>
    <cellStyle name="Comma 4 2 3 6 2 3" xfId="12212" xr:uid="{D834A6DA-E425-4E9D-A105-35AF3812B735}"/>
    <cellStyle name="Comma 4 2 3 6 3" xfId="5849" xr:uid="{00000000-0005-0000-0000-0000AC080000}"/>
    <cellStyle name="Comma 4 2 3 6 3 2" xfId="14285" xr:uid="{7896F1D8-5BD2-45AA-BA04-8B4B076C0E03}"/>
    <cellStyle name="Comma 4 2 3 6 4" xfId="10067" xr:uid="{BC0C83FE-7426-4B31-8416-9E0E3F4A1C98}"/>
    <cellStyle name="Comma 4 2 3 7" xfId="1955" xr:uid="{00000000-0005-0000-0000-0000AD080000}"/>
    <cellStyle name="Comma 4 2 3 7 2" xfId="4184" xr:uid="{00000000-0005-0000-0000-0000AE080000}"/>
    <cellStyle name="Comma 4 2 3 7 2 2" xfId="8407" xr:uid="{00000000-0005-0000-0000-0000AF080000}"/>
    <cellStyle name="Comma 4 2 3 7 2 2 2" xfId="16843" xr:uid="{38A4DF37-665D-4C18-B3C7-80BAFE0B6968}"/>
    <cellStyle name="Comma 4 2 3 7 2 3" xfId="12625" xr:uid="{47A44A61-8001-4B51-9132-71EDB839BAF5}"/>
    <cellStyle name="Comma 4 2 3 7 3" xfId="6262" xr:uid="{00000000-0005-0000-0000-0000B0080000}"/>
    <cellStyle name="Comma 4 2 3 7 3 2" xfId="14698" xr:uid="{27A13D37-7C73-4755-B47C-BC575A816FE3}"/>
    <cellStyle name="Comma 4 2 3 7 4" xfId="10480" xr:uid="{09FDD941-0BFA-461D-82BD-2AB4B704C07D}"/>
    <cellStyle name="Comma 4 2 3 8" xfId="2390" xr:uid="{00000000-0005-0000-0000-0000B1080000}"/>
    <cellStyle name="Comma 4 2 3 8 2" xfId="6675" xr:uid="{00000000-0005-0000-0000-0000B2080000}"/>
    <cellStyle name="Comma 4 2 3 8 2 2" xfId="15111" xr:uid="{A00F9868-B57B-48E8-9B85-D9AF70E21554}"/>
    <cellStyle name="Comma 4 2 3 8 3" xfId="10893" xr:uid="{99A72F9F-D090-404A-897D-A284ACA9F7E7}"/>
    <cellStyle name="Comma 4 2 3 9" xfId="2373" xr:uid="{00000000-0005-0000-0000-0000B3080000}"/>
    <cellStyle name="Comma 4 2 4" xfId="140" xr:uid="{00000000-0005-0000-0000-0000B4080000}"/>
    <cellStyle name="Comma 4 2 4 10" xfId="4613" xr:uid="{00000000-0005-0000-0000-0000B5080000}"/>
    <cellStyle name="Comma 4 2 4 10 2" xfId="13049" xr:uid="{AF5AA4ED-F2F3-4EB9-B4DC-B277EC9C3A08}"/>
    <cellStyle name="Comma 4 2 4 11" xfId="8831" xr:uid="{DE40313C-07F3-4A6F-807E-FD3BFFD82DC7}"/>
    <cellStyle name="Comma 4 2 4 2" xfId="141" xr:uid="{00000000-0005-0000-0000-0000B6080000}"/>
    <cellStyle name="Comma 4 2 4 2 10" xfId="8832" xr:uid="{F2C238D7-D820-44F4-90F4-817DFC8BA3AE}"/>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09" xr:uid="{3482F76F-A0D2-43D7-917B-BB9B0A6E9D00}"/>
    <cellStyle name="Comma 4 2 4 2 2 2 3" xfId="11391" xr:uid="{CEC07E5D-0BCB-4C0C-8CAA-39EE597D3F77}"/>
    <cellStyle name="Comma 4 2 4 2 2 3" xfId="5028" xr:uid="{00000000-0005-0000-0000-0000BA080000}"/>
    <cellStyle name="Comma 4 2 4 2 2 3 2" xfId="13464" xr:uid="{6C15A5FC-9D43-4C7E-979A-2611A6ED7049}"/>
    <cellStyle name="Comma 4 2 4 2 2 4" xfId="9246" xr:uid="{525C32B6-029A-4F2C-8178-67270F0C49E1}"/>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2" xr:uid="{971D8737-0DD9-4D06-BF8D-D104C5CF07D4}"/>
    <cellStyle name="Comma 4 2 4 2 3 2 3" xfId="11804" xr:uid="{2BACE247-2409-4839-9C7E-3D80AA8B73AF}"/>
    <cellStyle name="Comma 4 2 4 2 3 3" xfId="5441" xr:uid="{00000000-0005-0000-0000-0000BE080000}"/>
    <cellStyle name="Comma 4 2 4 2 3 3 2" xfId="13877" xr:uid="{E385E623-CFA9-47AA-AA42-C26898B93AE3}"/>
    <cellStyle name="Comma 4 2 4 2 3 4" xfId="9659" xr:uid="{7C8EE0AB-1B78-4B34-B21E-63D005FD4B9D}"/>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5" xr:uid="{FECC576D-C798-4554-BA99-79378A84A493}"/>
    <cellStyle name="Comma 4 2 4 2 4 2 3" xfId="12217" xr:uid="{7B0F708D-0549-422B-9B54-83E1D2E7B70D}"/>
    <cellStyle name="Comma 4 2 4 2 4 3" xfId="5854" xr:uid="{00000000-0005-0000-0000-0000C2080000}"/>
    <cellStyle name="Comma 4 2 4 2 4 3 2" xfId="14290" xr:uid="{375516A0-48E6-41D6-BFE9-70DB84766797}"/>
    <cellStyle name="Comma 4 2 4 2 4 4" xfId="10072" xr:uid="{109639E9-D98E-4F5A-8D9E-91366CC851A6}"/>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48" xr:uid="{43FFEAA8-3624-48E5-B437-6A7948179FA7}"/>
    <cellStyle name="Comma 4 2 4 2 5 2 3" xfId="12630" xr:uid="{8B850E39-0D40-44D9-9487-667960DA98A1}"/>
    <cellStyle name="Comma 4 2 4 2 5 3" xfId="6267" xr:uid="{00000000-0005-0000-0000-0000C6080000}"/>
    <cellStyle name="Comma 4 2 4 2 5 3 2" xfId="14703" xr:uid="{1B90A667-DD84-4119-9BD4-25706785269E}"/>
    <cellStyle name="Comma 4 2 4 2 5 4" xfId="10485" xr:uid="{760B78CE-F6D8-469C-B6A5-31E68804C10F}"/>
    <cellStyle name="Comma 4 2 4 2 6" xfId="2395" xr:uid="{00000000-0005-0000-0000-0000C7080000}"/>
    <cellStyle name="Comma 4 2 4 2 6 2" xfId="6680" xr:uid="{00000000-0005-0000-0000-0000C8080000}"/>
    <cellStyle name="Comma 4 2 4 2 6 2 2" xfId="15116" xr:uid="{26959231-31D0-40EF-810C-F562A20E8C46}"/>
    <cellStyle name="Comma 4 2 4 2 6 3" xfId="10898" xr:uid="{E5E46062-2109-487B-A6AE-83589FC25B8C}"/>
    <cellStyle name="Comma 4 2 4 2 7" xfId="2368" xr:uid="{00000000-0005-0000-0000-0000C9080000}"/>
    <cellStyle name="Comma 4 2 4 2 8" xfId="2773" xr:uid="{00000000-0005-0000-0000-0000CA080000}"/>
    <cellStyle name="Comma 4 2 4 2 8 2" xfId="6997" xr:uid="{00000000-0005-0000-0000-0000CB080000}"/>
    <cellStyle name="Comma 4 2 4 2 8 2 2" xfId="15433" xr:uid="{7FA9A20B-A68E-4E7B-B8FF-57C1D0D35CE8}"/>
    <cellStyle name="Comma 4 2 4 2 8 3" xfId="11215" xr:uid="{7A45F7AF-C0D1-4723-B327-AB880009F591}"/>
    <cellStyle name="Comma 4 2 4 2 9" xfId="4614" xr:uid="{00000000-0005-0000-0000-0000CC080000}"/>
    <cellStyle name="Comma 4 2 4 2 9 2" xfId="13050" xr:uid="{22E147BF-EAF4-4945-B96D-66430EB65983}"/>
    <cellStyle name="Comma 4 2 4 3" xfId="678" xr:uid="{00000000-0005-0000-0000-0000CD080000}"/>
    <cellStyle name="Comma 4 2 4 3 2" xfId="2949" xr:uid="{00000000-0005-0000-0000-0000CE080000}"/>
    <cellStyle name="Comma 4 2 4 3 2 2" xfId="7172" xr:uid="{00000000-0005-0000-0000-0000CF080000}"/>
    <cellStyle name="Comma 4 2 4 3 2 2 2" xfId="15608" xr:uid="{9B15FE42-CA21-48A0-B447-4927F9C41D07}"/>
    <cellStyle name="Comma 4 2 4 3 2 3" xfId="11390" xr:uid="{D60F008B-E7BD-45A7-B2CE-8D78D0B0F6C9}"/>
    <cellStyle name="Comma 4 2 4 3 3" xfId="5027" xr:uid="{00000000-0005-0000-0000-0000D0080000}"/>
    <cellStyle name="Comma 4 2 4 3 3 2" xfId="13463" xr:uid="{F8C2CAFC-4A25-4A5F-8F27-5F0E73751ED3}"/>
    <cellStyle name="Comma 4 2 4 3 4" xfId="9245" xr:uid="{37029258-7BFF-49CC-827B-3DE9ABDE7435}"/>
    <cellStyle name="Comma 4 2 4 4" xfId="1131" xr:uid="{00000000-0005-0000-0000-0000D1080000}"/>
    <cellStyle name="Comma 4 2 4 4 2" xfId="3362" xr:uid="{00000000-0005-0000-0000-0000D2080000}"/>
    <cellStyle name="Comma 4 2 4 4 2 2" xfId="7585" xr:uid="{00000000-0005-0000-0000-0000D3080000}"/>
    <cellStyle name="Comma 4 2 4 4 2 2 2" xfId="16021" xr:uid="{52F82E98-F274-4CB9-B238-D4F1F0A3FE87}"/>
    <cellStyle name="Comma 4 2 4 4 2 3" xfId="11803" xr:uid="{DE04C35E-FBCC-4163-A545-D0CB3CDA18A0}"/>
    <cellStyle name="Comma 4 2 4 4 3" xfId="5440" xr:uid="{00000000-0005-0000-0000-0000D4080000}"/>
    <cellStyle name="Comma 4 2 4 4 3 2" xfId="13876" xr:uid="{58CABBAE-8B90-4DAD-A1A1-BB0C8FF12823}"/>
    <cellStyle name="Comma 4 2 4 4 4" xfId="9658" xr:uid="{814BB88C-930C-4DE5-9530-E13DC812C98A}"/>
    <cellStyle name="Comma 4 2 4 5" xfId="1545" xr:uid="{00000000-0005-0000-0000-0000D5080000}"/>
    <cellStyle name="Comma 4 2 4 5 2" xfId="3775" xr:uid="{00000000-0005-0000-0000-0000D6080000}"/>
    <cellStyle name="Comma 4 2 4 5 2 2" xfId="7998" xr:uid="{00000000-0005-0000-0000-0000D7080000}"/>
    <cellStyle name="Comma 4 2 4 5 2 2 2" xfId="16434" xr:uid="{12900840-6AF8-423B-A247-4301A3E78FAA}"/>
    <cellStyle name="Comma 4 2 4 5 2 3" xfId="12216" xr:uid="{9B5786C6-F51C-42DD-A42E-F377F1C80908}"/>
    <cellStyle name="Comma 4 2 4 5 3" xfId="5853" xr:uid="{00000000-0005-0000-0000-0000D8080000}"/>
    <cellStyle name="Comma 4 2 4 5 3 2" xfId="14289" xr:uid="{4C018AAC-33DF-4C97-9695-2E0B6252EDEA}"/>
    <cellStyle name="Comma 4 2 4 5 4" xfId="10071" xr:uid="{32C89DBE-F82D-4D1C-96B8-159282954BEA}"/>
    <cellStyle name="Comma 4 2 4 6" xfId="1959" xr:uid="{00000000-0005-0000-0000-0000D9080000}"/>
    <cellStyle name="Comma 4 2 4 6 2" xfId="4188" xr:uid="{00000000-0005-0000-0000-0000DA080000}"/>
    <cellStyle name="Comma 4 2 4 6 2 2" xfId="8411" xr:uid="{00000000-0005-0000-0000-0000DB080000}"/>
    <cellStyle name="Comma 4 2 4 6 2 2 2" xfId="16847" xr:uid="{4BDF40AA-C377-4C2C-A73F-80B4ACF6D027}"/>
    <cellStyle name="Comma 4 2 4 6 2 3" xfId="12629" xr:uid="{081758FB-1094-4F98-A671-C04B61E3BF0A}"/>
    <cellStyle name="Comma 4 2 4 6 3" xfId="6266" xr:uid="{00000000-0005-0000-0000-0000DC080000}"/>
    <cellStyle name="Comma 4 2 4 6 3 2" xfId="14702" xr:uid="{129244C1-0B55-4121-A629-84495B7652C5}"/>
    <cellStyle name="Comma 4 2 4 6 4" xfId="10484" xr:uid="{0C2DF8AB-0BE2-4C90-8E11-DD08D81BF306}"/>
    <cellStyle name="Comma 4 2 4 7" xfId="2394" xr:uid="{00000000-0005-0000-0000-0000DD080000}"/>
    <cellStyle name="Comma 4 2 4 7 2" xfId="6679" xr:uid="{00000000-0005-0000-0000-0000DE080000}"/>
    <cellStyle name="Comma 4 2 4 7 2 2" xfId="15115" xr:uid="{6A871F72-E196-46BD-BE74-31C0F0533494}"/>
    <cellStyle name="Comma 4 2 4 7 3" xfId="10897" xr:uid="{0E1DC198-C6ED-4636-900D-A24B2ED97EC5}"/>
    <cellStyle name="Comma 4 2 4 8" xfId="2369" xr:uid="{00000000-0005-0000-0000-0000DF080000}"/>
    <cellStyle name="Comma 4 2 4 9" xfId="2772" xr:uid="{00000000-0005-0000-0000-0000E0080000}"/>
    <cellStyle name="Comma 4 2 4 9 2" xfId="6996" xr:uid="{00000000-0005-0000-0000-0000E1080000}"/>
    <cellStyle name="Comma 4 2 4 9 2 2" xfId="15432" xr:uid="{5C8D466A-299B-4B85-A172-8D63E1584CB8}"/>
    <cellStyle name="Comma 4 2 4 9 3" xfId="11214" xr:uid="{5034487C-859D-43D0-A4F3-548F0C1CADD9}"/>
    <cellStyle name="Comma 4 2 5" xfId="142" xr:uid="{00000000-0005-0000-0000-0000E2080000}"/>
    <cellStyle name="Comma 4 2 5 10" xfId="8833" xr:uid="{9C0A35AF-BB4C-4E1C-A4C9-0FB3773C397A}"/>
    <cellStyle name="Comma 4 2 5 2" xfId="680" xr:uid="{00000000-0005-0000-0000-0000E3080000}"/>
    <cellStyle name="Comma 4 2 5 2 2" xfId="2951" xr:uid="{00000000-0005-0000-0000-0000E4080000}"/>
    <cellStyle name="Comma 4 2 5 2 2 2" xfId="7174" xr:uid="{00000000-0005-0000-0000-0000E5080000}"/>
    <cellStyle name="Comma 4 2 5 2 2 2 2" xfId="15610" xr:uid="{07228D70-F91C-4769-A704-F032208B5E64}"/>
    <cellStyle name="Comma 4 2 5 2 2 3" xfId="11392" xr:uid="{8B365313-1B13-42B2-BBA3-847EF5DE3EEB}"/>
    <cellStyle name="Comma 4 2 5 2 3" xfId="5029" xr:uid="{00000000-0005-0000-0000-0000E6080000}"/>
    <cellStyle name="Comma 4 2 5 2 3 2" xfId="13465" xr:uid="{9558506A-B78B-4767-8D14-E8820D970531}"/>
    <cellStyle name="Comma 4 2 5 2 4" xfId="9247" xr:uid="{0A4CF407-0C55-45B7-A235-ADE0DC868BD9}"/>
    <cellStyle name="Comma 4 2 5 3" xfId="1133" xr:uid="{00000000-0005-0000-0000-0000E7080000}"/>
    <cellStyle name="Comma 4 2 5 3 2" xfId="3364" xr:uid="{00000000-0005-0000-0000-0000E8080000}"/>
    <cellStyle name="Comma 4 2 5 3 2 2" xfId="7587" xr:uid="{00000000-0005-0000-0000-0000E9080000}"/>
    <cellStyle name="Comma 4 2 5 3 2 2 2" xfId="16023" xr:uid="{83775B0F-6081-4ACC-B79A-ECC338C87F4F}"/>
    <cellStyle name="Comma 4 2 5 3 2 3" xfId="11805" xr:uid="{339F68DC-592B-46E7-9590-51CA56D0D193}"/>
    <cellStyle name="Comma 4 2 5 3 3" xfId="5442" xr:uid="{00000000-0005-0000-0000-0000EA080000}"/>
    <cellStyle name="Comma 4 2 5 3 3 2" xfId="13878" xr:uid="{4D0D899E-B09B-4B55-AAAC-5D1ABF879518}"/>
    <cellStyle name="Comma 4 2 5 3 4" xfId="9660" xr:uid="{546D8E70-9BE9-43B0-8FB2-AAD87046CF5E}"/>
    <cellStyle name="Comma 4 2 5 4" xfId="1547" xr:uid="{00000000-0005-0000-0000-0000EB080000}"/>
    <cellStyle name="Comma 4 2 5 4 2" xfId="3777" xr:uid="{00000000-0005-0000-0000-0000EC080000}"/>
    <cellStyle name="Comma 4 2 5 4 2 2" xfId="8000" xr:uid="{00000000-0005-0000-0000-0000ED080000}"/>
    <cellStyle name="Comma 4 2 5 4 2 2 2" xfId="16436" xr:uid="{D942A1B6-056F-4C93-94C5-CB9E61AE9A25}"/>
    <cellStyle name="Comma 4 2 5 4 2 3" xfId="12218" xr:uid="{AC04D6D4-B4BF-4F01-B37A-FB57CCEB3974}"/>
    <cellStyle name="Comma 4 2 5 4 3" xfId="5855" xr:uid="{00000000-0005-0000-0000-0000EE080000}"/>
    <cellStyle name="Comma 4 2 5 4 3 2" xfId="14291" xr:uid="{BEF26D6F-5E10-4F2D-AF2A-3E59CB4FB8EB}"/>
    <cellStyle name="Comma 4 2 5 4 4" xfId="10073" xr:uid="{330F154F-0874-49D2-B8F8-95852C9773E9}"/>
    <cellStyle name="Comma 4 2 5 5" xfId="1961" xr:uid="{00000000-0005-0000-0000-0000EF080000}"/>
    <cellStyle name="Comma 4 2 5 5 2" xfId="4190" xr:uid="{00000000-0005-0000-0000-0000F0080000}"/>
    <cellStyle name="Comma 4 2 5 5 2 2" xfId="8413" xr:uid="{00000000-0005-0000-0000-0000F1080000}"/>
    <cellStyle name="Comma 4 2 5 5 2 2 2" xfId="16849" xr:uid="{A202456F-CF03-4467-BFD5-3DF470551BED}"/>
    <cellStyle name="Comma 4 2 5 5 2 3" xfId="12631" xr:uid="{8F9F86F4-3EF7-490A-9BAD-F7969829A0E5}"/>
    <cellStyle name="Comma 4 2 5 5 3" xfId="6268" xr:uid="{00000000-0005-0000-0000-0000F2080000}"/>
    <cellStyle name="Comma 4 2 5 5 3 2" xfId="14704" xr:uid="{57DD86BF-0F96-4EFD-98D6-E92458349743}"/>
    <cellStyle name="Comma 4 2 5 5 4" xfId="10486" xr:uid="{CF5C70A4-632E-45AF-AA2B-89F02F2C5001}"/>
    <cellStyle name="Comma 4 2 5 6" xfId="2396" xr:uid="{00000000-0005-0000-0000-0000F3080000}"/>
    <cellStyle name="Comma 4 2 5 6 2" xfId="6681" xr:uid="{00000000-0005-0000-0000-0000F4080000}"/>
    <cellStyle name="Comma 4 2 5 6 2 2" xfId="15117" xr:uid="{F094339A-82F6-46A2-BDB3-8CD7C6FB313C}"/>
    <cellStyle name="Comma 4 2 5 6 3" xfId="10899" xr:uid="{DE1D572E-3397-45A6-AA45-A8C8371D0F35}"/>
    <cellStyle name="Comma 4 2 5 7" xfId="2367" xr:uid="{00000000-0005-0000-0000-0000F5080000}"/>
    <cellStyle name="Comma 4 2 5 8" xfId="2774" xr:uid="{00000000-0005-0000-0000-0000F6080000}"/>
    <cellStyle name="Comma 4 2 5 8 2" xfId="6998" xr:uid="{00000000-0005-0000-0000-0000F7080000}"/>
    <cellStyle name="Comma 4 2 5 8 2 2" xfId="15434" xr:uid="{4B7F44A9-E2F0-4321-83D9-EE51B8D7A5CD}"/>
    <cellStyle name="Comma 4 2 5 8 3" xfId="11216" xr:uid="{57A43C86-4C13-4CA6-A68B-C5B32139AF70}"/>
    <cellStyle name="Comma 4 2 5 9" xfId="4615" xr:uid="{00000000-0005-0000-0000-0000F8080000}"/>
    <cellStyle name="Comma 4 2 5 9 2" xfId="13051" xr:uid="{CD257B4E-6B68-44E2-8B18-32A6C7C1FE4F}"/>
    <cellStyle name="Comma 4 2 6" xfId="143" xr:uid="{00000000-0005-0000-0000-0000F9080000}"/>
    <cellStyle name="Comma 4 2 6 10" xfId="8834" xr:uid="{E0DF6E47-FC7E-4229-9049-90176D306B03}"/>
    <cellStyle name="Comma 4 2 6 2" xfId="681" xr:uid="{00000000-0005-0000-0000-0000FA080000}"/>
    <cellStyle name="Comma 4 2 6 2 2" xfId="2952" xr:uid="{00000000-0005-0000-0000-0000FB080000}"/>
    <cellStyle name="Comma 4 2 6 2 2 2" xfId="7175" xr:uid="{00000000-0005-0000-0000-0000FC080000}"/>
    <cellStyle name="Comma 4 2 6 2 2 2 2" xfId="15611" xr:uid="{18BEA82F-DD76-49B1-BF6C-6B526F9B4776}"/>
    <cellStyle name="Comma 4 2 6 2 2 3" xfId="11393" xr:uid="{66D056FB-172E-4790-9367-E9783F855AA7}"/>
    <cellStyle name="Comma 4 2 6 2 3" xfId="5030" xr:uid="{00000000-0005-0000-0000-0000FD080000}"/>
    <cellStyle name="Comma 4 2 6 2 3 2" xfId="13466" xr:uid="{1CFE1AB0-37FD-47A2-8F4A-EB0646570EC6}"/>
    <cellStyle name="Comma 4 2 6 2 4" xfId="9248" xr:uid="{E85E4C46-9592-4B31-BCD5-DDFBF2F3182C}"/>
    <cellStyle name="Comma 4 2 6 3" xfId="1134" xr:uid="{00000000-0005-0000-0000-0000FE080000}"/>
    <cellStyle name="Comma 4 2 6 3 2" xfId="3365" xr:uid="{00000000-0005-0000-0000-0000FF080000}"/>
    <cellStyle name="Comma 4 2 6 3 2 2" xfId="7588" xr:uid="{00000000-0005-0000-0000-000000090000}"/>
    <cellStyle name="Comma 4 2 6 3 2 2 2" xfId="16024" xr:uid="{AC4DCBC8-BDE9-47C8-AD31-7B917D40A191}"/>
    <cellStyle name="Comma 4 2 6 3 2 3" xfId="11806" xr:uid="{E1939A99-FD24-43A1-AF33-19A3AC6A3985}"/>
    <cellStyle name="Comma 4 2 6 3 3" xfId="5443" xr:uid="{00000000-0005-0000-0000-000001090000}"/>
    <cellStyle name="Comma 4 2 6 3 3 2" xfId="13879" xr:uid="{A8A3A259-52A1-41D9-8E4E-479183E1D0D6}"/>
    <cellStyle name="Comma 4 2 6 3 4" xfId="9661" xr:uid="{C052217E-46BA-4C96-A250-06E343427233}"/>
    <cellStyle name="Comma 4 2 6 4" xfId="1548" xr:uid="{00000000-0005-0000-0000-000002090000}"/>
    <cellStyle name="Comma 4 2 6 4 2" xfId="3778" xr:uid="{00000000-0005-0000-0000-000003090000}"/>
    <cellStyle name="Comma 4 2 6 4 2 2" xfId="8001" xr:uid="{00000000-0005-0000-0000-000004090000}"/>
    <cellStyle name="Comma 4 2 6 4 2 2 2" xfId="16437" xr:uid="{4D8F6AFA-553F-4660-90DC-23155205E920}"/>
    <cellStyle name="Comma 4 2 6 4 2 3" xfId="12219" xr:uid="{35FEDD4E-C6CB-467F-A372-CC0EE0999125}"/>
    <cellStyle name="Comma 4 2 6 4 3" xfId="5856" xr:uid="{00000000-0005-0000-0000-000005090000}"/>
    <cellStyle name="Comma 4 2 6 4 3 2" xfId="14292" xr:uid="{A671627C-2D7D-42A8-8B29-2E95C9E074BF}"/>
    <cellStyle name="Comma 4 2 6 4 4" xfId="10074" xr:uid="{6631159E-7ECD-4F96-9810-13E67B69F54C}"/>
    <cellStyle name="Comma 4 2 6 5" xfId="1962" xr:uid="{00000000-0005-0000-0000-000006090000}"/>
    <cellStyle name="Comma 4 2 6 5 2" xfId="4191" xr:uid="{00000000-0005-0000-0000-000007090000}"/>
    <cellStyle name="Comma 4 2 6 5 2 2" xfId="8414" xr:uid="{00000000-0005-0000-0000-000008090000}"/>
    <cellStyle name="Comma 4 2 6 5 2 2 2" xfId="16850" xr:uid="{974C9C8C-2B91-44A2-9FB4-B3C2642D1207}"/>
    <cellStyle name="Comma 4 2 6 5 2 3" xfId="12632" xr:uid="{4E08EF69-87F1-4010-ACD2-1B1639EEDDBC}"/>
    <cellStyle name="Comma 4 2 6 5 3" xfId="6269" xr:uid="{00000000-0005-0000-0000-000009090000}"/>
    <cellStyle name="Comma 4 2 6 5 3 2" xfId="14705" xr:uid="{3C4F611B-574F-47F1-A52B-EDF055A4A7EE}"/>
    <cellStyle name="Comma 4 2 6 5 4" xfId="10487" xr:uid="{335E0324-F1DE-4B51-92CA-A53A4915D2A0}"/>
    <cellStyle name="Comma 4 2 6 6" xfId="2397" xr:uid="{00000000-0005-0000-0000-00000A090000}"/>
    <cellStyle name="Comma 4 2 6 6 2" xfId="6682" xr:uid="{00000000-0005-0000-0000-00000B090000}"/>
    <cellStyle name="Comma 4 2 6 6 2 2" xfId="15118" xr:uid="{5E48C924-2079-4023-BDD1-6288C9788794}"/>
    <cellStyle name="Comma 4 2 6 6 3" xfId="10900" xr:uid="{C64E35AD-6E62-42A0-A3A2-267F06224BAC}"/>
    <cellStyle name="Comma 4 2 6 7" xfId="2366" xr:uid="{00000000-0005-0000-0000-00000C090000}"/>
    <cellStyle name="Comma 4 2 6 8" xfId="2775" xr:uid="{00000000-0005-0000-0000-00000D090000}"/>
    <cellStyle name="Comma 4 2 6 8 2" xfId="6999" xr:uid="{00000000-0005-0000-0000-00000E090000}"/>
    <cellStyle name="Comma 4 2 6 8 2 2" xfId="15435" xr:uid="{CAD6CC4D-FCAB-4E1F-B0D1-4F65E6E57516}"/>
    <cellStyle name="Comma 4 2 6 8 3" xfId="11217" xr:uid="{841D42DF-B5C3-4358-9D2C-204AB5636C80}"/>
    <cellStyle name="Comma 4 2 6 9" xfId="4616" xr:uid="{00000000-0005-0000-0000-00000F090000}"/>
    <cellStyle name="Comma 4 2 6 9 2" xfId="13052" xr:uid="{955B09BC-762E-4AB4-88B2-19FA7EB7C87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6" xr:uid="{8B5D7A3D-641C-4F48-AD29-270D782E33F2}"/>
    <cellStyle name="Comma 4 3 2 10 3" xfId="11218" xr:uid="{53A6625A-D70A-4AEF-B1D8-7720457E6E9B}"/>
    <cellStyle name="Comma 4 3 2 11" xfId="4617" xr:uid="{00000000-0005-0000-0000-000014090000}"/>
    <cellStyle name="Comma 4 3 2 11 2" xfId="13053" xr:uid="{E9680D84-7D7E-4559-AFEB-CFB60D72E9F4}"/>
    <cellStyle name="Comma 4 3 2 12" xfId="8835" xr:uid="{4385C560-EAE9-4C01-A72C-06E628AF043C}"/>
    <cellStyle name="Comma 4 3 2 2" xfId="146" xr:uid="{00000000-0005-0000-0000-000015090000}"/>
    <cellStyle name="Comma 4 3 2 2 10" xfId="4618" xr:uid="{00000000-0005-0000-0000-000016090000}"/>
    <cellStyle name="Comma 4 3 2 2 10 2" xfId="13054" xr:uid="{BF4589D2-6726-4922-A9FC-7EF5913A3B70}"/>
    <cellStyle name="Comma 4 3 2 2 11" xfId="8836" xr:uid="{6E372C3B-272F-437B-8EB9-E41345EC13AB}"/>
    <cellStyle name="Comma 4 3 2 2 2" xfId="147" xr:uid="{00000000-0005-0000-0000-000017090000}"/>
    <cellStyle name="Comma 4 3 2 2 2 10" xfId="8837" xr:uid="{BC181510-85CA-46E4-86C4-7290B3A6E8C2}"/>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4" xr:uid="{BBDA9477-D12F-4D9A-9075-5FE582B97838}"/>
    <cellStyle name="Comma 4 3 2 2 2 2 2 3" xfId="11396" xr:uid="{96792BF4-DED9-413F-8BAA-CD031C622690}"/>
    <cellStyle name="Comma 4 3 2 2 2 2 3" xfId="5033" xr:uid="{00000000-0005-0000-0000-00001B090000}"/>
    <cellStyle name="Comma 4 3 2 2 2 2 3 2" xfId="13469" xr:uid="{C64A249B-79C7-42EA-9305-0E0F059C7087}"/>
    <cellStyle name="Comma 4 3 2 2 2 2 4" xfId="9251" xr:uid="{69855DB6-B3AC-4191-8B4C-346FB12A61CA}"/>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27" xr:uid="{FEF12CC9-E6D8-4875-9C6E-C6B796BDAB0D}"/>
    <cellStyle name="Comma 4 3 2 2 2 3 2 3" xfId="11809" xr:uid="{6C6AE9D2-B59D-4825-B28F-71D740FF07DF}"/>
    <cellStyle name="Comma 4 3 2 2 2 3 3" xfId="5446" xr:uid="{00000000-0005-0000-0000-00001F090000}"/>
    <cellStyle name="Comma 4 3 2 2 2 3 3 2" xfId="13882" xr:uid="{44F63163-CCCC-4493-8B9A-FEC95D49E095}"/>
    <cellStyle name="Comma 4 3 2 2 2 3 4" xfId="9664" xr:uid="{D7784955-360E-4B20-819C-E7FDB13FE9B4}"/>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0" xr:uid="{7F96F5B3-6F9E-44BF-9CF2-DB7DEBE56811}"/>
    <cellStyle name="Comma 4 3 2 2 2 4 2 3" xfId="12222" xr:uid="{1C8C8CDB-76B6-4071-B0F8-9E380BDB906E}"/>
    <cellStyle name="Comma 4 3 2 2 2 4 3" xfId="5859" xr:uid="{00000000-0005-0000-0000-000023090000}"/>
    <cellStyle name="Comma 4 3 2 2 2 4 3 2" xfId="14295" xr:uid="{BE82EC70-8F58-4638-B039-770AFB5F01C0}"/>
    <cellStyle name="Comma 4 3 2 2 2 4 4" xfId="10077" xr:uid="{0B333B86-0568-4AB7-9D1C-4C7971D32277}"/>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3" xr:uid="{8D86EA4E-DDDF-46C1-B084-21E8DA15D299}"/>
    <cellStyle name="Comma 4 3 2 2 2 5 2 3" xfId="12635" xr:uid="{C6521AA5-5298-4D6A-B0AD-649DB552D659}"/>
    <cellStyle name="Comma 4 3 2 2 2 5 3" xfId="6272" xr:uid="{00000000-0005-0000-0000-000027090000}"/>
    <cellStyle name="Comma 4 3 2 2 2 5 3 2" xfId="14708" xr:uid="{9441DF96-457D-47E2-BDAD-23DDEC2A336F}"/>
    <cellStyle name="Comma 4 3 2 2 2 5 4" xfId="10490" xr:uid="{5003748E-B2BD-44AB-88F0-98DC3D95F1BA}"/>
    <cellStyle name="Comma 4 3 2 2 2 6" xfId="2400" xr:uid="{00000000-0005-0000-0000-000028090000}"/>
    <cellStyle name="Comma 4 3 2 2 2 6 2" xfId="6685" xr:uid="{00000000-0005-0000-0000-000029090000}"/>
    <cellStyle name="Comma 4 3 2 2 2 6 2 2" xfId="15121" xr:uid="{804F05AA-4B85-43CF-9130-D64478AA90E6}"/>
    <cellStyle name="Comma 4 3 2 2 2 6 3" xfId="10903" xr:uid="{31C13544-65CE-4E41-A08D-3C54A7D05805}"/>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38" xr:uid="{46C898C8-5FFA-46E3-AC62-7C7238F0346D}"/>
    <cellStyle name="Comma 4 3 2 2 2 8 3" xfId="11220" xr:uid="{142E655F-D666-4F3C-A307-5646B42B63C6}"/>
    <cellStyle name="Comma 4 3 2 2 2 9" xfId="4619" xr:uid="{00000000-0005-0000-0000-00002D090000}"/>
    <cellStyle name="Comma 4 3 2 2 2 9 2" xfId="13055" xr:uid="{448832D8-ABFA-4CD4-A6CE-95511D7F6E37}"/>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3" xr:uid="{98614690-9FAC-4019-9D6A-75AB9B27D8F0}"/>
    <cellStyle name="Comma 4 3 2 2 3 2 3" xfId="11395" xr:uid="{40C1DD49-C5E8-49BE-8577-EB9F4886C7B9}"/>
    <cellStyle name="Comma 4 3 2 2 3 3" xfId="5032" xr:uid="{00000000-0005-0000-0000-000031090000}"/>
    <cellStyle name="Comma 4 3 2 2 3 3 2" xfId="13468" xr:uid="{22E99E9A-F110-4A27-ADAB-E0DBBC4EC370}"/>
    <cellStyle name="Comma 4 3 2 2 3 4" xfId="9250" xr:uid="{C6B33493-CDA2-4300-8806-A22F46465AE0}"/>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6" xr:uid="{A793A8AE-7E44-47B9-8DE5-8DF9BD18394E}"/>
    <cellStyle name="Comma 4 3 2 2 4 2 3" xfId="11808" xr:uid="{97F85DC4-9CB4-46F7-8D31-6113002C19C3}"/>
    <cellStyle name="Comma 4 3 2 2 4 3" xfId="5445" xr:uid="{00000000-0005-0000-0000-000035090000}"/>
    <cellStyle name="Comma 4 3 2 2 4 3 2" xfId="13881" xr:uid="{5DF7D94A-2981-494E-8A8E-2E5D0D11BD22}"/>
    <cellStyle name="Comma 4 3 2 2 4 4" xfId="9663" xr:uid="{DBDC2314-B2AF-4241-8C99-193D2EC4C74E}"/>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39" xr:uid="{3A25463A-4E48-450D-816E-1BDE56F4AF49}"/>
    <cellStyle name="Comma 4 3 2 2 5 2 3" xfId="12221" xr:uid="{A48A0E1B-86D1-491B-A722-F0A113381443}"/>
    <cellStyle name="Comma 4 3 2 2 5 3" xfId="5858" xr:uid="{00000000-0005-0000-0000-000039090000}"/>
    <cellStyle name="Comma 4 3 2 2 5 3 2" xfId="14294" xr:uid="{9389AB7E-BAEF-4610-96B4-E605C0CFF12A}"/>
    <cellStyle name="Comma 4 3 2 2 5 4" xfId="10076" xr:uid="{90ED590E-FC05-48DC-88B2-75C565B1C141}"/>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2" xr:uid="{86620974-0F77-4F27-A2AF-C65CBBA637A3}"/>
    <cellStyle name="Comma 4 3 2 2 6 2 3" xfId="12634" xr:uid="{AA83EED6-7054-4695-9262-227F9F102309}"/>
    <cellStyle name="Comma 4 3 2 2 6 3" xfId="6271" xr:uid="{00000000-0005-0000-0000-00003D090000}"/>
    <cellStyle name="Comma 4 3 2 2 6 3 2" xfId="14707" xr:uid="{5761EF85-C8F1-4E01-AFE4-B69038BF656C}"/>
    <cellStyle name="Comma 4 3 2 2 6 4" xfId="10489" xr:uid="{109F314C-CFEE-41A1-AAA5-42BF6CDDBEDA}"/>
    <cellStyle name="Comma 4 3 2 2 7" xfId="2399" xr:uid="{00000000-0005-0000-0000-00003E090000}"/>
    <cellStyle name="Comma 4 3 2 2 7 2" xfId="6684" xr:uid="{00000000-0005-0000-0000-00003F090000}"/>
    <cellStyle name="Comma 4 3 2 2 7 2 2" xfId="15120" xr:uid="{A3A33F2C-3438-456C-BE3E-21ECECA0386F}"/>
    <cellStyle name="Comma 4 3 2 2 7 3" xfId="10902" xr:uid="{859DAE7A-662A-4A76-B193-87715CCB9B7A}"/>
    <cellStyle name="Comma 4 3 2 2 8" xfId="2364" xr:uid="{00000000-0005-0000-0000-000040090000}"/>
    <cellStyle name="Comma 4 3 2 2 9" xfId="2777" xr:uid="{00000000-0005-0000-0000-000041090000}"/>
    <cellStyle name="Comma 4 3 2 2 9 2" xfId="7001" xr:uid="{00000000-0005-0000-0000-000042090000}"/>
    <cellStyle name="Comma 4 3 2 2 9 2 2" xfId="15437" xr:uid="{1AFF0DED-F67E-47B3-B8EE-61AAC8FDFB39}"/>
    <cellStyle name="Comma 4 3 2 2 9 3" xfId="11219" xr:uid="{2155B54C-DEEB-4FCE-8C30-C0FD3B80A3E7}"/>
    <cellStyle name="Comma 4 3 2 3" xfId="148" xr:uid="{00000000-0005-0000-0000-000043090000}"/>
    <cellStyle name="Comma 4 3 2 3 10" xfId="8838" xr:uid="{41E7A565-92F5-4485-A0B5-7A6B16E5AB52}"/>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5" xr:uid="{FF3D4ADA-C302-4B83-909E-8046A4710044}"/>
    <cellStyle name="Comma 4 3 2 3 2 2 3" xfId="11397" xr:uid="{1EFCE262-DC0C-407F-9E84-E28794C5EEFD}"/>
    <cellStyle name="Comma 4 3 2 3 2 3" xfId="5034" xr:uid="{00000000-0005-0000-0000-000047090000}"/>
    <cellStyle name="Comma 4 3 2 3 2 3 2" xfId="13470" xr:uid="{E80E552B-78AD-4051-A22A-32820542E612}"/>
    <cellStyle name="Comma 4 3 2 3 2 4" xfId="9252" xr:uid="{F6A082DA-0146-4EE8-82E2-E148A80236EF}"/>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28" xr:uid="{0A323673-BE75-455A-8E20-702327D3E713}"/>
    <cellStyle name="Comma 4 3 2 3 3 2 3" xfId="11810" xr:uid="{E938E6F9-ACA0-489D-9569-9D44CD2F5324}"/>
    <cellStyle name="Comma 4 3 2 3 3 3" xfId="5447" xr:uid="{00000000-0005-0000-0000-00004B090000}"/>
    <cellStyle name="Comma 4 3 2 3 3 3 2" xfId="13883" xr:uid="{E9718AED-0C66-4BDC-9A13-9D387774B052}"/>
    <cellStyle name="Comma 4 3 2 3 3 4" xfId="9665" xr:uid="{C1A9E6FF-6204-4D96-A6C9-7F25C3592087}"/>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1" xr:uid="{25D025F1-BC74-4D09-874F-57475B769092}"/>
    <cellStyle name="Comma 4 3 2 3 4 2 3" xfId="12223" xr:uid="{566E8029-75EB-41F1-A390-2C3345772B43}"/>
    <cellStyle name="Comma 4 3 2 3 4 3" xfId="5860" xr:uid="{00000000-0005-0000-0000-00004F090000}"/>
    <cellStyle name="Comma 4 3 2 3 4 3 2" xfId="14296" xr:uid="{B1666246-CE34-4C70-9204-B21AB5258EFA}"/>
    <cellStyle name="Comma 4 3 2 3 4 4" xfId="10078" xr:uid="{0A03B6B1-1E41-49B2-AFDF-A09AC18F8A1D}"/>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4" xr:uid="{ECFC5C7C-139E-4A64-996F-994EBCC3343A}"/>
    <cellStyle name="Comma 4 3 2 3 5 2 3" xfId="12636" xr:uid="{AC21DFE7-D05B-4099-B381-0049DD5F589F}"/>
    <cellStyle name="Comma 4 3 2 3 5 3" xfId="6273" xr:uid="{00000000-0005-0000-0000-000053090000}"/>
    <cellStyle name="Comma 4 3 2 3 5 3 2" xfId="14709" xr:uid="{94A2E836-BBD8-4C9B-A0BB-E8DB7F8359D4}"/>
    <cellStyle name="Comma 4 3 2 3 5 4" xfId="10491" xr:uid="{26292AFD-D835-4F0F-837B-9859182A4C2C}"/>
    <cellStyle name="Comma 4 3 2 3 6" xfId="2401" xr:uid="{00000000-0005-0000-0000-000054090000}"/>
    <cellStyle name="Comma 4 3 2 3 6 2" xfId="6686" xr:uid="{00000000-0005-0000-0000-000055090000}"/>
    <cellStyle name="Comma 4 3 2 3 6 2 2" xfId="15122" xr:uid="{09C66DAD-76AC-47F5-B048-1E713913BB89}"/>
    <cellStyle name="Comma 4 3 2 3 6 3" xfId="10904" xr:uid="{31121D06-B06E-4B82-8EF1-7115B8BE83ED}"/>
    <cellStyle name="Comma 4 3 2 3 7" xfId="2362" xr:uid="{00000000-0005-0000-0000-000056090000}"/>
    <cellStyle name="Comma 4 3 2 3 8" xfId="2779" xr:uid="{00000000-0005-0000-0000-000057090000}"/>
    <cellStyle name="Comma 4 3 2 3 8 2" xfId="7003" xr:uid="{00000000-0005-0000-0000-000058090000}"/>
    <cellStyle name="Comma 4 3 2 3 8 2 2" xfId="15439" xr:uid="{2B9E6A0E-2B1D-4585-B3D2-6680E104C12E}"/>
    <cellStyle name="Comma 4 3 2 3 8 3" xfId="11221" xr:uid="{4A76D8B2-EB84-4A9D-A9E7-1206A2EA2E6F}"/>
    <cellStyle name="Comma 4 3 2 3 9" xfId="4620" xr:uid="{00000000-0005-0000-0000-000059090000}"/>
    <cellStyle name="Comma 4 3 2 3 9 2" xfId="13056" xr:uid="{75D0F33B-00D1-48C5-BC4D-09AE27EC7581}"/>
    <cellStyle name="Comma 4 3 2 4" xfId="682" xr:uid="{00000000-0005-0000-0000-00005A090000}"/>
    <cellStyle name="Comma 4 3 2 4 2" xfId="2953" xr:uid="{00000000-0005-0000-0000-00005B090000}"/>
    <cellStyle name="Comma 4 3 2 4 2 2" xfId="7176" xr:uid="{00000000-0005-0000-0000-00005C090000}"/>
    <cellStyle name="Comma 4 3 2 4 2 2 2" xfId="15612" xr:uid="{8D3CA3AC-CE0D-49B3-BA68-E97DFD607033}"/>
    <cellStyle name="Comma 4 3 2 4 2 3" xfId="11394" xr:uid="{5415A357-EDB2-47CD-9C44-84D6F5997539}"/>
    <cellStyle name="Comma 4 3 2 4 3" xfId="5031" xr:uid="{00000000-0005-0000-0000-00005D090000}"/>
    <cellStyle name="Comma 4 3 2 4 3 2" xfId="13467" xr:uid="{37484FFC-A107-40C2-9AAD-FC963B3E8C91}"/>
    <cellStyle name="Comma 4 3 2 4 4" xfId="9249" xr:uid="{8E362CE2-FFE4-47FF-A20A-C7CE5069B9CC}"/>
    <cellStyle name="Comma 4 3 2 5" xfId="1135" xr:uid="{00000000-0005-0000-0000-00005E090000}"/>
    <cellStyle name="Comma 4 3 2 5 2" xfId="3366" xr:uid="{00000000-0005-0000-0000-00005F090000}"/>
    <cellStyle name="Comma 4 3 2 5 2 2" xfId="7589" xr:uid="{00000000-0005-0000-0000-000060090000}"/>
    <cellStyle name="Comma 4 3 2 5 2 2 2" xfId="16025" xr:uid="{5C78D1CA-87D0-4D47-A543-F0FE15674B37}"/>
    <cellStyle name="Comma 4 3 2 5 2 3" xfId="11807" xr:uid="{48FFFBD6-75A9-4D7D-B6E6-FE5F9F30244B}"/>
    <cellStyle name="Comma 4 3 2 5 3" xfId="5444" xr:uid="{00000000-0005-0000-0000-000061090000}"/>
    <cellStyle name="Comma 4 3 2 5 3 2" xfId="13880" xr:uid="{9E836746-4CE2-4CF0-B02E-352AC7A434CB}"/>
    <cellStyle name="Comma 4 3 2 5 4" xfId="9662" xr:uid="{1767B1CE-CA62-4D2B-8649-D793998B113F}"/>
    <cellStyle name="Comma 4 3 2 6" xfId="1549" xr:uid="{00000000-0005-0000-0000-000062090000}"/>
    <cellStyle name="Comma 4 3 2 6 2" xfId="3779" xr:uid="{00000000-0005-0000-0000-000063090000}"/>
    <cellStyle name="Comma 4 3 2 6 2 2" xfId="8002" xr:uid="{00000000-0005-0000-0000-000064090000}"/>
    <cellStyle name="Comma 4 3 2 6 2 2 2" xfId="16438" xr:uid="{E089D9B9-B5EB-4723-A6E5-B7BD57BB27F2}"/>
    <cellStyle name="Comma 4 3 2 6 2 3" xfId="12220" xr:uid="{D14B105C-B1FC-440B-85F9-E97C57C24851}"/>
    <cellStyle name="Comma 4 3 2 6 3" xfId="5857" xr:uid="{00000000-0005-0000-0000-000065090000}"/>
    <cellStyle name="Comma 4 3 2 6 3 2" xfId="14293" xr:uid="{0D8E035D-D6DE-41A4-AFF4-B0A52051EE6B}"/>
    <cellStyle name="Comma 4 3 2 6 4" xfId="10075" xr:uid="{9471B6FC-AA6C-4BEF-BD93-5637F910A8B4}"/>
    <cellStyle name="Comma 4 3 2 7" xfId="1963" xr:uid="{00000000-0005-0000-0000-000066090000}"/>
    <cellStyle name="Comma 4 3 2 7 2" xfId="4192" xr:uid="{00000000-0005-0000-0000-000067090000}"/>
    <cellStyle name="Comma 4 3 2 7 2 2" xfId="8415" xr:uid="{00000000-0005-0000-0000-000068090000}"/>
    <cellStyle name="Comma 4 3 2 7 2 2 2" xfId="16851" xr:uid="{DE43C978-3DA8-491E-86FA-0A9359EC9387}"/>
    <cellStyle name="Comma 4 3 2 7 2 3" xfId="12633" xr:uid="{D534CB21-4F45-4182-9401-3DF230A7D997}"/>
    <cellStyle name="Comma 4 3 2 7 3" xfId="6270" xr:uid="{00000000-0005-0000-0000-000069090000}"/>
    <cellStyle name="Comma 4 3 2 7 3 2" xfId="14706" xr:uid="{F4D65E11-192F-4250-8F63-D9A234F2C92C}"/>
    <cellStyle name="Comma 4 3 2 7 4" xfId="10488" xr:uid="{C735E5E0-6100-4E56-9913-0548AFB18E9C}"/>
    <cellStyle name="Comma 4 3 2 8" xfId="2398" xr:uid="{00000000-0005-0000-0000-00006A090000}"/>
    <cellStyle name="Comma 4 3 2 8 2" xfId="6683" xr:uid="{00000000-0005-0000-0000-00006B090000}"/>
    <cellStyle name="Comma 4 3 2 8 2 2" xfId="15119" xr:uid="{942B94D5-E32A-47E8-992A-73E08324BFF0}"/>
    <cellStyle name="Comma 4 3 2 8 3" xfId="10901" xr:uid="{8ABB7F34-31E6-42CA-B744-6442987C9DAA}"/>
    <cellStyle name="Comma 4 3 2 9" xfId="2365" xr:uid="{00000000-0005-0000-0000-00006C090000}"/>
    <cellStyle name="Comma 4 3 3" xfId="149" xr:uid="{00000000-0005-0000-0000-00006D090000}"/>
    <cellStyle name="Comma 4 3 3 10" xfId="4621" xr:uid="{00000000-0005-0000-0000-00006E090000}"/>
    <cellStyle name="Comma 4 3 3 10 2" xfId="13057" xr:uid="{37BE869B-E451-4B30-BE6F-10CBCC77A2B6}"/>
    <cellStyle name="Comma 4 3 3 11" xfId="8839" xr:uid="{3BF557B8-D1B3-48DE-9C87-EC9722CEC921}"/>
    <cellStyle name="Comma 4 3 3 2" xfId="150" xr:uid="{00000000-0005-0000-0000-00006F090000}"/>
    <cellStyle name="Comma 4 3 3 2 10" xfId="8840" xr:uid="{0C6CEFFC-9F7C-43F9-9C4F-210B8D29D044}"/>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17" xr:uid="{D32FADDA-3F60-4C54-A294-FA1CCA25200E}"/>
    <cellStyle name="Comma 4 3 3 2 2 2 3" xfId="11399" xr:uid="{372F29A6-FA44-49F2-92D7-1969E48475A7}"/>
    <cellStyle name="Comma 4 3 3 2 2 3" xfId="5036" xr:uid="{00000000-0005-0000-0000-000073090000}"/>
    <cellStyle name="Comma 4 3 3 2 2 3 2" xfId="13472" xr:uid="{4DADB8FB-6639-4215-8B55-9665F7D2B6BE}"/>
    <cellStyle name="Comma 4 3 3 2 2 4" xfId="9254" xr:uid="{B008D1B6-491E-44FB-AAEC-5846C34FC99D}"/>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0" xr:uid="{1A87781F-033B-4FDA-A0E1-CF1D50B0F91C}"/>
    <cellStyle name="Comma 4 3 3 2 3 2 3" xfId="11812" xr:uid="{36367AEE-30A4-4B10-853F-7596BB900C0E}"/>
    <cellStyle name="Comma 4 3 3 2 3 3" xfId="5449" xr:uid="{00000000-0005-0000-0000-000077090000}"/>
    <cellStyle name="Comma 4 3 3 2 3 3 2" xfId="13885" xr:uid="{7227B49A-6B77-42F3-B1BD-BA5BDDD4D151}"/>
    <cellStyle name="Comma 4 3 3 2 3 4" xfId="9667" xr:uid="{5CAE9DFC-AD9B-4043-B7BF-35598DBC36B5}"/>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3" xr:uid="{B905AEA5-208C-49A4-970E-658264160F92}"/>
    <cellStyle name="Comma 4 3 3 2 4 2 3" xfId="12225" xr:uid="{73DFB6C9-47A4-4459-93BE-70251A9300EE}"/>
    <cellStyle name="Comma 4 3 3 2 4 3" xfId="5862" xr:uid="{00000000-0005-0000-0000-00007B090000}"/>
    <cellStyle name="Comma 4 3 3 2 4 3 2" xfId="14298" xr:uid="{D1A688F9-DDBA-4005-B733-7B417E27A2B5}"/>
    <cellStyle name="Comma 4 3 3 2 4 4" xfId="10080" xr:uid="{A1789604-591E-4558-8FF6-75B98CBC32D0}"/>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6" xr:uid="{9C2CC5CA-4DD5-4B69-B1CC-41AC8E04A8CC}"/>
    <cellStyle name="Comma 4 3 3 2 5 2 3" xfId="12638" xr:uid="{A481288B-E188-4873-8EA4-3C0B41BC0A57}"/>
    <cellStyle name="Comma 4 3 3 2 5 3" xfId="6275" xr:uid="{00000000-0005-0000-0000-00007F090000}"/>
    <cellStyle name="Comma 4 3 3 2 5 3 2" xfId="14711" xr:uid="{56DF82DB-1F4D-4E20-B2D2-29CE4A4F575B}"/>
    <cellStyle name="Comma 4 3 3 2 5 4" xfId="10493" xr:uid="{E94C7FB4-8501-4080-ACEF-B39D1D372BCF}"/>
    <cellStyle name="Comma 4 3 3 2 6" xfId="2403" xr:uid="{00000000-0005-0000-0000-000080090000}"/>
    <cellStyle name="Comma 4 3 3 2 6 2" xfId="6688" xr:uid="{00000000-0005-0000-0000-000081090000}"/>
    <cellStyle name="Comma 4 3 3 2 6 2 2" xfId="15124" xr:uid="{7154B94C-D36E-44B6-B6BF-56F509E26D0D}"/>
    <cellStyle name="Comma 4 3 3 2 6 3" xfId="10906" xr:uid="{A4A9CF81-820B-434C-B3B2-5D0DD1EE4697}"/>
    <cellStyle name="Comma 4 3 3 2 7" xfId="2360" xr:uid="{00000000-0005-0000-0000-000082090000}"/>
    <cellStyle name="Comma 4 3 3 2 8" xfId="2781" xr:uid="{00000000-0005-0000-0000-000083090000}"/>
    <cellStyle name="Comma 4 3 3 2 8 2" xfId="7005" xr:uid="{00000000-0005-0000-0000-000084090000}"/>
    <cellStyle name="Comma 4 3 3 2 8 2 2" xfId="15441" xr:uid="{95E7CAF9-16C3-48B1-83CB-DFF593552161}"/>
    <cellStyle name="Comma 4 3 3 2 8 3" xfId="11223" xr:uid="{67710AAC-8EC3-4A07-9F91-C87A4EC396A9}"/>
    <cellStyle name="Comma 4 3 3 2 9" xfId="4622" xr:uid="{00000000-0005-0000-0000-000085090000}"/>
    <cellStyle name="Comma 4 3 3 2 9 2" xfId="13058" xr:uid="{5CF4CEB6-65F2-4DAC-9177-3D7C19073EF6}"/>
    <cellStyle name="Comma 4 3 3 3" xfId="686" xr:uid="{00000000-0005-0000-0000-000086090000}"/>
    <cellStyle name="Comma 4 3 3 3 2" xfId="2957" xr:uid="{00000000-0005-0000-0000-000087090000}"/>
    <cellStyle name="Comma 4 3 3 3 2 2" xfId="7180" xr:uid="{00000000-0005-0000-0000-000088090000}"/>
    <cellStyle name="Comma 4 3 3 3 2 2 2" xfId="15616" xr:uid="{7AE3561C-D6F4-4F05-A8BD-40A699EA9B77}"/>
    <cellStyle name="Comma 4 3 3 3 2 3" xfId="11398" xr:uid="{DC0F66E0-E5C3-49DB-A7A6-4972669ABDDF}"/>
    <cellStyle name="Comma 4 3 3 3 3" xfId="5035" xr:uid="{00000000-0005-0000-0000-000089090000}"/>
    <cellStyle name="Comma 4 3 3 3 3 2" xfId="13471" xr:uid="{0986583A-BBE5-4DA3-8372-877F52826E9B}"/>
    <cellStyle name="Comma 4 3 3 3 4" xfId="9253" xr:uid="{4C7E2F51-B397-4E0A-AD98-1122978A26B2}"/>
    <cellStyle name="Comma 4 3 3 4" xfId="1139" xr:uid="{00000000-0005-0000-0000-00008A090000}"/>
    <cellStyle name="Comma 4 3 3 4 2" xfId="3370" xr:uid="{00000000-0005-0000-0000-00008B090000}"/>
    <cellStyle name="Comma 4 3 3 4 2 2" xfId="7593" xr:uid="{00000000-0005-0000-0000-00008C090000}"/>
    <cellStyle name="Comma 4 3 3 4 2 2 2" xfId="16029" xr:uid="{EB3758F9-A82E-46AE-ABF4-A5FFC73BBB06}"/>
    <cellStyle name="Comma 4 3 3 4 2 3" xfId="11811" xr:uid="{BB8BC980-E338-4E7E-AE58-627F0E0906C1}"/>
    <cellStyle name="Comma 4 3 3 4 3" xfId="5448" xr:uid="{00000000-0005-0000-0000-00008D090000}"/>
    <cellStyle name="Comma 4 3 3 4 3 2" xfId="13884" xr:uid="{CC6BA4C7-531B-45AA-A6D2-CC1318C60E42}"/>
    <cellStyle name="Comma 4 3 3 4 4" xfId="9666" xr:uid="{8602E357-C18C-4523-ABC8-99AA92BFB181}"/>
    <cellStyle name="Comma 4 3 3 5" xfId="1553" xr:uid="{00000000-0005-0000-0000-00008E090000}"/>
    <cellStyle name="Comma 4 3 3 5 2" xfId="3783" xr:uid="{00000000-0005-0000-0000-00008F090000}"/>
    <cellStyle name="Comma 4 3 3 5 2 2" xfId="8006" xr:uid="{00000000-0005-0000-0000-000090090000}"/>
    <cellStyle name="Comma 4 3 3 5 2 2 2" xfId="16442" xr:uid="{686E4737-1A95-4EA5-9BAB-79268586DD71}"/>
    <cellStyle name="Comma 4 3 3 5 2 3" xfId="12224" xr:uid="{4CF21D36-6AE0-4F39-9619-0BD96D625F00}"/>
    <cellStyle name="Comma 4 3 3 5 3" xfId="5861" xr:uid="{00000000-0005-0000-0000-000091090000}"/>
    <cellStyle name="Comma 4 3 3 5 3 2" xfId="14297" xr:uid="{D1867CC3-4833-44CC-8CD9-8B07CAE31C6C}"/>
    <cellStyle name="Comma 4 3 3 5 4" xfId="10079" xr:uid="{A55FC659-61AC-477C-9AB8-C7C5FF635401}"/>
    <cellStyle name="Comma 4 3 3 6" xfId="1967" xr:uid="{00000000-0005-0000-0000-000092090000}"/>
    <cellStyle name="Comma 4 3 3 6 2" xfId="4196" xr:uid="{00000000-0005-0000-0000-000093090000}"/>
    <cellStyle name="Comma 4 3 3 6 2 2" xfId="8419" xr:uid="{00000000-0005-0000-0000-000094090000}"/>
    <cellStyle name="Comma 4 3 3 6 2 2 2" xfId="16855" xr:uid="{398C636D-6748-498B-9B4B-CC8E1247E972}"/>
    <cellStyle name="Comma 4 3 3 6 2 3" xfId="12637" xr:uid="{5BCB1359-DDB5-42A8-BFAD-3DDD0B9E7212}"/>
    <cellStyle name="Comma 4 3 3 6 3" xfId="6274" xr:uid="{00000000-0005-0000-0000-000095090000}"/>
    <cellStyle name="Comma 4 3 3 6 3 2" xfId="14710" xr:uid="{A3233E49-7192-4E0D-8AAB-4DA910D6E629}"/>
    <cellStyle name="Comma 4 3 3 6 4" xfId="10492" xr:uid="{46B7324F-889C-4863-87CA-AC4ED014FE1D}"/>
    <cellStyle name="Comma 4 3 3 7" xfId="2402" xr:uid="{00000000-0005-0000-0000-000096090000}"/>
    <cellStyle name="Comma 4 3 3 7 2" xfId="6687" xr:uid="{00000000-0005-0000-0000-000097090000}"/>
    <cellStyle name="Comma 4 3 3 7 2 2" xfId="15123" xr:uid="{3F52F4CE-F80C-4CC9-93A5-A4D2945384F1}"/>
    <cellStyle name="Comma 4 3 3 7 3" xfId="10905" xr:uid="{5FCC37DF-2E46-469C-B031-C16A14A4EEC4}"/>
    <cellStyle name="Comma 4 3 3 8" xfId="2361" xr:uid="{00000000-0005-0000-0000-000098090000}"/>
    <cellStyle name="Comma 4 3 3 9" xfId="2780" xr:uid="{00000000-0005-0000-0000-000099090000}"/>
    <cellStyle name="Comma 4 3 3 9 2" xfId="7004" xr:uid="{00000000-0005-0000-0000-00009A090000}"/>
    <cellStyle name="Comma 4 3 3 9 2 2" xfId="15440" xr:uid="{9B8DD9C5-3A5B-4F49-BEF6-B2398EA6BD88}"/>
    <cellStyle name="Comma 4 3 3 9 3" xfId="11222" xr:uid="{1A2E50A2-53E9-43E4-8716-55A88A921EE6}"/>
    <cellStyle name="Comma 4 3 4" xfId="151" xr:uid="{00000000-0005-0000-0000-00009B090000}"/>
    <cellStyle name="Comma 4 3 4 10" xfId="8841" xr:uid="{BA21AD3B-EF5F-4426-9B67-A4125A1EE080}"/>
    <cellStyle name="Comma 4 3 4 2" xfId="688" xr:uid="{00000000-0005-0000-0000-00009C090000}"/>
    <cellStyle name="Comma 4 3 4 2 2" xfId="2959" xr:uid="{00000000-0005-0000-0000-00009D090000}"/>
    <cellStyle name="Comma 4 3 4 2 2 2" xfId="7182" xr:uid="{00000000-0005-0000-0000-00009E090000}"/>
    <cellStyle name="Comma 4 3 4 2 2 2 2" xfId="15618" xr:uid="{18F9705B-A867-4E4A-B48A-23D741BC503B}"/>
    <cellStyle name="Comma 4 3 4 2 2 3" xfId="11400" xr:uid="{6BA42FD9-37E4-4815-A0CE-2C48135B7BBB}"/>
    <cellStyle name="Comma 4 3 4 2 3" xfId="5037" xr:uid="{00000000-0005-0000-0000-00009F090000}"/>
    <cellStyle name="Comma 4 3 4 2 3 2" xfId="13473" xr:uid="{C255D218-B5DC-49DF-BD87-F459602D5DA2}"/>
    <cellStyle name="Comma 4 3 4 2 4" xfId="9255" xr:uid="{059AD6E3-330A-4EB3-977E-87E9C61503CB}"/>
    <cellStyle name="Comma 4 3 4 3" xfId="1141" xr:uid="{00000000-0005-0000-0000-0000A0090000}"/>
    <cellStyle name="Comma 4 3 4 3 2" xfId="3372" xr:uid="{00000000-0005-0000-0000-0000A1090000}"/>
    <cellStyle name="Comma 4 3 4 3 2 2" xfId="7595" xr:uid="{00000000-0005-0000-0000-0000A2090000}"/>
    <cellStyle name="Comma 4 3 4 3 2 2 2" xfId="16031" xr:uid="{C14483E6-9599-4CC5-AE8F-3C1BDDC12C5C}"/>
    <cellStyle name="Comma 4 3 4 3 2 3" xfId="11813" xr:uid="{6149662F-DED9-4051-BAD9-C8EF36391161}"/>
    <cellStyle name="Comma 4 3 4 3 3" xfId="5450" xr:uid="{00000000-0005-0000-0000-0000A3090000}"/>
    <cellStyle name="Comma 4 3 4 3 3 2" xfId="13886" xr:uid="{1820F42D-5AAE-4FD1-807C-EC30B82CA691}"/>
    <cellStyle name="Comma 4 3 4 3 4" xfId="9668" xr:uid="{58DDAA48-DBF1-4508-951B-8D9724109511}"/>
    <cellStyle name="Comma 4 3 4 4" xfId="1555" xr:uid="{00000000-0005-0000-0000-0000A4090000}"/>
    <cellStyle name="Comma 4 3 4 4 2" xfId="3785" xr:uid="{00000000-0005-0000-0000-0000A5090000}"/>
    <cellStyle name="Comma 4 3 4 4 2 2" xfId="8008" xr:uid="{00000000-0005-0000-0000-0000A6090000}"/>
    <cellStyle name="Comma 4 3 4 4 2 2 2" xfId="16444" xr:uid="{15FD02C8-ED22-404C-8B34-5F28AA7724A7}"/>
    <cellStyle name="Comma 4 3 4 4 2 3" xfId="12226" xr:uid="{930159E2-1C10-4E12-B0A7-032451C22980}"/>
    <cellStyle name="Comma 4 3 4 4 3" xfId="5863" xr:uid="{00000000-0005-0000-0000-0000A7090000}"/>
    <cellStyle name="Comma 4 3 4 4 3 2" xfId="14299" xr:uid="{96D9B7CC-EF57-4CAE-8AED-BF3D1F1D6FFD}"/>
    <cellStyle name="Comma 4 3 4 4 4" xfId="10081" xr:uid="{ECD4ACE9-1C05-48FE-AA5F-C6BAE36A5F1B}"/>
    <cellStyle name="Comma 4 3 4 5" xfId="1969" xr:uid="{00000000-0005-0000-0000-0000A8090000}"/>
    <cellStyle name="Comma 4 3 4 5 2" xfId="4198" xr:uid="{00000000-0005-0000-0000-0000A9090000}"/>
    <cellStyle name="Comma 4 3 4 5 2 2" xfId="8421" xr:uid="{00000000-0005-0000-0000-0000AA090000}"/>
    <cellStyle name="Comma 4 3 4 5 2 2 2" xfId="16857" xr:uid="{602F54FF-C32F-4531-B0D4-21A70D0A876B}"/>
    <cellStyle name="Comma 4 3 4 5 2 3" xfId="12639" xr:uid="{B5ACB8B1-2D4F-4CBE-BBA4-F02ABEDBA6A9}"/>
    <cellStyle name="Comma 4 3 4 5 3" xfId="6276" xr:uid="{00000000-0005-0000-0000-0000AB090000}"/>
    <cellStyle name="Comma 4 3 4 5 3 2" xfId="14712" xr:uid="{8C711592-BD2C-4268-ABCD-4B01436A7DF8}"/>
    <cellStyle name="Comma 4 3 4 5 4" xfId="10494" xr:uid="{297B5478-12F8-4B47-BE22-D0C628734D0F}"/>
    <cellStyle name="Comma 4 3 4 6" xfId="2404" xr:uid="{00000000-0005-0000-0000-0000AC090000}"/>
    <cellStyle name="Comma 4 3 4 6 2" xfId="6689" xr:uid="{00000000-0005-0000-0000-0000AD090000}"/>
    <cellStyle name="Comma 4 3 4 6 2 2" xfId="15125" xr:uid="{23C804A9-7C82-4D2C-A665-BCFC95184C0B}"/>
    <cellStyle name="Comma 4 3 4 6 3" xfId="10907" xr:uid="{B3314274-E827-4B74-AC14-1A70DC0D7D25}"/>
    <cellStyle name="Comma 4 3 4 7" xfId="2700" xr:uid="{00000000-0005-0000-0000-0000AE090000}"/>
    <cellStyle name="Comma 4 3 4 8" xfId="2782" xr:uid="{00000000-0005-0000-0000-0000AF090000}"/>
    <cellStyle name="Comma 4 3 4 8 2" xfId="7006" xr:uid="{00000000-0005-0000-0000-0000B0090000}"/>
    <cellStyle name="Comma 4 3 4 8 2 2" xfId="15442" xr:uid="{7F8D5BBC-B0E2-44B0-A958-9EDDEA244C6A}"/>
    <cellStyle name="Comma 4 3 4 8 3" xfId="11224" xr:uid="{A34DEA67-5559-42EA-8313-7EBAB3DAF8D4}"/>
    <cellStyle name="Comma 4 3 4 9" xfId="4623" xr:uid="{00000000-0005-0000-0000-0000B1090000}"/>
    <cellStyle name="Comma 4 3 4 9 2" xfId="13059" xr:uid="{72B7305A-66EB-43B5-B4D2-86DB889D6B72}"/>
    <cellStyle name="Comma 4 3 5" xfId="152" xr:uid="{00000000-0005-0000-0000-0000B2090000}"/>
    <cellStyle name="Comma 4 3 5 10" xfId="8842" xr:uid="{C8F48086-946A-45C8-B16B-F1A8A581E78E}"/>
    <cellStyle name="Comma 4 3 5 2" xfId="689" xr:uid="{00000000-0005-0000-0000-0000B3090000}"/>
    <cellStyle name="Comma 4 3 5 2 2" xfId="2960" xr:uid="{00000000-0005-0000-0000-0000B4090000}"/>
    <cellStyle name="Comma 4 3 5 2 2 2" xfId="7183" xr:uid="{00000000-0005-0000-0000-0000B5090000}"/>
    <cellStyle name="Comma 4 3 5 2 2 2 2" xfId="15619" xr:uid="{D9E4E51C-892D-4BEB-A178-98903A14505C}"/>
    <cellStyle name="Comma 4 3 5 2 2 3" xfId="11401" xr:uid="{1269C546-15B8-43E2-A7AE-010836CFA43B}"/>
    <cellStyle name="Comma 4 3 5 2 3" xfId="5038" xr:uid="{00000000-0005-0000-0000-0000B6090000}"/>
    <cellStyle name="Comma 4 3 5 2 3 2" xfId="13474" xr:uid="{E3C2F0AA-34A8-4803-9AC6-BF2BD25A5C93}"/>
    <cellStyle name="Comma 4 3 5 2 4" xfId="9256" xr:uid="{876D752A-4280-4846-9E9A-44D88DA4C484}"/>
    <cellStyle name="Comma 4 3 5 3" xfId="1142" xr:uid="{00000000-0005-0000-0000-0000B7090000}"/>
    <cellStyle name="Comma 4 3 5 3 2" xfId="3373" xr:uid="{00000000-0005-0000-0000-0000B8090000}"/>
    <cellStyle name="Comma 4 3 5 3 2 2" xfId="7596" xr:uid="{00000000-0005-0000-0000-0000B9090000}"/>
    <cellStyle name="Comma 4 3 5 3 2 2 2" xfId="16032" xr:uid="{C10022FA-B05B-47C9-9757-07FF9B24024A}"/>
    <cellStyle name="Comma 4 3 5 3 2 3" xfId="11814" xr:uid="{A98CEA99-46AA-4B75-ACEC-DE6224FC60BB}"/>
    <cellStyle name="Comma 4 3 5 3 3" xfId="5451" xr:uid="{00000000-0005-0000-0000-0000BA090000}"/>
    <cellStyle name="Comma 4 3 5 3 3 2" xfId="13887" xr:uid="{533A0196-3D36-4124-9678-18D97EF3569E}"/>
    <cellStyle name="Comma 4 3 5 3 4" xfId="9669" xr:uid="{7C7A833A-ECC2-41A9-9C6B-9F3E6B67C5CE}"/>
    <cellStyle name="Comma 4 3 5 4" xfId="1556" xr:uid="{00000000-0005-0000-0000-0000BB090000}"/>
    <cellStyle name="Comma 4 3 5 4 2" xfId="3786" xr:uid="{00000000-0005-0000-0000-0000BC090000}"/>
    <cellStyle name="Comma 4 3 5 4 2 2" xfId="8009" xr:uid="{00000000-0005-0000-0000-0000BD090000}"/>
    <cellStyle name="Comma 4 3 5 4 2 2 2" xfId="16445" xr:uid="{4DE864E3-F853-4D13-979F-74D05E53ED72}"/>
    <cellStyle name="Comma 4 3 5 4 2 3" xfId="12227" xr:uid="{56D6CA4E-F005-418D-A193-FD7D5AA07C4A}"/>
    <cellStyle name="Comma 4 3 5 4 3" xfId="5864" xr:uid="{00000000-0005-0000-0000-0000BE090000}"/>
    <cellStyle name="Comma 4 3 5 4 3 2" xfId="14300" xr:uid="{4373032A-7AFC-46A2-943D-B4FBD89C6A27}"/>
    <cellStyle name="Comma 4 3 5 4 4" xfId="10082" xr:uid="{3C82E365-5267-4300-8089-897D44F22DB4}"/>
    <cellStyle name="Comma 4 3 5 5" xfId="1970" xr:uid="{00000000-0005-0000-0000-0000BF090000}"/>
    <cellStyle name="Comma 4 3 5 5 2" xfId="4199" xr:uid="{00000000-0005-0000-0000-0000C0090000}"/>
    <cellStyle name="Comma 4 3 5 5 2 2" xfId="8422" xr:uid="{00000000-0005-0000-0000-0000C1090000}"/>
    <cellStyle name="Comma 4 3 5 5 2 2 2" xfId="16858" xr:uid="{5562D033-1B66-4103-B631-D236C410C64D}"/>
    <cellStyle name="Comma 4 3 5 5 2 3" xfId="12640" xr:uid="{EB1225AD-17BC-41DD-8C27-73568B97DE71}"/>
    <cellStyle name="Comma 4 3 5 5 3" xfId="6277" xr:uid="{00000000-0005-0000-0000-0000C2090000}"/>
    <cellStyle name="Comma 4 3 5 5 3 2" xfId="14713" xr:uid="{9B4C5F37-82D0-4252-9CA8-FF465B50BDBA}"/>
    <cellStyle name="Comma 4 3 5 5 4" xfId="10495" xr:uid="{AE744DDC-9C40-474C-B723-423F1CE46921}"/>
    <cellStyle name="Comma 4 3 5 6" xfId="2405" xr:uid="{00000000-0005-0000-0000-0000C3090000}"/>
    <cellStyle name="Comma 4 3 5 6 2" xfId="6690" xr:uid="{00000000-0005-0000-0000-0000C4090000}"/>
    <cellStyle name="Comma 4 3 5 6 2 2" xfId="15126" xr:uid="{6572E702-883F-4921-8BE3-ECD1D44D3884}"/>
    <cellStyle name="Comma 4 3 5 6 3" xfId="10908" xr:uid="{F234200A-A33A-43AF-8DB7-C8D3B1F97555}"/>
    <cellStyle name="Comma 4 3 5 7" xfId="2701" xr:uid="{00000000-0005-0000-0000-0000C5090000}"/>
    <cellStyle name="Comma 4 3 5 8" xfId="2783" xr:uid="{00000000-0005-0000-0000-0000C6090000}"/>
    <cellStyle name="Comma 4 3 5 8 2" xfId="7007" xr:uid="{00000000-0005-0000-0000-0000C7090000}"/>
    <cellStyle name="Comma 4 3 5 8 2 2" xfId="15443" xr:uid="{C9E128BF-3675-4646-A2D3-91D794F44612}"/>
    <cellStyle name="Comma 4 3 5 8 3" xfId="11225" xr:uid="{165553C2-48CD-4DCA-9E2E-EE90C22F6218}"/>
    <cellStyle name="Comma 4 3 5 9" xfId="4624" xr:uid="{00000000-0005-0000-0000-0000C8090000}"/>
    <cellStyle name="Comma 4 3 5 9 2" xfId="13060" xr:uid="{36E556C4-1188-4255-82C5-5145800755F4}"/>
    <cellStyle name="Comma 4 4" xfId="153" xr:uid="{00000000-0005-0000-0000-0000C9090000}"/>
    <cellStyle name="Comma 4 4 10" xfId="2784" xr:uid="{00000000-0005-0000-0000-0000CA090000}"/>
    <cellStyle name="Comma 4 4 10 2" xfId="7008" xr:uid="{00000000-0005-0000-0000-0000CB090000}"/>
    <cellStyle name="Comma 4 4 10 2 2" xfId="15444" xr:uid="{42F00167-D60B-448E-99C5-52DA193B2EAE}"/>
    <cellStyle name="Comma 4 4 10 3" xfId="11226" xr:uid="{B92C20CC-23FC-4096-9DDE-CB8D5BC36824}"/>
    <cellStyle name="Comma 4 4 11" xfId="4625" xr:uid="{00000000-0005-0000-0000-0000CC090000}"/>
    <cellStyle name="Comma 4 4 11 2" xfId="13061" xr:uid="{9AECC7E9-7555-457F-B16E-FCCE787310A0}"/>
    <cellStyle name="Comma 4 4 12" xfId="8843" xr:uid="{95AF614D-BE0A-447B-B279-8F2425475E8E}"/>
    <cellStyle name="Comma 4 4 2" xfId="154" xr:uid="{00000000-0005-0000-0000-0000CD090000}"/>
    <cellStyle name="Comma 4 4 2 10" xfId="4626" xr:uid="{00000000-0005-0000-0000-0000CE090000}"/>
    <cellStyle name="Comma 4 4 2 10 2" xfId="13062" xr:uid="{15460C3B-1502-4903-A30B-936A12168B67}"/>
    <cellStyle name="Comma 4 4 2 11" xfId="8844" xr:uid="{A652512E-375A-4793-B600-DA9EFF0BAFF1}"/>
    <cellStyle name="Comma 4 4 2 2" xfId="155" xr:uid="{00000000-0005-0000-0000-0000CF090000}"/>
    <cellStyle name="Comma 4 4 2 2 10" xfId="8845" xr:uid="{84D0339D-2F07-4E8D-ACAB-2F589917EDDC}"/>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2" xr:uid="{DF899C54-CAE8-4EAF-8276-B3EFE79560C1}"/>
    <cellStyle name="Comma 4 4 2 2 2 2 3" xfId="11404" xr:uid="{C095EBE7-361E-4B5B-AC1C-1C1B6F96F353}"/>
    <cellStyle name="Comma 4 4 2 2 2 3" xfId="5041" xr:uid="{00000000-0005-0000-0000-0000D3090000}"/>
    <cellStyle name="Comma 4 4 2 2 2 3 2" xfId="13477" xr:uid="{B0985A3D-EE61-4198-91FF-88E58D67B3A3}"/>
    <cellStyle name="Comma 4 4 2 2 2 4" xfId="9259" xr:uid="{28E2F456-162E-452B-8167-C759E3F5ADDA}"/>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5" xr:uid="{20FDADC4-1A8E-4CFC-A58A-C158E36DE388}"/>
    <cellStyle name="Comma 4 4 2 2 3 2 3" xfId="11817" xr:uid="{DAD77B4D-D421-4E6A-9BDE-45600568504B}"/>
    <cellStyle name="Comma 4 4 2 2 3 3" xfId="5454" xr:uid="{00000000-0005-0000-0000-0000D7090000}"/>
    <cellStyle name="Comma 4 4 2 2 3 3 2" xfId="13890" xr:uid="{45899E11-0ECB-4EF5-894A-36D63A34B863}"/>
    <cellStyle name="Comma 4 4 2 2 3 4" xfId="9672" xr:uid="{882F5136-AD16-48FB-A1BB-CD09FEC8950D}"/>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48" xr:uid="{457C07F2-6683-4F75-A0C0-0F6A3413C636}"/>
    <cellStyle name="Comma 4 4 2 2 4 2 3" xfId="12230" xr:uid="{182AE85E-84DD-43AD-BF48-82296CD81C4D}"/>
    <cellStyle name="Comma 4 4 2 2 4 3" xfId="5867" xr:uid="{00000000-0005-0000-0000-0000DB090000}"/>
    <cellStyle name="Comma 4 4 2 2 4 3 2" xfId="14303" xr:uid="{817EFC6F-8101-4A0A-B45D-600F5CAA8D7D}"/>
    <cellStyle name="Comma 4 4 2 2 4 4" xfId="10085" xr:uid="{B1E08DBA-C61F-4C01-9E5C-EA84B6CE3EA7}"/>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1" xr:uid="{9D99041F-3EFD-48F1-AA58-FBE9DBACE25D}"/>
    <cellStyle name="Comma 4 4 2 2 5 2 3" xfId="12643" xr:uid="{38032D79-E229-476E-95C0-2E03E537A457}"/>
    <cellStyle name="Comma 4 4 2 2 5 3" xfId="6280" xr:uid="{00000000-0005-0000-0000-0000DF090000}"/>
    <cellStyle name="Comma 4 4 2 2 5 3 2" xfId="14716" xr:uid="{6FE193AF-B711-4CA9-B407-3535A3EC2DDA}"/>
    <cellStyle name="Comma 4 4 2 2 5 4" xfId="10498" xr:uid="{C41B8B04-7299-4E66-A8EA-3FA4EAEF5019}"/>
    <cellStyle name="Comma 4 4 2 2 6" xfId="2408" xr:uid="{00000000-0005-0000-0000-0000E0090000}"/>
    <cellStyle name="Comma 4 4 2 2 6 2" xfId="6693" xr:uid="{00000000-0005-0000-0000-0000E1090000}"/>
    <cellStyle name="Comma 4 4 2 2 6 2 2" xfId="15129" xr:uid="{1823389A-D228-4ACE-96CD-A31938C7B5A4}"/>
    <cellStyle name="Comma 4 4 2 2 6 3" xfId="10911" xr:uid="{3DD332CB-88CE-4846-85FD-0FE2BF7374AA}"/>
    <cellStyle name="Comma 4 4 2 2 7" xfId="2704" xr:uid="{00000000-0005-0000-0000-0000E2090000}"/>
    <cellStyle name="Comma 4 4 2 2 8" xfId="2786" xr:uid="{00000000-0005-0000-0000-0000E3090000}"/>
    <cellStyle name="Comma 4 4 2 2 8 2" xfId="7010" xr:uid="{00000000-0005-0000-0000-0000E4090000}"/>
    <cellStyle name="Comma 4 4 2 2 8 2 2" xfId="15446" xr:uid="{1404BC16-019F-44CA-A2C8-30154E8437D6}"/>
    <cellStyle name="Comma 4 4 2 2 8 3" xfId="11228" xr:uid="{F080B713-BD7F-4374-B33B-B5AD14E1E666}"/>
    <cellStyle name="Comma 4 4 2 2 9" xfId="4627" xr:uid="{00000000-0005-0000-0000-0000E5090000}"/>
    <cellStyle name="Comma 4 4 2 2 9 2" xfId="13063" xr:uid="{FE21B43C-4D54-4A48-9748-C6B76A15A04D}"/>
    <cellStyle name="Comma 4 4 2 3" xfId="691" xr:uid="{00000000-0005-0000-0000-0000E6090000}"/>
    <cellStyle name="Comma 4 4 2 3 2" xfId="2962" xr:uid="{00000000-0005-0000-0000-0000E7090000}"/>
    <cellStyle name="Comma 4 4 2 3 2 2" xfId="7185" xr:uid="{00000000-0005-0000-0000-0000E8090000}"/>
    <cellStyle name="Comma 4 4 2 3 2 2 2" xfId="15621" xr:uid="{1AC1ACC6-07D8-4575-87BA-1740F9C4A7F7}"/>
    <cellStyle name="Comma 4 4 2 3 2 3" xfId="11403" xr:uid="{73407976-0D6A-490A-BE64-BA6D5173FEF5}"/>
    <cellStyle name="Comma 4 4 2 3 3" xfId="5040" xr:uid="{00000000-0005-0000-0000-0000E9090000}"/>
    <cellStyle name="Comma 4 4 2 3 3 2" xfId="13476" xr:uid="{9190EDD2-1DDE-4EE5-AF8D-1CD11D10130F}"/>
    <cellStyle name="Comma 4 4 2 3 4" xfId="9258" xr:uid="{831BB61F-F624-42DF-BC48-60AE4EBF5360}"/>
    <cellStyle name="Comma 4 4 2 4" xfId="1144" xr:uid="{00000000-0005-0000-0000-0000EA090000}"/>
    <cellStyle name="Comma 4 4 2 4 2" xfId="3375" xr:uid="{00000000-0005-0000-0000-0000EB090000}"/>
    <cellStyle name="Comma 4 4 2 4 2 2" xfId="7598" xr:uid="{00000000-0005-0000-0000-0000EC090000}"/>
    <cellStyle name="Comma 4 4 2 4 2 2 2" xfId="16034" xr:uid="{7F2CE4E5-5781-47FD-AD94-3B365DF1CE19}"/>
    <cellStyle name="Comma 4 4 2 4 2 3" xfId="11816" xr:uid="{D543B57A-6937-46DA-B404-F0AAB2D760FC}"/>
    <cellStyle name="Comma 4 4 2 4 3" xfId="5453" xr:uid="{00000000-0005-0000-0000-0000ED090000}"/>
    <cellStyle name="Comma 4 4 2 4 3 2" xfId="13889" xr:uid="{F533A213-7120-4284-AE78-36F7A17D7C9C}"/>
    <cellStyle name="Comma 4 4 2 4 4" xfId="9671" xr:uid="{DF3D7BC4-75C2-4975-A92E-A79448EB2ACF}"/>
    <cellStyle name="Comma 4 4 2 5" xfId="1558" xr:uid="{00000000-0005-0000-0000-0000EE090000}"/>
    <cellStyle name="Comma 4 4 2 5 2" xfId="3788" xr:uid="{00000000-0005-0000-0000-0000EF090000}"/>
    <cellStyle name="Comma 4 4 2 5 2 2" xfId="8011" xr:uid="{00000000-0005-0000-0000-0000F0090000}"/>
    <cellStyle name="Comma 4 4 2 5 2 2 2" xfId="16447" xr:uid="{A5CEE7E8-2494-4C99-A4F7-579239E8A75A}"/>
    <cellStyle name="Comma 4 4 2 5 2 3" xfId="12229" xr:uid="{54726600-CFB6-48C8-A510-5CC28C07099E}"/>
    <cellStyle name="Comma 4 4 2 5 3" xfId="5866" xr:uid="{00000000-0005-0000-0000-0000F1090000}"/>
    <cellStyle name="Comma 4 4 2 5 3 2" xfId="14302" xr:uid="{422A9413-6F1D-42AB-B889-746D367E56EE}"/>
    <cellStyle name="Comma 4 4 2 5 4" xfId="10084" xr:uid="{320BBFBD-B3EE-4B86-9A8F-A046CA0A0404}"/>
    <cellStyle name="Comma 4 4 2 6" xfId="1972" xr:uid="{00000000-0005-0000-0000-0000F2090000}"/>
    <cellStyle name="Comma 4 4 2 6 2" xfId="4201" xr:uid="{00000000-0005-0000-0000-0000F3090000}"/>
    <cellStyle name="Comma 4 4 2 6 2 2" xfId="8424" xr:uid="{00000000-0005-0000-0000-0000F4090000}"/>
    <cellStyle name="Comma 4 4 2 6 2 2 2" xfId="16860" xr:uid="{22ACE883-383B-4640-A5B5-E0AA9C6C3DC1}"/>
    <cellStyle name="Comma 4 4 2 6 2 3" xfId="12642" xr:uid="{FB535B53-1C92-4DE5-9E8E-BBA850D9A50D}"/>
    <cellStyle name="Comma 4 4 2 6 3" xfId="6279" xr:uid="{00000000-0005-0000-0000-0000F5090000}"/>
    <cellStyle name="Comma 4 4 2 6 3 2" xfId="14715" xr:uid="{322E2FFC-7341-46DE-A4EC-A868C59B4371}"/>
    <cellStyle name="Comma 4 4 2 6 4" xfId="10497" xr:uid="{90ABA83B-13CA-45E2-8A90-0673ED10DBA5}"/>
    <cellStyle name="Comma 4 4 2 7" xfId="2407" xr:uid="{00000000-0005-0000-0000-0000F6090000}"/>
    <cellStyle name="Comma 4 4 2 7 2" xfId="6692" xr:uid="{00000000-0005-0000-0000-0000F7090000}"/>
    <cellStyle name="Comma 4 4 2 7 2 2" xfId="15128" xr:uid="{CF03B99D-94B7-403E-9FA2-E55366012812}"/>
    <cellStyle name="Comma 4 4 2 7 3" xfId="10910" xr:uid="{96D12DDA-2120-40C0-A1FF-0A6095369D47}"/>
    <cellStyle name="Comma 4 4 2 8" xfId="2703" xr:uid="{00000000-0005-0000-0000-0000F8090000}"/>
    <cellStyle name="Comma 4 4 2 9" xfId="2785" xr:uid="{00000000-0005-0000-0000-0000F9090000}"/>
    <cellStyle name="Comma 4 4 2 9 2" xfId="7009" xr:uid="{00000000-0005-0000-0000-0000FA090000}"/>
    <cellStyle name="Comma 4 4 2 9 2 2" xfId="15445" xr:uid="{ACAF68B1-1BE7-4F96-9D8E-99005104FD2A}"/>
    <cellStyle name="Comma 4 4 2 9 3" xfId="11227" xr:uid="{36088DBC-4F04-45D6-A3B8-C3945233A758}"/>
    <cellStyle name="Comma 4 4 3" xfId="156" xr:uid="{00000000-0005-0000-0000-0000FB090000}"/>
    <cellStyle name="Comma 4 4 3 10" xfId="8846" xr:uid="{BCB88E97-1B27-4DA2-9362-11E4E692B17A}"/>
    <cellStyle name="Comma 4 4 3 2" xfId="693" xr:uid="{00000000-0005-0000-0000-0000FC090000}"/>
    <cellStyle name="Comma 4 4 3 2 2" xfId="2964" xr:uid="{00000000-0005-0000-0000-0000FD090000}"/>
    <cellStyle name="Comma 4 4 3 2 2 2" xfId="7187" xr:uid="{00000000-0005-0000-0000-0000FE090000}"/>
    <cellStyle name="Comma 4 4 3 2 2 2 2" xfId="15623" xr:uid="{A815E703-B0AA-4108-9CE5-B238737ABFE9}"/>
    <cellStyle name="Comma 4 4 3 2 2 3" xfId="11405" xr:uid="{93B9495E-84C4-4C1F-AC02-E797554B17CE}"/>
    <cellStyle name="Comma 4 4 3 2 3" xfId="5042" xr:uid="{00000000-0005-0000-0000-0000FF090000}"/>
    <cellStyle name="Comma 4 4 3 2 3 2" xfId="13478" xr:uid="{1DD45B90-4068-42D0-A830-251C031C53EC}"/>
    <cellStyle name="Comma 4 4 3 2 4" xfId="9260" xr:uid="{379F24A6-7646-483D-82BC-6F68A76A7FB6}"/>
    <cellStyle name="Comma 4 4 3 3" xfId="1146" xr:uid="{00000000-0005-0000-0000-0000000A0000}"/>
    <cellStyle name="Comma 4 4 3 3 2" xfId="3377" xr:uid="{00000000-0005-0000-0000-0000010A0000}"/>
    <cellStyle name="Comma 4 4 3 3 2 2" xfId="7600" xr:uid="{00000000-0005-0000-0000-0000020A0000}"/>
    <cellStyle name="Comma 4 4 3 3 2 2 2" xfId="16036" xr:uid="{BDC1B1E1-6ED3-4EE8-8255-EC02D9A97AFC}"/>
    <cellStyle name="Comma 4 4 3 3 2 3" xfId="11818" xr:uid="{00B62F7F-0720-4FDA-8E39-B8FA3969B5CC}"/>
    <cellStyle name="Comma 4 4 3 3 3" xfId="5455" xr:uid="{00000000-0005-0000-0000-0000030A0000}"/>
    <cellStyle name="Comma 4 4 3 3 3 2" xfId="13891" xr:uid="{ABC9E13F-E468-48B8-A839-D4ABDB663F52}"/>
    <cellStyle name="Comma 4 4 3 3 4" xfId="9673" xr:uid="{90183FE3-2CA1-4858-A569-800C5F14C531}"/>
    <cellStyle name="Comma 4 4 3 4" xfId="1560" xr:uid="{00000000-0005-0000-0000-0000040A0000}"/>
    <cellStyle name="Comma 4 4 3 4 2" xfId="3790" xr:uid="{00000000-0005-0000-0000-0000050A0000}"/>
    <cellStyle name="Comma 4 4 3 4 2 2" xfId="8013" xr:uid="{00000000-0005-0000-0000-0000060A0000}"/>
    <cellStyle name="Comma 4 4 3 4 2 2 2" xfId="16449" xr:uid="{25DCC27A-5151-4039-8520-41D3E5020BA1}"/>
    <cellStyle name="Comma 4 4 3 4 2 3" xfId="12231" xr:uid="{2081E72F-E984-4E68-AC76-43F4AD6B34D5}"/>
    <cellStyle name="Comma 4 4 3 4 3" xfId="5868" xr:uid="{00000000-0005-0000-0000-0000070A0000}"/>
    <cellStyle name="Comma 4 4 3 4 3 2" xfId="14304" xr:uid="{6C5AF4E0-6CAA-4F7C-B779-C2770E29E542}"/>
    <cellStyle name="Comma 4 4 3 4 4" xfId="10086" xr:uid="{30774ED6-5284-4284-A539-B1475EBDED91}"/>
    <cellStyle name="Comma 4 4 3 5" xfId="1974" xr:uid="{00000000-0005-0000-0000-0000080A0000}"/>
    <cellStyle name="Comma 4 4 3 5 2" xfId="4203" xr:uid="{00000000-0005-0000-0000-0000090A0000}"/>
    <cellStyle name="Comma 4 4 3 5 2 2" xfId="8426" xr:uid="{00000000-0005-0000-0000-00000A0A0000}"/>
    <cellStyle name="Comma 4 4 3 5 2 2 2" xfId="16862" xr:uid="{5E1A9536-CE28-4559-9239-677A186AAC4A}"/>
    <cellStyle name="Comma 4 4 3 5 2 3" xfId="12644" xr:uid="{0DB2C5B0-D7B6-4DC2-ACDA-4BBEE320D2ED}"/>
    <cellStyle name="Comma 4 4 3 5 3" xfId="6281" xr:uid="{00000000-0005-0000-0000-00000B0A0000}"/>
    <cellStyle name="Comma 4 4 3 5 3 2" xfId="14717" xr:uid="{250D1DF3-2EF1-414A-879E-6475053C7C72}"/>
    <cellStyle name="Comma 4 4 3 5 4" xfId="10499" xr:uid="{C586334B-4AB0-49CF-A4BD-31AA58B47B2A}"/>
    <cellStyle name="Comma 4 4 3 6" xfId="2409" xr:uid="{00000000-0005-0000-0000-00000C0A0000}"/>
    <cellStyle name="Comma 4 4 3 6 2" xfId="6694" xr:uid="{00000000-0005-0000-0000-00000D0A0000}"/>
    <cellStyle name="Comma 4 4 3 6 2 2" xfId="15130" xr:uid="{638E7776-785D-46DB-B07E-3176DFDF4023}"/>
    <cellStyle name="Comma 4 4 3 6 3" xfId="10912" xr:uid="{22A11150-8379-4351-B3A7-C8CB6ED5D5D0}"/>
    <cellStyle name="Comma 4 4 3 7" xfId="2705" xr:uid="{00000000-0005-0000-0000-00000E0A0000}"/>
    <cellStyle name="Comma 4 4 3 8" xfId="2787" xr:uid="{00000000-0005-0000-0000-00000F0A0000}"/>
    <cellStyle name="Comma 4 4 3 8 2" xfId="7011" xr:uid="{00000000-0005-0000-0000-0000100A0000}"/>
    <cellStyle name="Comma 4 4 3 8 2 2" xfId="15447" xr:uid="{1FA87DA2-8228-4DBF-8993-95F215AF0AFC}"/>
    <cellStyle name="Comma 4 4 3 8 3" xfId="11229" xr:uid="{F9469C3B-D502-40CC-90B1-D1B77159F49A}"/>
    <cellStyle name="Comma 4 4 3 9" xfId="4628" xr:uid="{00000000-0005-0000-0000-0000110A0000}"/>
    <cellStyle name="Comma 4 4 3 9 2" xfId="13064" xr:uid="{1E99FE0F-CEE9-4A8A-80BE-F6D2516DB421}"/>
    <cellStyle name="Comma 4 4 4" xfId="690" xr:uid="{00000000-0005-0000-0000-0000120A0000}"/>
    <cellStyle name="Comma 4 4 4 2" xfId="2961" xr:uid="{00000000-0005-0000-0000-0000130A0000}"/>
    <cellStyle name="Comma 4 4 4 2 2" xfId="7184" xr:uid="{00000000-0005-0000-0000-0000140A0000}"/>
    <cellStyle name="Comma 4 4 4 2 2 2" xfId="15620" xr:uid="{0F61DB39-569C-4EB6-B994-334D7E5A784D}"/>
    <cellStyle name="Comma 4 4 4 2 3" xfId="11402" xr:uid="{C36C9F9C-7861-4CCF-8B59-CC519680D74A}"/>
    <cellStyle name="Comma 4 4 4 3" xfId="5039" xr:uid="{00000000-0005-0000-0000-0000150A0000}"/>
    <cellStyle name="Comma 4 4 4 3 2" xfId="13475" xr:uid="{016DC866-12E4-4FEB-8694-8747F615AA41}"/>
    <cellStyle name="Comma 4 4 4 4" xfId="9257" xr:uid="{843D5889-7116-43A7-872B-3E9197C29FFA}"/>
    <cellStyle name="Comma 4 4 5" xfId="1143" xr:uid="{00000000-0005-0000-0000-0000160A0000}"/>
    <cellStyle name="Comma 4 4 5 2" xfId="3374" xr:uid="{00000000-0005-0000-0000-0000170A0000}"/>
    <cellStyle name="Comma 4 4 5 2 2" xfId="7597" xr:uid="{00000000-0005-0000-0000-0000180A0000}"/>
    <cellStyle name="Comma 4 4 5 2 2 2" xfId="16033" xr:uid="{A81BEDFA-D2AA-4E8A-91C7-C44E0A102CB8}"/>
    <cellStyle name="Comma 4 4 5 2 3" xfId="11815" xr:uid="{359904F6-A252-4010-8C5D-AB187368E351}"/>
    <cellStyle name="Comma 4 4 5 3" xfId="5452" xr:uid="{00000000-0005-0000-0000-0000190A0000}"/>
    <cellStyle name="Comma 4 4 5 3 2" xfId="13888" xr:uid="{F94C0C04-8FBC-470B-AB43-A2DCCCC85BEA}"/>
    <cellStyle name="Comma 4 4 5 4" xfId="9670" xr:uid="{48CCDF9F-E045-4CB9-B0C1-B4A66299F01B}"/>
    <cellStyle name="Comma 4 4 6" xfId="1557" xr:uid="{00000000-0005-0000-0000-00001A0A0000}"/>
    <cellStyle name="Comma 4 4 6 2" xfId="3787" xr:uid="{00000000-0005-0000-0000-00001B0A0000}"/>
    <cellStyle name="Comma 4 4 6 2 2" xfId="8010" xr:uid="{00000000-0005-0000-0000-00001C0A0000}"/>
    <cellStyle name="Comma 4 4 6 2 2 2" xfId="16446" xr:uid="{5829AFC6-079D-4E70-9C4E-B63929A95A25}"/>
    <cellStyle name="Comma 4 4 6 2 3" xfId="12228" xr:uid="{012C1A24-E62E-4260-8B3B-4FE2CDCFA3F8}"/>
    <cellStyle name="Comma 4 4 6 3" xfId="5865" xr:uid="{00000000-0005-0000-0000-00001D0A0000}"/>
    <cellStyle name="Comma 4 4 6 3 2" xfId="14301" xr:uid="{7FBC10C5-BE26-42B6-90DC-3C07944DE56E}"/>
    <cellStyle name="Comma 4 4 6 4" xfId="10083" xr:uid="{59D78EB6-71F2-431A-B776-85882E90EF37}"/>
    <cellStyle name="Comma 4 4 7" xfId="1971" xr:uid="{00000000-0005-0000-0000-00001E0A0000}"/>
    <cellStyle name="Comma 4 4 7 2" xfId="4200" xr:uid="{00000000-0005-0000-0000-00001F0A0000}"/>
    <cellStyle name="Comma 4 4 7 2 2" xfId="8423" xr:uid="{00000000-0005-0000-0000-0000200A0000}"/>
    <cellStyle name="Comma 4 4 7 2 2 2" xfId="16859" xr:uid="{58F5838F-913D-4B56-99E7-EE4BD9C2AD97}"/>
    <cellStyle name="Comma 4 4 7 2 3" xfId="12641" xr:uid="{80216A67-58ED-4137-B793-E11ECC5B8A15}"/>
    <cellStyle name="Comma 4 4 7 3" xfId="6278" xr:uid="{00000000-0005-0000-0000-0000210A0000}"/>
    <cellStyle name="Comma 4 4 7 3 2" xfId="14714" xr:uid="{8CA137CA-0433-4F26-A9C8-C83D9BC28535}"/>
    <cellStyle name="Comma 4 4 7 4" xfId="10496" xr:uid="{1E0A334B-37D2-4476-ABA2-BDC1A0B4078B}"/>
    <cellStyle name="Comma 4 4 8" xfId="2406" xr:uid="{00000000-0005-0000-0000-0000220A0000}"/>
    <cellStyle name="Comma 4 4 8 2" xfId="6691" xr:uid="{00000000-0005-0000-0000-0000230A0000}"/>
    <cellStyle name="Comma 4 4 8 2 2" xfId="15127" xr:uid="{51859D80-CB5F-4EA2-9E42-7DCE63088D20}"/>
    <cellStyle name="Comma 4 4 8 3" xfId="10909" xr:uid="{B92F28C9-B2E4-4FF4-BFE4-5D503A356C7F}"/>
    <cellStyle name="Comma 4 4 9" xfId="2702" xr:uid="{00000000-0005-0000-0000-0000240A0000}"/>
    <cellStyle name="Comma 4 5" xfId="157" xr:uid="{00000000-0005-0000-0000-0000250A0000}"/>
    <cellStyle name="Comma 4 5 10" xfId="4629" xr:uid="{00000000-0005-0000-0000-0000260A0000}"/>
    <cellStyle name="Comma 4 5 10 2" xfId="13065" xr:uid="{124C1BC8-47CD-4920-BA57-4CE1B5A066B9}"/>
    <cellStyle name="Comma 4 5 11" xfId="8847" xr:uid="{B9B5ED52-9475-42AF-A2CF-B714E5867CCC}"/>
    <cellStyle name="Comma 4 5 2" xfId="158" xr:uid="{00000000-0005-0000-0000-0000270A0000}"/>
    <cellStyle name="Comma 4 5 2 10" xfId="8848" xr:uid="{356EF98D-AD5A-410D-B3DB-042F0351733C}"/>
    <cellStyle name="Comma 4 5 2 2" xfId="695" xr:uid="{00000000-0005-0000-0000-0000280A0000}"/>
    <cellStyle name="Comma 4 5 2 2 2" xfId="2966" xr:uid="{00000000-0005-0000-0000-0000290A0000}"/>
    <cellStyle name="Comma 4 5 2 2 2 2" xfId="7189" xr:uid="{00000000-0005-0000-0000-00002A0A0000}"/>
    <cellStyle name="Comma 4 5 2 2 2 2 2" xfId="15625" xr:uid="{E5AB2C8F-65A5-45FA-8D3C-A74555B26964}"/>
    <cellStyle name="Comma 4 5 2 2 2 3" xfId="11407" xr:uid="{F6657F65-C011-4F95-9C3E-1905E0209C13}"/>
    <cellStyle name="Comma 4 5 2 2 3" xfId="5044" xr:uid="{00000000-0005-0000-0000-00002B0A0000}"/>
    <cellStyle name="Comma 4 5 2 2 3 2" xfId="13480" xr:uid="{632BAF2B-1DB3-4C6A-A98F-DDD52C342CD7}"/>
    <cellStyle name="Comma 4 5 2 2 4" xfId="9262" xr:uid="{3659F6DB-6ABB-4823-9505-6BC71B91B106}"/>
    <cellStyle name="Comma 4 5 2 3" xfId="1148" xr:uid="{00000000-0005-0000-0000-00002C0A0000}"/>
    <cellStyle name="Comma 4 5 2 3 2" xfId="3379" xr:uid="{00000000-0005-0000-0000-00002D0A0000}"/>
    <cellStyle name="Comma 4 5 2 3 2 2" xfId="7602" xr:uid="{00000000-0005-0000-0000-00002E0A0000}"/>
    <cellStyle name="Comma 4 5 2 3 2 2 2" xfId="16038" xr:uid="{2671CEA7-0746-4D0E-AB20-CD68EF397FAD}"/>
    <cellStyle name="Comma 4 5 2 3 2 3" xfId="11820" xr:uid="{2C32B742-0012-4F24-9B88-E615DF9CDEB0}"/>
    <cellStyle name="Comma 4 5 2 3 3" xfId="5457" xr:uid="{00000000-0005-0000-0000-00002F0A0000}"/>
    <cellStyle name="Comma 4 5 2 3 3 2" xfId="13893" xr:uid="{D48AB54F-67B4-4118-BB6B-DEC89787B22D}"/>
    <cellStyle name="Comma 4 5 2 3 4" xfId="9675" xr:uid="{82C1D5DE-3CE9-487F-A4B5-5B2B287C884F}"/>
    <cellStyle name="Comma 4 5 2 4" xfId="1562" xr:uid="{00000000-0005-0000-0000-0000300A0000}"/>
    <cellStyle name="Comma 4 5 2 4 2" xfId="3792" xr:uid="{00000000-0005-0000-0000-0000310A0000}"/>
    <cellStyle name="Comma 4 5 2 4 2 2" xfId="8015" xr:uid="{00000000-0005-0000-0000-0000320A0000}"/>
    <cellStyle name="Comma 4 5 2 4 2 2 2" xfId="16451" xr:uid="{D2B323F7-29BF-4410-AF1A-411573595229}"/>
    <cellStyle name="Comma 4 5 2 4 2 3" xfId="12233" xr:uid="{AE2A9D0E-0FD9-4992-910C-052971892613}"/>
    <cellStyle name="Comma 4 5 2 4 3" xfId="5870" xr:uid="{00000000-0005-0000-0000-0000330A0000}"/>
    <cellStyle name="Comma 4 5 2 4 3 2" xfId="14306" xr:uid="{4178B625-A442-4DE7-9F67-7FD1568BAFDE}"/>
    <cellStyle name="Comma 4 5 2 4 4" xfId="10088" xr:uid="{A1743650-E348-4B3F-B62C-73F6BC40B679}"/>
    <cellStyle name="Comma 4 5 2 5" xfId="1976" xr:uid="{00000000-0005-0000-0000-0000340A0000}"/>
    <cellStyle name="Comma 4 5 2 5 2" xfId="4205" xr:uid="{00000000-0005-0000-0000-0000350A0000}"/>
    <cellStyle name="Comma 4 5 2 5 2 2" xfId="8428" xr:uid="{00000000-0005-0000-0000-0000360A0000}"/>
    <cellStyle name="Comma 4 5 2 5 2 2 2" xfId="16864" xr:uid="{3D702686-29EA-4907-A34B-850197F21F8B}"/>
    <cellStyle name="Comma 4 5 2 5 2 3" xfId="12646" xr:uid="{9E912A1B-8EE2-4962-9D0B-F841EF1EBB89}"/>
    <cellStyle name="Comma 4 5 2 5 3" xfId="6283" xr:uid="{00000000-0005-0000-0000-0000370A0000}"/>
    <cellStyle name="Comma 4 5 2 5 3 2" xfId="14719" xr:uid="{BBA22BD5-2AE2-4DB0-94FA-A54B7B45E48B}"/>
    <cellStyle name="Comma 4 5 2 5 4" xfId="10501" xr:uid="{1FE46333-B9AD-49DD-9AEB-F81A8CD662DC}"/>
    <cellStyle name="Comma 4 5 2 6" xfId="2411" xr:uid="{00000000-0005-0000-0000-0000380A0000}"/>
    <cellStyle name="Comma 4 5 2 6 2" xfId="6696" xr:uid="{00000000-0005-0000-0000-0000390A0000}"/>
    <cellStyle name="Comma 4 5 2 6 2 2" xfId="15132" xr:uid="{317F3241-E22F-49BF-9B4B-A485CF6CFBFE}"/>
    <cellStyle name="Comma 4 5 2 6 3" xfId="10914" xr:uid="{2E0DDC88-53CE-433B-8B10-46C0D2504FCB}"/>
    <cellStyle name="Comma 4 5 2 7" xfId="2707" xr:uid="{00000000-0005-0000-0000-00003A0A0000}"/>
    <cellStyle name="Comma 4 5 2 8" xfId="2789" xr:uid="{00000000-0005-0000-0000-00003B0A0000}"/>
    <cellStyle name="Comma 4 5 2 8 2" xfId="7013" xr:uid="{00000000-0005-0000-0000-00003C0A0000}"/>
    <cellStyle name="Comma 4 5 2 8 2 2" xfId="15449" xr:uid="{10DE4C97-53C2-49D7-BF08-23F7EEE8089A}"/>
    <cellStyle name="Comma 4 5 2 8 3" xfId="11231" xr:uid="{EA6F65DB-BE6C-411A-B17A-A0595B55A521}"/>
    <cellStyle name="Comma 4 5 2 9" xfId="4630" xr:uid="{00000000-0005-0000-0000-00003D0A0000}"/>
    <cellStyle name="Comma 4 5 2 9 2" xfId="13066" xr:uid="{CDBAD1F8-244C-4899-AD18-F177D56F65CB}"/>
    <cellStyle name="Comma 4 5 3" xfId="694" xr:uid="{00000000-0005-0000-0000-00003E0A0000}"/>
    <cellStyle name="Comma 4 5 3 2" xfId="2965" xr:uid="{00000000-0005-0000-0000-00003F0A0000}"/>
    <cellStyle name="Comma 4 5 3 2 2" xfId="7188" xr:uid="{00000000-0005-0000-0000-0000400A0000}"/>
    <cellStyle name="Comma 4 5 3 2 2 2" xfId="15624" xr:uid="{3398B22B-622D-4022-88DC-417FA775D80D}"/>
    <cellStyle name="Comma 4 5 3 2 3" xfId="11406" xr:uid="{8C874F5E-D52C-44AE-8D4E-8EC4D2368363}"/>
    <cellStyle name="Comma 4 5 3 3" xfId="5043" xr:uid="{00000000-0005-0000-0000-0000410A0000}"/>
    <cellStyle name="Comma 4 5 3 3 2" xfId="13479" xr:uid="{A902977C-AC66-4739-BC31-BF84CA2CA9AE}"/>
    <cellStyle name="Comma 4 5 3 4" xfId="9261" xr:uid="{E4C76800-63FB-48BE-B7CA-B75AF54A59C0}"/>
    <cellStyle name="Comma 4 5 4" xfId="1147" xr:uid="{00000000-0005-0000-0000-0000420A0000}"/>
    <cellStyle name="Comma 4 5 4 2" xfId="3378" xr:uid="{00000000-0005-0000-0000-0000430A0000}"/>
    <cellStyle name="Comma 4 5 4 2 2" xfId="7601" xr:uid="{00000000-0005-0000-0000-0000440A0000}"/>
    <cellStyle name="Comma 4 5 4 2 2 2" xfId="16037" xr:uid="{49E59099-8B84-412C-BF32-0859822EDE31}"/>
    <cellStyle name="Comma 4 5 4 2 3" xfId="11819" xr:uid="{63F3E837-62F4-4206-9C7C-2B2C6C4C5BC3}"/>
    <cellStyle name="Comma 4 5 4 3" xfId="5456" xr:uid="{00000000-0005-0000-0000-0000450A0000}"/>
    <cellStyle name="Comma 4 5 4 3 2" xfId="13892" xr:uid="{12CFC41C-A8E6-4B73-842C-7138AA329391}"/>
    <cellStyle name="Comma 4 5 4 4" xfId="9674" xr:uid="{71083B50-D5E1-4686-9DFE-CD61E63D8FE8}"/>
    <cellStyle name="Comma 4 5 5" xfId="1561" xr:uid="{00000000-0005-0000-0000-0000460A0000}"/>
    <cellStyle name="Comma 4 5 5 2" xfId="3791" xr:uid="{00000000-0005-0000-0000-0000470A0000}"/>
    <cellStyle name="Comma 4 5 5 2 2" xfId="8014" xr:uid="{00000000-0005-0000-0000-0000480A0000}"/>
    <cellStyle name="Comma 4 5 5 2 2 2" xfId="16450" xr:uid="{4F924FDB-E5A5-4B51-863C-F60DA6454FDA}"/>
    <cellStyle name="Comma 4 5 5 2 3" xfId="12232" xr:uid="{438EE988-B0C5-4DAB-A266-55384EBEF64B}"/>
    <cellStyle name="Comma 4 5 5 3" xfId="5869" xr:uid="{00000000-0005-0000-0000-0000490A0000}"/>
    <cellStyle name="Comma 4 5 5 3 2" xfId="14305" xr:uid="{C8788723-CB27-482B-B1D8-68DAC16225AD}"/>
    <cellStyle name="Comma 4 5 5 4" xfId="10087" xr:uid="{88ACA995-5527-4AD0-BDAA-0AFAABC70B06}"/>
    <cellStyle name="Comma 4 5 6" xfId="1975" xr:uid="{00000000-0005-0000-0000-00004A0A0000}"/>
    <cellStyle name="Comma 4 5 6 2" xfId="4204" xr:uid="{00000000-0005-0000-0000-00004B0A0000}"/>
    <cellStyle name="Comma 4 5 6 2 2" xfId="8427" xr:uid="{00000000-0005-0000-0000-00004C0A0000}"/>
    <cellStyle name="Comma 4 5 6 2 2 2" xfId="16863" xr:uid="{225F6197-1EC0-4E28-A98A-770AEDB87C48}"/>
    <cellStyle name="Comma 4 5 6 2 3" xfId="12645" xr:uid="{295FD5C8-845C-4465-AED2-3C85E13E6884}"/>
    <cellStyle name="Comma 4 5 6 3" xfId="6282" xr:uid="{00000000-0005-0000-0000-00004D0A0000}"/>
    <cellStyle name="Comma 4 5 6 3 2" xfId="14718" xr:uid="{7F450AE3-9617-45F6-AC88-1542AAA7C945}"/>
    <cellStyle name="Comma 4 5 6 4" xfId="10500" xr:uid="{0B53DAEE-08E3-49E2-A487-1DF45D3CDF0A}"/>
    <cellStyle name="Comma 4 5 7" xfId="2410" xr:uid="{00000000-0005-0000-0000-00004E0A0000}"/>
    <cellStyle name="Comma 4 5 7 2" xfId="6695" xr:uid="{00000000-0005-0000-0000-00004F0A0000}"/>
    <cellStyle name="Comma 4 5 7 2 2" xfId="15131" xr:uid="{EFD38763-5FEA-463A-BC22-412393D1D4B0}"/>
    <cellStyle name="Comma 4 5 7 3" xfId="10913" xr:uid="{54897A0B-D8F3-4A0C-B8E1-60C5860AAC90}"/>
    <cellStyle name="Comma 4 5 8" xfId="2706" xr:uid="{00000000-0005-0000-0000-0000500A0000}"/>
    <cellStyle name="Comma 4 5 9" xfId="2788" xr:uid="{00000000-0005-0000-0000-0000510A0000}"/>
    <cellStyle name="Comma 4 5 9 2" xfId="7012" xr:uid="{00000000-0005-0000-0000-0000520A0000}"/>
    <cellStyle name="Comma 4 5 9 2 2" xfId="15448" xr:uid="{376EF0D3-7AB8-4E22-A4D3-816860776B70}"/>
    <cellStyle name="Comma 4 5 9 3" xfId="11230" xr:uid="{006B1A5E-604E-485D-8C76-393A92D4D01D}"/>
    <cellStyle name="Comma 4 6" xfId="159" xr:uid="{00000000-0005-0000-0000-0000530A0000}"/>
    <cellStyle name="Comma 4 6 10" xfId="8849" xr:uid="{264B2D67-2733-492E-A27D-A09EFA52C7F3}"/>
    <cellStyle name="Comma 4 6 2" xfId="696" xr:uid="{00000000-0005-0000-0000-0000540A0000}"/>
    <cellStyle name="Comma 4 6 2 2" xfId="2967" xr:uid="{00000000-0005-0000-0000-0000550A0000}"/>
    <cellStyle name="Comma 4 6 2 2 2" xfId="7190" xr:uid="{00000000-0005-0000-0000-0000560A0000}"/>
    <cellStyle name="Comma 4 6 2 2 2 2" xfId="15626" xr:uid="{A26AC27B-007E-4A6D-9B0B-DB4D1B8D8D6F}"/>
    <cellStyle name="Comma 4 6 2 2 3" xfId="11408" xr:uid="{641E8489-4470-429D-B5D5-8D959E44360F}"/>
    <cellStyle name="Comma 4 6 2 3" xfId="5045" xr:uid="{00000000-0005-0000-0000-0000570A0000}"/>
    <cellStyle name="Comma 4 6 2 3 2" xfId="13481" xr:uid="{04D8FFD2-5CD8-4787-9009-430DFF3E54F0}"/>
    <cellStyle name="Comma 4 6 2 4" xfId="9263" xr:uid="{D416538F-39BD-4E99-A609-2661E4AF435C}"/>
    <cellStyle name="Comma 4 6 3" xfId="1149" xr:uid="{00000000-0005-0000-0000-0000580A0000}"/>
    <cellStyle name="Comma 4 6 3 2" xfId="3380" xr:uid="{00000000-0005-0000-0000-0000590A0000}"/>
    <cellStyle name="Comma 4 6 3 2 2" xfId="7603" xr:uid="{00000000-0005-0000-0000-00005A0A0000}"/>
    <cellStyle name="Comma 4 6 3 2 2 2" xfId="16039" xr:uid="{9144E221-38D1-41BD-9389-D5E463CF6E9D}"/>
    <cellStyle name="Comma 4 6 3 2 3" xfId="11821" xr:uid="{C5422447-E27C-488E-BC94-83F1E8177033}"/>
    <cellStyle name="Comma 4 6 3 3" xfId="5458" xr:uid="{00000000-0005-0000-0000-00005B0A0000}"/>
    <cellStyle name="Comma 4 6 3 3 2" xfId="13894" xr:uid="{C0AA1F54-9624-430B-A04E-4A38EE8175C6}"/>
    <cellStyle name="Comma 4 6 3 4" xfId="9676" xr:uid="{3648752F-2B4F-4EC8-9E6E-9749C4572EDC}"/>
    <cellStyle name="Comma 4 6 4" xfId="1563" xr:uid="{00000000-0005-0000-0000-00005C0A0000}"/>
    <cellStyle name="Comma 4 6 4 2" xfId="3793" xr:uid="{00000000-0005-0000-0000-00005D0A0000}"/>
    <cellStyle name="Comma 4 6 4 2 2" xfId="8016" xr:uid="{00000000-0005-0000-0000-00005E0A0000}"/>
    <cellStyle name="Comma 4 6 4 2 2 2" xfId="16452" xr:uid="{28116512-DA31-43E3-9BA9-DB79DC60C32A}"/>
    <cellStyle name="Comma 4 6 4 2 3" xfId="12234" xr:uid="{BC92DD6F-1D76-4298-8EE4-45A0C57CAD80}"/>
    <cellStyle name="Comma 4 6 4 3" xfId="5871" xr:uid="{00000000-0005-0000-0000-00005F0A0000}"/>
    <cellStyle name="Comma 4 6 4 3 2" xfId="14307" xr:uid="{2F44C87C-E2DC-41FB-AEC0-40C302D09019}"/>
    <cellStyle name="Comma 4 6 4 4" xfId="10089" xr:uid="{9FCF554C-35B6-4E5E-9E6D-04C68690A957}"/>
    <cellStyle name="Comma 4 6 5" xfId="1977" xr:uid="{00000000-0005-0000-0000-0000600A0000}"/>
    <cellStyle name="Comma 4 6 5 2" xfId="4206" xr:uid="{00000000-0005-0000-0000-0000610A0000}"/>
    <cellStyle name="Comma 4 6 5 2 2" xfId="8429" xr:uid="{00000000-0005-0000-0000-0000620A0000}"/>
    <cellStyle name="Comma 4 6 5 2 2 2" xfId="16865" xr:uid="{4F80A41A-FD3C-4D96-B36B-247B950AC1CE}"/>
    <cellStyle name="Comma 4 6 5 2 3" xfId="12647" xr:uid="{2C4BC31B-6C22-4866-98CC-EA9F6C3D5F49}"/>
    <cellStyle name="Comma 4 6 5 3" xfId="6284" xr:uid="{00000000-0005-0000-0000-0000630A0000}"/>
    <cellStyle name="Comma 4 6 5 3 2" xfId="14720" xr:uid="{264BBF56-7E22-45BC-9FD3-798C8141D10B}"/>
    <cellStyle name="Comma 4 6 5 4" xfId="10502" xr:uid="{2C381F7F-CE5C-441B-9857-0FB401E887EB}"/>
    <cellStyle name="Comma 4 6 6" xfId="2412" xr:uid="{00000000-0005-0000-0000-0000640A0000}"/>
    <cellStyle name="Comma 4 6 6 2" xfId="6697" xr:uid="{00000000-0005-0000-0000-0000650A0000}"/>
    <cellStyle name="Comma 4 6 6 2 2" xfId="15133" xr:uid="{524282B2-CD08-47A7-BA2C-1C04A068D076}"/>
    <cellStyle name="Comma 4 6 6 3" xfId="10915" xr:uid="{1FC36EE8-727F-4AC2-86C3-A7A735B16ECE}"/>
    <cellStyle name="Comma 4 6 7" xfId="2708" xr:uid="{00000000-0005-0000-0000-0000660A0000}"/>
    <cellStyle name="Comma 4 6 8" xfId="2790" xr:uid="{00000000-0005-0000-0000-0000670A0000}"/>
    <cellStyle name="Comma 4 6 8 2" xfId="7014" xr:uid="{00000000-0005-0000-0000-0000680A0000}"/>
    <cellStyle name="Comma 4 6 8 2 2" xfId="15450" xr:uid="{DEF52A0A-3E69-4AA8-8FF9-2540C2BDA0C3}"/>
    <cellStyle name="Comma 4 6 8 3" xfId="11232" xr:uid="{0A6D8031-FB71-4617-B01B-64A619C1C7EE}"/>
    <cellStyle name="Comma 4 6 9" xfId="4631" xr:uid="{00000000-0005-0000-0000-0000690A0000}"/>
    <cellStyle name="Comma 4 6 9 2" xfId="13067" xr:uid="{B6910EE1-365B-4314-BAED-AC07E333E6C6}"/>
    <cellStyle name="Comma 4 7" xfId="160" xr:uid="{00000000-0005-0000-0000-00006A0A0000}"/>
    <cellStyle name="Comma 4 7 10" xfId="8850" xr:uid="{8B8C2CEF-BC5D-43A3-970A-447E5D796496}"/>
    <cellStyle name="Comma 4 7 2" xfId="697" xr:uid="{00000000-0005-0000-0000-00006B0A0000}"/>
    <cellStyle name="Comma 4 7 2 2" xfId="2968" xr:uid="{00000000-0005-0000-0000-00006C0A0000}"/>
    <cellStyle name="Comma 4 7 2 2 2" xfId="7191" xr:uid="{00000000-0005-0000-0000-00006D0A0000}"/>
    <cellStyle name="Comma 4 7 2 2 2 2" xfId="15627" xr:uid="{765FADCE-0578-4667-942F-60476F0476BD}"/>
    <cellStyle name="Comma 4 7 2 2 3" xfId="11409" xr:uid="{77A69013-C7DE-4393-81D9-A909A59B836B}"/>
    <cellStyle name="Comma 4 7 2 3" xfId="5046" xr:uid="{00000000-0005-0000-0000-00006E0A0000}"/>
    <cellStyle name="Comma 4 7 2 3 2" xfId="13482" xr:uid="{56DF5F06-757E-4F00-BB2C-55BA750C7B2C}"/>
    <cellStyle name="Comma 4 7 2 4" xfId="9264" xr:uid="{756D0735-F135-4060-BD22-28FD8D18F958}"/>
    <cellStyle name="Comma 4 7 3" xfId="1150" xr:uid="{00000000-0005-0000-0000-00006F0A0000}"/>
    <cellStyle name="Comma 4 7 3 2" xfId="3381" xr:uid="{00000000-0005-0000-0000-0000700A0000}"/>
    <cellStyle name="Comma 4 7 3 2 2" xfId="7604" xr:uid="{00000000-0005-0000-0000-0000710A0000}"/>
    <cellStyle name="Comma 4 7 3 2 2 2" xfId="16040" xr:uid="{676F0A43-16D6-43B3-9736-38BC04042CA5}"/>
    <cellStyle name="Comma 4 7 3 2 3" xfId="11822" xr:uid="{FED8DDE7-7606-4625-921F-05FED35D3D82}"/>
    <cellStyle name="Comma 4 7 3 3" xfId="5459" xr:uid="{00000000-0005-0000-0000-0000720A0000}"/>
    <cellStyle name="Comma 4 7 3 3 2" xfId="13895" xr:uid="{60FF29F7-55F2-4A13-BDF9-8C0A73A8D235}"/>
    <cellStyle name="Comma 4 7 3 4" xfId="9677" xr:uid="{49FB5BF3-77F5-4E69-B237-55CECCE7B212}"/>
    <cellStyle name="Comma 4 7 4" xfId="1564" xr:uid="{00000000-0005-0000-0000-0000730A0000}"/>
    <cellStyle name="Comma 4 7 4 2" xfId="3794" xr:uid="{00000000-0005-0000-0000-0000740A0000}"/>
    <cellStyle name="Comma 4 7 4 2 2" xfId="8017" xr:uid="{00000000-0005-0000-0000-0000750A0000}"/>
    <cellStyle name="Comma 4 7 4 2 2 2" xfId="16453" xr:uid="{5F507D38-2272-4C66-8C20-07F4BF34412B}"/>
    <cellStyle name="Comma 4 7 4 2 3" xfId="12235" xr:uid="{7277D50C-C1B3-46E3-8A8E-B1D51355C576}"/>
    <cellStyle name="Comma 4 7 4 3" xfId="5872" xr:uid="{00000000-0005-0000-0000-0000760A0000}"/>
    <cellStyle name="Comma 4 7 4 3 2" xfId="14308" xr:uid="{FBA72937-5A38-4326-B985-83A333244687}"/>
    <cellStyle name="Comma 4 7 4 4" xfId="10090" xr:uid="{E50183E3-23E7-41B3-9065-E96DB51B556C}"/>
    <cellStyle name="Comma 4 7 5" xfId="1978" xr:uid="{00000000-0005-0000-0000-0000770A0000}"/>
    <cellStyle name="Comma 4 7 5 2" xfId="4207" xr:uid="{00000000-0005-0000-0000-0000780A0000}"/>
    <cellStyle name="Comma 4 7 5 2 2" xfId="8430" xr:uid="{00000000-0005-0000-0000-0000790A0000}"/>
    <cellStyle name="Comma 4 7 5 2 2 2" xfId="16866" xr:uid="{67659720-A563-48C2-9D20-24849FBB38A8}"/>
    <cellStyle name="Comma 4 7 5 2 3" xfId="12648" xr:uid="{D413484C-BFE6-45C6-8015-DD43220346AD}"/>
    <cellStyle name="Comma 4 7 5 3" xfId="6285" xr:uid="{00000000-0005-0000-0000-00007A0A0000}"/>
    <cellStyle name="Comma 4 7 5 3 2" xfId="14721" xr:uid="{E7469235-2D2C-437A-B610-DE71BD29AC4F}"/>
    <cellStyle name="Comma 4 7 5 4" xfId="10503" xr:uid="{AEFC34B9-71D7-46F6-AF6C-8772CE859269}"/>
    <cellStyle name="Comma 4 7 6" xfId="2413" xr:uid="{00000000-0005-0000-0000-00007B0A0000}"/>
    <cellStyle name="Comma 4 7 6 2" xfId="6698" xr:uid="{00000000-0005-0000-0000-00007C0A0000}"/>
    <cellStyle name="Comma 4 7 6 2 2" xfId="15134" xr:uid="{39094D3C-F9BE-4613-B483-A554DB663B67}"/>
    <cellStyle name="Comma 4 7 6 3" xfId="10916" xr:uid="{9A1D628C-E8A5-4A0F-A0FB-3E7EF2167013}"/>
    <cellStyle name="Comma 4 7 7" xfId="2709" xr:uid="{00000000-0005-0000-0000-00007D0A0000}"/>
    <cellStyle name="Comma 4 7 8" xfId="2791" xr:uid="{00000000-0005-0000-0000-00007E0A0000}"/>
    <cellStyle name="Comma 4 7 8 2" xfId="7015" xr:uid="{00000000-0005-0000-0000-00007F0A0000}"/>
    <cellStyle name="Comma 4 7 8 2 2" xfId="15451" xr:uid="{033597E8-2DB2-40B5-B605-47F2126FD160}"/>
    <cellStyle name="Comma 4 7 8 3" xfId="11233" xr:uid="{D9E53C23-E34B-4582-975A-CB306609F740}"/>
    <cellStyle name="Comma 4 7 9" xfId="4632" xr:uid="{00000000-0005-0000-0000-0000800A0000}"/>
    <cellStyle name="Comma 4 7 9 2" xfId="13068" xr:uid="{C3ACA46F-DDC5-492B-88ED-FE20949F350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6" xr:uid="{67E1AB11-A71B-4684-8B7A-FB400A695282}"/>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3" xr:uid="{F36F48D8-46F5-4377-8947-785BDF5B8127}"/>
    <cellStyle name="Currency 14 3" xfId="8720" xr:uid="{729B09A7-2394-4D7C-912C-1471FB3455A3}"/>
    <cellStyle name="Currency 14 3 2" xfId="17156" xr:uid="{1353C795-929C-47AE-BA71-E3E2AFF1D5E4}"/>
    <cellStyle name="Currency 14 4" xfId="12939" xr:uid="{D86E9A4D-4B02-4B8D-9E5F-32C30936EEE5}"/>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2" xr:uid="{1365C529-52EE-468C-8214-072FD6C27153}"/>
    <cellStyle name="Currency 3 2 2 10 3" xfId="11234" xr:uid="{3060D15F-E434-45AF-90C2-30D218304FF9}"/>
    <cellStyle name="Currency 3 2 2 11" xfId="4633" xr:uid="{00000000-0005-0000-0000-0000A50A0000}"/>
    <cellStyle name="Currency 3 2 2 11 2" xfId="13069" xr:uid="{00617CE4-47E7-4D33-BEAA-AC686BFB24B4}"/>
    <cellStyle name="Currency 3 2 2 12" xfId="8851" xr:uid="{5ADB1FFA-8D1B-4796-9E9C-1C550E208FE2}"/>
    <cellStyle name="Currency 3 2 2 2" xfId="179" xr:uid="{00000000-0005-0000-0000-0000A60A0000}"/>
    <cellStyle name="Currency 3 2 2 2 10" xfId="4634" xr:uid="{00000000-0005-0000-0000-0000A70A0000}"/>
    <cellStyle name="Currency 3 2 2 2 10 2" xfId="13070" xr:uid="{5EC232CA-1010-4987-A443-C6CCBFE47E66}"/>
    <cellStyle name="Currency 3 2 2 2 11" xfId="8852" xr:uid="{00CE4E47-0CE9-424F-AE54-9957B2371543}"/>
    <cellStyle name="Currency 3 2 2 2 2" xfId="180" xr:uid="{00000000-0005-0000-0000-0000A80A0000}"/>
    <cellStyle name="Currency 3 2 2 2 2 10" xfId="8853" xr:uid="{235C3955-E2BC-40B0-B725-B14E2147902B}"/>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0" xr:uid="{D566A843-3639-4237-95CB-33BE916082CD}"/>
    <cellStyle name="Currency 3 2 2 2 2 2 2 3" xfId="11412" xr:uid="{2985F327-B842-4FE5-B37E-5ED1DA420C40}"/>
    <cellStyle name="Currency 3 2 2 2 2 2 3" xfId="5049" xr:uid="{00000000-0005-0000-0000-0000AC0A0000}"/>
    <cellStyle name="Currency 3 2 2 2 2 2 3 2" xfId="13485" xr:uid="{83302CED-4FC7-436A-B1CB-4C4C72B50B2C}"/>
    <cellStyle name="Currency 3 2 2 2 2 2 4" xfId="9267" xr:uid="{D78D829A-9000-48F9-95E1-F395699DE93B}"/>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3" xr:uid="{9B5241FF-2E8B-4B2A-BA05-45F493440ABB}"/>
    <cellStyle name="Currency 3 2 2 2 2 3 2 3" xfId="11825" xr:uid="{05DF0EFA-920E-4F0E-9B16-114FCB9DD6E8}"/>
    <cellStyle name="Currency 3 2 2 2 2 3 3" xfId="5462" xr:uid="{00000000-0005-0000-0000-0000B00A0000}"/>
    <cellStyle name="Currency 3 2 2 2 2 3 3 2" xfId="13898" xr:uid="{53CF5240-DC27-430B-9F93-9781461AC92F}"/>
    <cellStyle name="Currency 3 2 2 2 2 3 4" xfId="9680" xr:uid="{820F0BA7-6969-4268-8933-7F6903E80E2E}"/>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6" xr:uid="{A882CA0C-92C3-4D2A-9648-C6DA0EF7FC14}"/>
    <cellStyle name="Currency 3 2 2 2 2 4 2 3" xfId="12238" xr:uid="{66418D35-DF5D-4769-BD7F-6A2E3A8CD574}"/>
    <cellStyle name="Currency 3 2 2 2 2 4 3" xfId="5875" xr:uid="{00000000-0005-0000-0000-0000B40A0000}"/>
    <cellStyle name="Currency 3 2 2 2 2 4 3 2" xfId="14311" xr:uid="{FC179C04-9221-42D2-BAA2-9BEED374EC79}"/>
    <cellStyle name="Currency 3 2 2 2 2 4 4" xfId="10093" xr:uid="{D59D5A5B-324F-47CF-9B68-A8383ED2E723}"/>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69" xr:uid="{58BBE0EC-2BAE-4FFA-ACB9-D02E66B449A4}"/>
    <cellStyle name="Currency 3 2 2 2 2 5 2 3" xfId="12651" xr:uid="{C4E3D57A-E547-444E-9CAA-FDA931D9FED2}"/>
    <cellStyle name="Currency 3 2 2 2 2 5 3" xfId="6288" xr:uid="{00000000-0005-0000-0000-0000B80A0000}"/>
    <cellStyle name="Currency 3 2 2 2 2 5 3 2" xfId="14724" xr:uid="{369EEB42-149C-45CF-B708-F096F73382AE}"/>
    <cellStyle name="Currency 3 2 2 2 2 5 4" xfId="10506" xr:uid="{28D87B6A-A2C8-48EB-BEDE-A2A5352C0338}"/>
    <cellStyle name="Currency 3 2 2 2 2 6" xfId="2416" xr:uid="{00000000-0005-0000-0000-0000B90A0000}"/>
    <cellStyle name="Currency 3 2 2 2 2 6 2" xfId="6701" xr:uid="{00000000-0005-0000-0000-0000BA0A0000}"/>
    <cellStyle name="Currency 3 2 2 2 2 6 2 2" xfId="15137" xr:uid="{0D60599E-A630-4777-AF3A-775D284126E5}"/>
    <cellStyle name="Currency 3 2 2 2 2 6 3" xfId="10919" xr:uid="{259529FE-4BE3-470E-B7AB-F6B5EB930AAB}"/>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4" xr:uid="{F27D04D9-2FCE-4828-8958-E7EC1856A116}"/>
    <cellStyle name="Currency 3 2 2 2 2 8 3" xfId="11236" xr:uid="{1E32F845-2867-4B58-A329-4A55E3615223}"/>
    <cellStyle name="Currency 3 2 2 2 2 9" xfId="4635" xr:uid="{00000000-0005-0000-0000-0000BE0A0000}"/>
    <cellStyle name="Currency 3 2 2 2 2 9 2" xfId="13071" xr:uid="{9D5B8ABE-7A00-408A-98CA-6B6281380B07}"/>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29" xr:uid="{B6F71A3E-3F09-462C-BB46-15326765C205}"/>
    <cellStyle name="Currency 3 2 2 2 3 2 3" xfId="11411" xr:uid="{672967BB-8D84-4659-9E83-112B1F74C3D1}"/>
    <cellStyle name="Currency 3 2 2 2 3 3" xfId="5048" xr:uid="{00000000-0005-0000-0000-0000C20A0000}"/>
    <cellStyle name="Currency 3 2 2 2 3 3 2" xfId="13484" xr:uid="{37A1C7A9-8AC9-48F8-B8E2-08986C7B849A}"/>
    <cellStyle name="Currency 3 2 2 2 3 4" xfId="9266" xr:uid="{4ABDF673-C2DF-4EF2-B0EE-F2F1E4813AAB}"/>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2" xr:uid="{02134792-B46E-478D-AC0D-92853CDF8EF4}"/>
    <cellStyle name="Currency 3 2 2 2 4 2 3" xfId="11824" xr:uid="{6B0F9087-EA8B-42B2-B69C-07DEC30360F8}"/>
    <cellStyle name="Currency 3 2 2 2 4 3" xfId="5461" xr:uid="{00000000-0005-0000-0000-0000C60A0000}"/>
    <cellStyle name="Currency 3 2 2 2 4 3 2" xfId="13897" xr:uid="{96D21538-E678-4828-B6B3-4F013260C675}"/>
    <cellStyle name="Currency 3 2 2 2 4 4" xfId="9679" xr:uid="{C15360E7-0995-4896-AE24-5EB12F54E16F}"/>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5" xr:uid="{363192E3-A8C3-4370-BF53-DD4AA00EE7A0}"/>
    <cellStyle name="Currency 3 2 2 2 5 2 3" xfId="12237" xr:uid="{F5A3CFE7-310D-49FD-8478-7C7092127F02}"/>
    <cellStyle name="Currency 3 2 2 2 5 3" xfId="5874" xr:uid="{00000000-0005-0000-0000-0000CA0A0000}"/>
    <cellStyle name="Currency 3 2 2 2 5 3 2" xfId="14310" xr:uid="{098AC4D4-9499-43F6-9A5C-EA52199581E9}"/>
    <cellStyle name="Currency 3 2 2 2 5 4" xfId="10092" xr:uid="{40D34829-F3B4-42A8-BCAE-A531F56C46A8}"/>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68" xr:uid="{0248925D-6AF9-4048-B57C-0E72E6B85C40}"/>
    <cellStyle name="Currency 3 2 2 2 6 2 3" xfId="12650" xr:uid="{49E3DBEC-24A6-49D1-BFBC-ABC97A3F92EE}"/>
    <cellStyle name="Currency 3 2 2 2 6 3" xfId="6287" xr:uid="{00000000-0005-0000-0000-0000CE0A0000}"/>
    <cellStyle name="Currency 3 2 2 2 6 3 2" xfId="14723" xr:uid="{BB974A98-07D1-478D-AEC0-DA98D00892F5}"/>
    <cellStyle name="Currency 3 2 2 2 6 4" xfId="10505" xr:uid="{D9DCE121-A43E-4F67-B29D-6A908A81A116}"/>
    <cellStyle name="Currency 3 2 2 2 7" xfId="2415" xr:uid="{00000000-0005-0000-0000-0000CF0A0000}"/>
    <cellStyle name="Currency 3 2 2 2 7 2" xfId="6700" xr:uid="{00000000-0005-0000-0000-0000D00A0000}"/>
    <cellStyle name="Currency 3 2 2 2 7 2 2" xfId="15136" xr:uid="{7369118B-D99F-4BD8-B05C-E566C24BFD06}"/>
    <cellStyle name="Currency 3 2 2 2 7 3" xfId="10918" xr:uid="{14A8ECEE-E4C9-4F95-BE22-A43AEE517E62}"/>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3" xr:uid="{96415E25-8985-48A3-9D81-C9A60812D6B6}"/>
    <cellStyle name="Currency 3 2 2 2 9 3" xfId="11235" xr:uid="{51542519-260D-48BC-9393-FD3260093864}"/>
    <cellStyle name="Currency 3 2 2 3" xfId="181" xr:uid="{00000000-0005-0000-0000-0000D40A0000}"/>
    <cellStyle name="Currency 3 2 2 3 10" xfId="8854" xr:uid="{D3C6BA03-B6D1-4372-8DF0-1B63CD0E2AD3}"/>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1" xr:uid="{23B690EC-D789-453B-9A3F-A05DCEBB5CF5}"/>
    <cellStyle name="Currency 3 2 2 3 2 2 3" xfId="11413" xr:uid="{8D012CF7-8B55-4217-8BC6-333DF7739D74}"/>
    <cellStyle name="Currency 3 2 2 3 2 3" xfId="5050" xr:uid="{00000000-0005-0000-0000-0000D80A0000}"/>
    <cellStyle name="Currency 3 2 2 3 2 3 2" xfId="13486" xr:uid="{C3A4E069-E9EF-4C8B-86C9-6E1C78E4B0A9}"/>
    <cellStyle name="Currency 3 2 2 3 2 4" xfId="9268" xr:uid="{3045AD15-3069-47BB-9ED3-421F22BEBEDF}"/>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4" xr:uid="{E3EFFE77-02A9-4C4A-A558-F4C8D91FA821}"/>
    <cellStyle name="Currency 3 2 2 3 3 2 3" xfId="11826" xr:uid="{BF99C287-A0E2-4272-A065-55A285BBA9C4}"/>
    <cellStyle name="Currency 3 2 2 3 3 3" xfId="5463" xr:uid="{00000000-0005-0000-0000-0000DC0A0000}"/>
    <cellStyle name="Currency 3 2 2 3 3 3 2" xfId="13899" xr:uid="{B564DE07-86C9-4D28-9146-AC2F4DA6BB6B}"/>
    <cellStyle name="Currency 3 2 2 3 3 4" xfId="9681" xr:uid="{4C100D19-A31F-449D-980E-714EB384354C}"/>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57" xr:uid="{2A24EFCE-D0F6-44A2-946A-565D170532CF}"/>
    <cellStyle name="Currency 3 2 2 3 4 2 3" xfId="12239" xr:uid="{6218AE4C-6E27-46D2-A230-658DFA702CFA}"/>
    <cellStyle name="Currency 3 2 2 3 4 3" xfId="5876" xr:uid="{00000000-0005-0000-0000-0000E00A0000}"/>
    <cellStyle name="Currency 3 2 2 3 4 3 2" xfId="14312" xr:uid="{75F3E3E1-0587-46BE-A058-9F6A16FDD821}"/>
    <cellStyle name="Currency 3 2 2 3 4 4" xfId="10094" xr:uid="{F6BC8917-1F43-4062-BCB7-DF7803BDB8C4}"/>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0" xr:uid="{0AB1C599-1A8F-49E7-A910-213451C20109}"/>
    <cellStyle name="Currency 3 2 2 3 5 2 3" xfId="12652" xr:uid="{8257A857-6A13-47FC-8F00-CE0082F26587}"/>
    <cellStyle name="Currency 3 2 2 3 5 3" xfId="6289" xr:uid="{00000000-0005-0000-0000-0000E40A0000}"/>
    <cellStyle name="Currency 3 2 2 3 5 3 2" xfId="14725" xr:uid="{0AB399BA-1382-408F-BDAE-B63818A337DE}"/>
    <cellStyle name="Currency 3 2 2 3 5 4" xfId="10507" xr:uid="{5BB01ADB-3D0F-49A4-A868-935428DB1DD5}"/>
    <cellStyle name="Currency 3 2 2 3 6" xfId="2417" xr:uid="{00000000-0005-0000-0000-0000E50A0000}"/>
    <cellStyle name="Currency 3 2 2 3 6 2" xfId="6702" xr:uid="{00000000-0005-0000-0000-0000E60A0000}"/>
    <cellStyle name="Currency 3 2 2 3 6 2 2" xfId="15138" xr:uid="{EB622C31-1213-4E25-AD58-924FAE92D471}"/>
    <cellStyle name="Currency 3 2 2 3 6 3" xfId="10920" xr:uid="{3EEDD102-C952-41CE-BE35-976788A7330A}"/>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5" xr:uid="{7D7860D5-6E9B-40E3-9C10-88DAD9C3259F}"/>
    <cellStyle name="Currency 3 2 2 3 8 3" xfId="11237" xr:uid="{ECFA18F5-197D-4E51-833F-2F5318FA3904}"/>
    <cellStyle name="Currency 3 2 2 3 9" xfId="4636" xr:uid="{00000000-0005-0000-0000-0000EA0A0000}"/>
    <cellStyle name="Currency 3 2 2 3 9 2" xfId="13072" xr:uid="{06A1FA59-304F-4DB2-B9DD-579976690521}"/>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28" xr:uid="{F40C20FC-619D-4A5E-8F7D-9BB8598F47D1}"/>
    <cellStyle name="Currency 3 2 2 4 2 3" xfId="11410" xr:uid="{8E2CE6F9-D047-4375-8904-1E14E44FB33D}"/>
    <cellStyle name="Currency 3 2 2 4 3" xfId="5047" xr:uid="{00000000-0005-0000-0000-0000EE0A0000}"/>
    <cellStyle name="Currency 3 2 2 4 3 2" xfId="13483" xr:uid="{1DA097FE-71EA-4A13-9687-1C7A3813B82E}"/>
    <cellStyle name="Currency 3 2 2 4 4" xfId="9265" xr:uid="{B2EF0A19-D2EF-441F-82BD-18A261381D29}"/>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1" xr:uid="{2F3FD626-213F-4BB2-A5B2-FBFDB6BE3E62}"/>
    <cellStyle name="Currency 3 2 2 5 2 3" xfId="11823" xr:uid="{58768AC3-974A-4333-A49A-A515BC34B60C}"/>
    <cellStyle name="Currency 3 2 2 5 3" xfId="5460" xr:uid="{00000000-0005-0000-0000-0000F20A0000}"/>
    <cellStyle name="Currency 3 2 2 5 3 2" xfId="13896" xr:uid="{77DAD1A9-CE33-4935-AAEC-278E8E5C6480}"/>
    <cellStyle name="Currency 3 2 2 5 4" xfId="9678" xr:uid="{5E4F8BFE-2A92-45D5-AB3C-9D6FC6789932}"/>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4" xr:uid="{7654885F-1295-4F11-9D62-1118EDEDE89E}"/>
    <cellStyle name="Currency 3 2 2 6 2 3" xfId="12236" xr:uid="{B9EAC272-B5B4-4EF2-B4CA-672488633E57}"/>
    <cellStyle name="Currency 3 2 2 6 3" xfId="5873" xr:uid="{00000000-0005-0000-0000-0000F60A0000}"/>
    <cellStyle name="Currency 3 2 2 6 3 2" xfId="14309" xr:uid="{30E5AF0C-40C4-45F4-8D40-19D3B54C09E2}"/>
    <cellStyle name="Currency 3 2 2 6 4" xfId="10091" xr:uid="{828BEAB0-7451-480A-A140-C9E4FBAFEEBB}"/>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67" xr:uid="{2B6D19DF-2259-40F0-AC34-F6F28CAD9821}"/>
    <cellStyle name="Currency 3 2 2 7 2 3" xfId="12649" xr:uid="{8CDD4917-4A82-48DF-A22F-BB1A69891B7D}"/>
    <cellStyle name="Currency 3 2 2 7 3" xfId="6286" xr:uid="{00000000-0005-0000-0000-0000FA0A0000}"/>
    <cellStyle name="Currency 3 2 2 7 3 2" xfId="14722" xr:uid="{7FCF7304-3DE8-4BC8-AB68-4F0C75930341}"/>
    <cellStyle name="Currency 3 2 2 7 4" xfId="10504" xr:uid="{DBC1E9DB-D406-4370-A442-4EE5969C6879}"/>
    <cellStyle name="Currency 3 2 2 8" xfId="2414" xr:uid="{00000000-0005-0000-0000-0000FB0A0000}"/>
    <cellStyle name="Currency 3 2 2 8 2" xfId="6699" xr:uid="{00000000-0005-0000-0000-0000FC0A0000}"/>
    <cellStyle name="Currency 3 2 2 8 2 2" xfId="15135" xr:uid="{BEC60DDE-7828-468B-ABCC-5D17706EB69F}"/>
    <cellStyle name="Currency 3 2 2 8 3" xfId="10917" xr:uid="{0DACA992-4E04-45B3-BD86-DC4A40AB2819}"/>
    <cellStyle name="Currency 3 2 2 9" xfId="2711" xr:uid="{00000000-0005-0000-0000-0000FD0A0000}"/>
    <cellStyle name="Currency 3 2 3" xfId="182" xr:uid="{00000000-0005-0000-0000-0000FE0A0000}"/>
    <cellStyle name="Currency 3 2 3 10" xfId="4637" xr:uid="{00000000-0005-0000-0000-0000FF0A0000}"/>
    <cellStyle name="Currency 3 2 3 10 2" xfId="13073" xr:uid="{6B7C29FF-F225-4345-AE51-708A71CF3320}"/>
    <cellStyle name="Currency 3 2 3 11" xfId="8855" xr:uid="{FA1FD668-3854-490B-B6CA-D125A47C5B64}"/>
    <cellStyle name="Currency 3 2 3 2" xfId="183" xr:uid="{00000000-0005-0000-0000-0000000B0000}"/>
    <cellStyle name="Currency 3 2 3 2 10" xfId="8856" xr:uid="{FB8D5001-5FA1-436E-BF52-BF56E0AEF2AD}"/>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3" xr:uid="{9A19D0E2-54D5-4BC8-B957-78C26B03AD54}"/>
    <cellStyle name="Currency 3 2 3 2 2 2 3" xfId="11415" xr:uid="{7DA2F723-2770-4396-99AB-44AE7DF154FE}"/>
    <cellStyle name="Currency 3 2 3 2 2 3" xfId="5052" xr:uid="{00000000-0005-0000-0000-0000040B0000}"/>
    <cellStyle name="Currency 3 2 3 2 2 3 2" xfId="13488" xr:uid="{54E00ABD-30F5-446B-A9EA-75F5F6AAC47B}"/>
    <cellStyle name="Currency 3 2 3 2 2 4" xfId="9270" xr:uid="{D25EA1A4-EA6A-40E5-8BBD-4186A43D86A8}"/>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6" xr:uid="{73A424C6-A311-4884-9069-AA0ABEC9C666}"/>
    <cellStyle name="Currency 3 2 3 2 3 2 3" xfId="11828" xr:uid="{85227083-B528-4224-B039-BBC575BE44F3}"/>
    <cellStyle name="Currency 3 2 3 2 3 3" xfId="5465" xr:uid="{00000000-0005-0000-0000-0000080B0000}"/>
    <cellStyle name="Currency 3 2 3 2 3 3 2" xfId="13901" xr:uid="{E57995EF-5DB5-4931-B9BF-17CBE698C1D9}"/>
    <cellStyle name="Currency 3 2 3 2 3 4" xfId="9683" xr:uid="{452E21FF-9CCE-460F-A310-16DEB17ADD6F}"/>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59" xr:uid="{C033295D-4D1F-466A-9C4D-9A2BE9793129}"/>
    <cellStyle name="Currency 3 2 3 2 4 2 3" xfId="12241" xr:uid="{12447F6D-4A2D-4948-911A-645D4FBDDBA5}"/>
    <cellStyle name="Currency 3 2 3 2 4 3" xfId="5878" xr:uid="{00000000-0005-0000-0000-00000C0B0000}"/>
    <cellStyle name="Currency 3 2 3 2 4 3 2" xfId="14314" xr:uid="{66DDBD78-D5EF-4FD4-BC5F-C41CB4865A3F}"/>
    <cellStyle name="Currency 3 2 3 2 4 4" xfId="10096" xr:uid="{700F1606-26FF-44C5-B018-44E1693549F9}"/>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2" xr:uid="{DF89CE96-874F-4AA0-AF85-0E54AFAEBFBE}"/>
    <cellStyle name="Currency 3 2 3 2 5 2 3" xfId="12654" xr:uid="{85A7B01E-DDB2-48AB-8533-5060E3B79443}"/>
    <cellStyle name="Currency 3 2 3 2 5 3" xfId="6291" xr:uid="{00000000-0005-0000-0000-0000100B0000}"/>
    <cellStyle name="Currency 3 2 3 2 5 3 2" xfId="14727" xr:uid="{3590A22E-4308-4C50-BD6B-EEB3A073212C}"/>
    <cellStyle name="Currency 3 2 3 2 5 4" xfId="10509" xr:uid="{A6424396-06CF-4CCD-851E-C8EF20AAFA0A}"/>
    <cellStyle name="Currency 3 2 3 2 6" xfId="2419" xr:uid="{00000000-0005-0000-0000-0000110B0000}"/>
    <cellStyle name="Currency 3 2 3 2 6 2" xfId="6704" xr:uid="{00000000-0005-0000-0000-0000120B0000}"/>
    <cellStyle name="Currency 3 2 3 2 6 2 2" xfId="15140" xr:uid="{7262B7C1-16CD-4C5E-8F59-E5586C0DAE8C}"/>
    <cellStyle name="Currency 3 2 3 2 6 3" xfId="10922" xr:uid="{6F156308-9D92-4B38-8A98-2242E5CFF993}"/>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57" xr:uid="{968BD85B-CBA8-4FC0-9F2B-67E8CF79A33E}"/>
    <cellStyle name="Currency 3 2 3 2 8 3" xfId="11239" xr:uid="{E4AF4B85-BA52-47FB-A412-1F3DB351C752}"/>
    <cellStyle name="Currency 3 2 3 2 9" xfId="4638" xr:uid="{00000000-0005-0000-0000-0000160B0000}"/>
    <cellStyle name="Currency 3 2 3 2 9 2" xfId="13074" xr:uid="{22438AC7-1202-49BD-8A32-16CDAE04951B}"/>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2" xr:uid="{40E2137E-298C-442A-BAE0-4772125F1E46}"/>
    <cellStyle name="Currency 3 2 3 3 2 3" xfId="11414" xr:uid="{8A2E67E4-699B-4830-AA6E-9503F495AA2C}"/>
    <cellStyle name="Currency 3 2 3 3 3" xfId="5051" xr:uid="{00000000-0005-0000-0000-00001A0B0000}"/>
    <cellStyle name="Currency 3 2 3 3 3 2" xfId="13487" xr:uid="{905DE65D-6470-41D1-92D7-0DCA991E7DC6}"/>
    <cellStyle name="Currency 3 2 3 3 4" xfId="9269" xr:uid="{C461B022-A765-4714-A898-F1665C703BAC}"/>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5" xr:uid="{F898531A-4E30-4E83-8D66-A36BA3F26F00}"/>
    <cellStyle name="Currency 3 2 3 4 2 3" xfId="11827" xr:uid="{1A99EA9B-8814-4AE1-AD87-76EB80D09415}"/>
    <cellStyle name="Currency 3 2 3 4 3" xfId="5464" xr:uid="{00000000-0005-0000-0000-00001E0B0000}"/>
    <cellStyle name="Currency 3 2 3 4 3 2" xfId="13900" xr:uid="{ACF84EAC-FAC7-476D-8A02-44252ACB80FE}"/>
    <cellStyle name="Currency 3 2 3 4 4" xfId="9682" xr:uid="{7E65AAF2-E6D1-4032-8DA0-FCFD6CEC7816}"/>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58" xr:uid="{DCB786FE-1E37-4501-B919-06B83055B214}"/>
    <cellStyle name="Currency 3 2 3 5 2 3" xfId="12240" xr:uid="{579DE113-8633-4992-8029-29DB052B283E}"/>
    <cellStyle name="Currency 3 2 3 5 3" xfId="5877" xr:uid="{00000000-0005-0000-0000-0000220B0000}"/>
    <cellStyle name="Currency 3 2 3 5 3 2" xfId="14313" xr:uid="{3880AF06-C4BE-4D05-A11C-B1988EEA84CF}"/>
    <cellStyle name="Currency 3 2 3 5 4" xfId="10095" xr:uid="{DD04C8F2-152C-46EC-8ECF-EC5E8045A557}"/>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1" xr:uid="{423C4C96-F8CD-432F-A5C7-D28CDFF216E7}"/>
    <cellStyle name="Currency 3 2 3 6 2 3" xfId="12653" xr:uid="{19B02AC1-3178-454D-A88A-FA2B3CFA9E97}"/>
    <cellStyle name="Currency 3 2 3 6 3" xfId="6290" xr:uid="{00000000-0005-0000-0000-0000260B0000}"/>
    <cellStyle name="Currency 3 2 3 6 3 2" xfId="14726" xr:uid="{50907E3E-8369-4E86-A636-42ABC0472617}"/>
    <cellStyle name="Currency 3 2 3 6 4" xfId="10508" xr:uid="{E672F10E-6BFD-4077-B289-4D81EBEDB8B0}"/>
    <cellStyle name="Currency 3 2 3 7" xfId="2418" xr:uid="{00000000-0005-0000-0000-0000270B0000}"/>
    <cellStyle name="Currency 3 2 3 7 2" xfId="6703" xr:uid="{00000000-0005-0000-0000-0000280B0000}"/>
    <cellStyle name="Currency 3 2 3 7 2 2" xfId="15139" xr:uid="{3B262BE3-0EF6-4DDD-86F5-97E38B3760F7}"/>
    <cellStyle name="Currency 3 2 3 7 3" xfId="10921" xr:uid="{1E159857-03CE-415F-A7BB-ACC5D4DEBCB0}"/>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6" xr:uid="{AFFDB3A6-1307-4B13-A289-BD61B1FA82E4}"/>
    <cellStyle name="Currency 3 2 3 9 3" xfId="11238" xr:uid="{DB678D42-FBE5-4BB7-BCEB-DB5C3DC84102}"/>
    <cellStyle name="Currency 3 2 4" xfId="184" xr:uid="{00000000-0005-0000-0000-00002C0B0000}"/>
    <cellStyle name="Currency 3 2 4 10" xfId="8857" xr:uid="{BD56875A-D166-43E2-9674-66A9240EBC1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4" xr:uid="{D92E2F3C-9DDF-4515-9C9C-D1FE7D0D09A8}"/>
    <cellStyle name="Currency 3 2 4 2 2 3" xfId="11416" xr:uid="{F3B10B52-B001-43D2-B68B-D435AA7AA7DB}"/>
    <cellStyle name="Currency 3 2 4 2 3" xfId="5053" xr:uid="{00000000-0005-0000-0000-0000300B0000}"/>
    <cellStyle name="Currency 3 2 4 2 3 2" xfId="13489" xr:uid="{48A9D671-59FD-4A7B-8C96-CB5D715C1595}"/>
    <cellStyle name="Currency 3 2 4 2 4" xfId="9271" xr:uid="{EA3F3DA3-D9B3-4C05-B3CF-4FAFE9A65F59}"/>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47" xr:uid="{DF886E0B-2E3B-4DB8-9171-D98460036175}"/>
    <cellStyle name="Currency 3 2 4 3 2 3" xfId="11829" xr:uid="{E3BF5968-8C59-46F1-9CBA-1BD20E5DA1A6}"/>
    <cellStyle name="Currency 3 2 4 3 3" xfId="5466" xr:uid="{00000000-0005-0000-0000-0000340B0000}"/>
    <cellStyle name="Currency 3 2 4 3 3 2" xfId="13902" xr:uid="{46B49D4E-6455-40EA-BACA-FF05386A78D6}"/>
    <cellStyle name="Currency 3 2 4 3 4" xfId="9684" xr:uid="{4DB14450-85C6-4E56-981D-37CA28B7D122}"/>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0" xr:uid="{6A1231BD-5F33-4ADD-8221-53A579702B9C}"/>
    <cellStyle name="Currency 3 2 4 4 2 3" xfId="12242" xr:uid="{C04C308D-BE1A-4B83-B0DF-CBD4EFB90CDE}"/>
    <cellStyle name="Currency 3 2 4 4 3" xfId="5879" xr:uid="{00000000-0005-0000-0000-0000380B0000}"/>
    <cellStyle name="Currency 3 2 4 4 3 2" xfId="14315" xr:uid="{0BF399ED-8E3E-4590-8559-B17584DC5F35}"/>
    <cellStyle name="Currency 3 2 4 4 4" xfId="10097" xr:uid="{75FDEC1D-648A-489B-B6B1-E729A8D5524E}"/>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3" xr:uid="{BA74FBE2-2D18-472B-A126-84824F5955B2}"/>
    <cellStyle name="Currency 3 2 4 5 2 3" xfId="12655" xr:uid="{60120D0E-3F31-4074-B865-B38E7006207E}"/>
    <cellStyle name="Currency 3 2 4 5 3" xfId="6292" xr:uid="{00000000-0005-0000-0000-00003C0B0000}"/>
    <cellStyle name="Currency 3 2 4 5 3 2" xfId="14728" xr:uid="{83B79272-0440-4304-B2FF-7568DDD6FDD5}"/>
    <cellStyle name="Currency 3 2 4 5 4" xfId="10510" xr:uid="{0E62F603-A304-4B84-9DDC-9D883F5B9257}"/>
    <cellStyle name="Currency 3 2 4 6" xfId="2420" xr:uid="{00000000-0005-0000-0000-00003D0B0000}"/>
    <cellStyle name="Currency 3 2 4 6 2" xfId="6705" xr:uid="{00000000-0005-0000-0000-00003E0B0000}"/>
    <cellStyle name="Currency 3 2 4 6 2 2" xfId="15141" xr:uid="{0379D398-227E-4825-A54C-AF30B17F9EE1}"/>
    <cellStyle name="Currency 3 2 4 6 3" xfId="10923" xr:uid="{8980698A-6219-4BC6-8BBB-A49929C1DABA}"/>
    <cellStyle name="Currency 3 2 4 7" xfId="2717" xr:uid="{00000000-0005-0000-0000-00003F0B0000}"/>
    <cellStyle name="Currency 3 2 4 8" xfId="2798" xr:uid="{00000000-0005-0000-0000-0000400B0000}"/>
    <cellStyle name="Currency 3 2 4 8 2" xfId="7022" xr:uid="{00000000-0005-0000-0000-0000410B0000}"/>
    <cellStyle name="Currency 3 2 4 8 2 2" xfId="15458" xr:uid="{3DC3625F-901B-4B57-A471-2CC2FD691307}"/>
    <cellStyle name="Currency 3 2 4 8 3" xfId="11240" xr:uid="{261491AE-C3EB-4702-BE35-810E05D17347}"/>
    <cellStyle name="Currency 3 2 4 9" xfId="4639" xr:uid="{00000000-0005-0000-0000-0000420B0000}"/>
    <cellStyle name="Currency 3 2 4 9 2" xfId="13075" xr:uid="{34C75019-1C62-4A66-90B8-35E1292BE7D1}"/>
    <cellStyle name="Currency 3 2 5" xfId="185" xr:uid="{00000000-0005-0000-0000-0000430B0000}"/>
    <cellStyle name="Currency 3 2 5 10" xfId="8858" xr:uid="{CA1B50B8-555D-4E5D-B483-89482FD2A6A1}"/>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5" xr:uid="{2EEFD3F6-23C9-41FD-8287-420E1F070848}"/>
    <cellStyle name="Currency 3 2 5 2 2 3" xfId="11417" xr:uid="{CE17308D-AA88-46C3-83E1-6DD32681DC74}"/>
    <cellStyle name="Currency 3 2 5 2 3" xfId="5054" xr:uid="{00000000-0005-0000-0000-0000470B0000}"/>
    <cellStyle name="Currency 3 2 5 2 3 2" xfId="13490" xr:uid="{FC6B5529-55A5-4283-B9CE-5C40F3C885F4}"/>
    <cellStyle name="Currency 3 2 5 2 4" xfId="9272" xr:uid="{534DAE2C-0C91-452A-A45E-756F78BF05EF}"/>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48" xr:uid="{2ED87EBC-33F6-4ECE-B480-78D89F70F273}"/>
    <cellStyle name="Currency 3 2 5 3 2 3" xfId="11830" xr:uid="{7223D3FD-864D-409D-8D1A-B28999C1CC7C}"/>
    <cellStyle name="Currency 3 2 5 3 3" xfId="5467" xr:uid="{00000000-0005-0000-0000-00004B0B0000}"/>
    <cellStyle name="Currency 3 2 5 3 3 2" xfId="13903" xr:uid="{E93B2DF3-1815-4272-8641-26E8E9098E05}"/>
    <cellStyle name="Currency 3 2 5 3 4" xfId="9685" xr:uid="{887BFE23-04D5-46F5-BDAE-F1EF39C5581B}"/>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1" xr:uid="{F8CAAD70-50A0-48D6-BF0C-72BAEE35BD8A}"/>
    <cellStyle name="Currency 3 2 5 4 2 3" xfId="12243" xr:uid="{4DF27C3F-6D72-47AF-B7A4-2BD5A8AC92AD}"/>
    <cellStyle name="Currency 3 2 5 4 3" xfId="5880" xr:uid="{00000000-0005-0000-0000-00004F0B0000}"/>
    <cellStyle name="Currency 3 2 5 4 3 2" xfId="14316" xr:uid="{0AEE1FC7-D997-433F-AE11-EA3390E9A2C4}"/>
    <cellStyle name="Currency 3 2 5 4 4" xfId="10098" xr:uid="{7AF9C255-6731-4A09-9502-53A12C9D0F32}"/>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4" xr:uid="{FE55E076-DAE5-4D92-AA51-D7A0ABB4EED5}"/>
    <cellStyle name="Currency 3 2 5 5 2 3" xfId="12656" xr:uid="{F1705CC2-F9FF-434D-B4BD-F6BBC7DE8140}"/>
    <cellStyle name="Currency 3 2 5 5 3" xfId="6293" xr:uid="{00000000-0005-0000-0000-0000530B0000}"/>
    <cellStyle name="Currency 3 2 5 5 3 2" xfId="14729" xr:uid="{A4FF8BFE-7BF6-43BB-8508-BA7DC2DF3D3F}"/>
    <cellStyle name="Currency 3 2 5 5 4" xfId="10511" xr:uid="{47E2ADB6-3AA5-42A2-AF17-BC51B9B204A0}"/>
    <cellStyle name="Currency 3 2 5 6" xfId="2421" xr:uid="{00000000-0005-0000-0000-0000540B0000}"/>
    <cellStyle name="Currency 3 2 5 6 2" xfId="6706" xr:uid="{00000000-0005-0000-0000-0000550B0000}"/>
    <cellStyle name="Currency 3 2 5 6 2 2" xfId="15142" xr:uid="{78B160D4-ADD8-40EE-94F8-FFBE5792E34C}"/>
    <cellStyle name="Currency 3 2 5 6 3" xfId="10924" xr:uid="{7FD77106-6EAB-4288-A95B-744FAED2DBEA}"/>
    <cellStyle name="Currency 3 2 5 7" xfId="2718" xr:uid="{00000000-0005-0000-0000-0000560B0000}"/>
    <cellStyle name="Currency 3 2 5 8" xfId="2799" xr:uid="{00000000-0005-0000-0000-0000570B0000}"/>
    <cellStyle name="Currency 3 2 5 8 2" xfId="7023" xr:uid="{00000000-0005-0000-0000-0000580B0000}"/>
    <cellStyle name="Currency 3 2 5 8 2 2" xfId="15459" xr:uid="{9F22D402-2057-4F73-B363-A23C1E02FB2E}"/>
    <cellStyle name="Currency 3 2 5 8 3" xfId="11241" xr:uid="{ADFE2217-2C50-463F-9E9A-87A09C65FFD7}"/>
    <cellStyle name="Currency 3 2 5 9" xfId="4640" xr:uid="{00000000-0005-0000-0000-0000590B0000}"/>
    <cellStyle name="Currency 3 2 5 9 2" xfId="13076" xr:uid="{D7BE5A68-B2FA-46BF-BF0D-9A805931585E}"/>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0" xr:uid="{ED0A5C30-E7A9-4D54-92AB-C7B0E0E12366}"/>
    <cellStyle name="Currency 5 2 2 2 10 3" xfId="11242" xr:uid="{7764BA4E-07A2-4D2E-B08C-A85AD8CE36BA}"/>
    <cellStyle name="Currency 5 2 2 2 11" xfId="4641" xr:uid="{00000000-0005-0000-0000-00006C0B0000}"/>
    <cellStyle name="Currency 5 2 2 2 11 2" xfId="13077" xr:uid="{5BE5FF3F-0F83-4522-97F6-04347A115889}"/>
    <cellStyle name="Currency 5 2 2 2 12" xfId="8859" xr:uid="{B98E95F9-626F-4358-B612-2C9C98F0771B}"/>
    <cellStyle name="Currency 5 2 2 2 2" xfId="197" xr:uid="{00000000-0005-0000-0000-00006D0B0000}"/>
    <cellStyle name="Currency 5 2 2 2 2 10" xfId="4642" xr:uid="{00000000-0005-0000-0000-00006E0B0000}"/>
    <cellStyle name="Currency 5 2 2 2 2 10 2" xfId="13078" xr:uid="{A1AFBF3F-D0E4-490C-AF3A-FAB459A7DF23}"/>
    <cellStyle name="Currency 5 2 2 2 2 11" xfId="8860" xr:uid="{02FD0270-D225-4912-8144-DF765E5A7A74}"/>
    <cellStyle name="Currency 5 2 2 2 2 2" xfId="198" xr:uid="{00000000-0005-0000-0000-00006F0B0000}"/>
    <cellStyle name="Currency 5 2 2 2 2 2 10" xfId="8861" xr:uid="{7B1CA656-8E4C-45D9-82DA-5C8296F8C8A6}"/>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38" xr:uid="{EAD0FA51-24FC-44FB-9131-D9E769BA6D7D}"/>
    <cellStyle name="Currency 5 2 2 2 2 2 2 2 3" xfId="11420" xr:uid="{BF77B0AB-9C93-4A50-AB14-A8DBEB4EDF7E}"/>
    <cellStyle name="Currency 5 2 2 2 2 2 2 3" xfId="5057" xr:uid="{00000000-0005-0000-0000-0000730B0000}"/>
    <cellStyle name="Currency 5 2 2 2 2 2 2 3 2" xfId="13493" xr:uid="{542065A5-4353-442E-B94C-737CD6DA5877}"/>
    <cellStyle name="Currency 5 2 2 2 2 2 2 4" xfId="9275" xr:uid="{FC0B6E6F-139E-4E09-B559-AE10F4179868}"/>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1" xr:uid="{EDBD1D24-73FB-4858-9BD8-F6E928FF27DD}"/>
    <cellStyle name="Currency 5 2 2 2 2 2 3 2 3" xfId="11833" xr:uid="{5BD14CB0-4016-4132-8557-09921F22F4FA}"/>
    <cellStyle name="Currency 5 2 2 2 2 2 3 3" xfId="5470" xr:uid="{00000000-0005-0000-0000-0000770B0000}"/>
    <cellStyle name="Currency 5 2 2 2 2 2 3 3 2" xfId="13906" xr:uid="{4EDFFC36-6CDE-4744-A7DC-8CAD07F4A200}"/>
    <cellStyle name="Currency 5 2 2 2 2 2 3 4" xfId="9688" xr:uid="{9555B76F-2EC2-40FE-A812-A84C87A8E857}"/>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4" xr:uid="{7434AF7F-5C9D-4564-AE06-C0A9DA8AE5AE}"/>
    <cellStyle name="Currency 5 2 2 2 2 2 4 2 3" xfId="12246" xr:uid="{5CA75A2A-808D-49A9-970D-832290DA5A94}"/>
    <cellStyle name="Currency 5 2 2 2 2 2 4 3" xfId="5883" xr:uid="{00000000-0005-0000-0000-00007B0B0000}"/>
    <cellStyle name="Currency 5 2 2 2 2 2 4 3 2" xfId="14319" xr:uid="{CBC68A29-6448-44C1-9193-A85811D9547E}"/>
    <cellStyle name="Currency 5 2 2 2 2 2 4 4" xfId="10101" xr:uid="{9D2E2786-C030-42CF-9E4C-E0F52BB193FB}"/>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77" xr:uid="{CA9EA8B8-CBAB-4D49-87A7-0A57B24F3CF7}"/>
    <cellStyle name="Currency 5 2 2 2 2 2 5 2 3" xfId="12659" xr:uid="{C8D1F1A5-9B32-4081-A9A9-519E5D85192C}"/>
    <cellStyle name="Currency 5 2 2 2 2 2 5 3" xfId="6296" xr:uid="{00000000-0005-0000-0000-00007F0B0000}"/>
    <cellStyle name="Currency 5 2 2 2 2 2 5 3 2" xfId="14732" xr:uid="{F8E02EAE-F1B0-4C13-828B-EC09F3ED3039}"/>
    <cellStyle name="Currency 5 2 2 2 2 2 5 4" xfId="10514" xr:uid="{7BD6FE60-DCA5-4AF7-B0AC-5D86B25B0210}"/>
    <cellStyle name="Currency 5 2 2 2 2 2 6" xfId="2424" xr:uid="{00000000-0005-0000-0000-0000800B0000}"/>
    <cellStyle name="Currency 5 2 2 2 2 2 6 2" xfId="6709" xr:uid="{00000000-0005-0000-0000-0000810B0000}"/>
    <cellStyle name="Currency 5 2 2 2 2 2 6 2 2" xfId="15145" xr:uid="{09BFD3FA-8F43-4060-BB06-7C00B764A91C}"/>
    <cellStyle name="Currency 5 2 2 2 2 2 6 3" xfId="10927" xr:uid="{AE2B2052-1FEA-4562-BDBA-519EB0E80B06}"/>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2" xr:uid="{B048F033-6744-449C-82CE-1B32B06283E4}"/>
    <cellStyle name="Currency 5 2 2 2 2 2 8 3" xfId="11244" xr:uid="{B0649441-BD58-4A75-8741-7FD9F6DC1741}"/>
    <cellStyle name="Currency 5 2 2 2 2 2 9" xfId="4643" xr:uid="{00000000-0005-0000-0000-0000850B0000}"/>
    <cellStyle name="Currency 5 2 2 2 2 2 9 2" xfId="13079" xr:uid="{07FA3129-DE7B-457C-89B1-936093913A67}"/>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37" xr:uid="{8CE6F22C-BC70-4797-B344-6BBB7BE8E394}"/>
    <cellStyle name="Currency 5 2 2 2 2 3 2 3" xfId="11419" xr:uid="{CC2126CC-A1F3-446C-9585-B130B4BD021E}"/>
    <cellStyle name="Currency 5 2 2 2 2 3 3" xfId="5056" xr:uid="{00000000-0005-0000-0000-0000890B0000}"/>
    <cellStyle name="Currency 5 2 2 2 2 3 3 2" xfId="13492" xr:uid="{A245C2A3-84F5-4BFD-92A0-7BD5200FDFEE}"/>
    <cellStyle name="Currency 5 2 2 2 2 3 4" xfId="9274" xr:uid="{5C27F6DF-648D-4192-ACF2-6688EC65F2F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0" xr:uid="{EEC4BA04-CDD3-426F-BDF8-0FAB13DF2C34}"/>
    <cellStyle name="Currency 5 2 2 2 2 4 2 3" xfId="11832" xr:uid="{F3AAE466-E65A-47D9-A37D-2C8C89442A02}"/>
    <cellStyle name="Currency 5 2 2 2 2 4 3" xfId="5469" xr:uid="{00000000-0005-0000-0000-00008D0B0000}"/>
    <cellStyle name="Currency 5 2 2 2 2 4 3 2" xfId="13905" xr:uid="{919CA739-1C6C-4AA5-A568-D12CB367EE68}"/>
    <cellStyle name="Currency 5 2 2 2 2 4 4" xfId="9687" xr:uid="{503FA34F-68A2-4AEE-B896-9C246BE4DACB}"/>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3" xr:uid="{ED3AD063-9D85-47D5-B8B4-B2E08732E62D}"/>
    <cellStyle name="Currency 5 2 2 2 2 5 2 3" xfId="12245" xr:uid="{0A3AB134-75FE-4443-8D53-AE45DC3A394F}"/>
    <cellStyle name="Currency 5 2 2 2 2 5 3" xfId="5882" xr:uid="{00000000-0005-0000-0000-0000910B0000}"/>
    <cellStyle name="Currency 5 2 2 2 2 5 3 2" xfId="14318" xr:uid="{0052BA74-9D6A-44B3-9288-2B51D11105EE}"/>
    <cellStyle name="Currency 5 2 2 2 2 5 4" xfId="10100" xr:uid="{F3016068-EF34-4F9A-96C9-C718D57C80B5}"/>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6" xr:uid="{9C1349E8-16B4-4107-A008-F12A06B66D57}"/>
    <cellStyle name="Currency 5 2 2 2 2 6 2 3" xfId="12658" xr:uid="{78104EE6-1CAF-4D08-90D2-9ECF0583DD8E}"/>
    <cellStyle name="Currency 5 2 2 2 2 6 3" xfId="6295" xr:uid="{00000000-0005-0000-0000-0000950B0000}"/>
    <cellStyle name="Currency 5 2 2 2 2 6 3 2" xfId="14731" xr:uid="{2FC1C631-477A-46C0-8464-B836626DED09}"/>
    <cellStyle name="Currency 5 2 2 2 2 6 4" xfId="10513" xr:uid="{90F7EA1D-D319-4B5F-9107-0BE5A64D635A}"/>
    <cellStyle name="Currency 5 2 2 2 2 7" xfId="2423" xr:uid="{00000000-0005-0000-0000-0000960B0000}"/>
    <cellStyle name="Currency 5 2 2 2 2 7 2" xfId="6708" xr:uid="{00000000-0005-0000-0000-0000970B0000}"/>
    <cellStyle name="Currency 5 2 2 2 2 7 2 2" xfId="15144" xr:uid="{A4375296-B64E-4AAA-A34C-7A09F0D11881}"/>
    <cellStyle name="Currency 5 2 2 2 2 7 3" xfId="10926" xr:uid="{4AEC44CD-F549-4734-953B-C36EF50E57A1}"/>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1" xr:uid="{29AFF47F-1080-4A2F-BE77-52BF2B56C2C0}"/>
    <cellStyle name="Currency 5 2 2 2 2 9 3" xfId="11243" xr:uid="{5DD1DA34-03BB-4716-BEE8-426C1F69B13D}"/>
    <cellStyle name="Currency 5 2 2 2 3" xfId="199" xr:uid="{00000000-0005-0000-0000-00009B0B0000}"/>
    <cellStyle name="Currency 5 2 2 2 3 10" xfId="8862" xr:uid="{01098088-7000-45B7-9030-60A8854DE326}"/>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39" xr:uid="{52085C11-7BAD-41B0-A938-75D73F9A649E}"/>
    <cellStyle name="Currency 5 2 2 2 3 2 2 3" xfId="11421" xr:uid="{34DCC68D-FDC4-4AD9-8411-16D0A73F5707}"/>
    <cellStyle name="Currency 5 2 2 2 3 2 3" xfId="5058" xr:uid="{00000000-0005-0000-0000-00009F0B0000}"/>
    <cellStyle name="Currency 5 2 2 2 3 2 3 2" xfId="13494" xr:uid="{748AACAB-5E07-4D07-961A-6D818989C40F}"/>
    <cellStyle name="Currency 5 2 2 2 3 2 4" xfId="9276" xr:uid="{EF19180C-E262-4B5F-A176-4E0D0789F25D}"/>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2" xr:uid="{7A4D2687-1883-4EAA-8D89-226673A3B2D1}"/>
    <cellStyle name="Currency 5 2 2 2 3 3 2 3" xfId="11834" xr:uid="{A5D09B70-FD8B-4387-AEC0-F6C7B663C10F}"/>
    <cellStyle name="Currency 5 2 2 2 3 3 3" xfId="5471" xr:uid="{00000000-0005-0000-0000-0000A30B0000}"/>
    <cellStyle name="Currency 5 2 2 2 3 3 3 2" xfId="13907" xr:uid="{F52D799D-E402-4BC6-9904-067A05D78E3C}"/>
    <cellStyle name="Currency 5 2 2 2 3 3 4" xfId="9689" xr:uid="{6F766777-2099-4FF0-9C56-32D6DE0E820F}"/>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5" xr:uid="{F9289643-B9BC-45D1-A030-897826A5311F}"/>
    <cellStyle name="Currency 5 2 2 2 3 4 2 3" xfId="12247" xr:uid="{4CF58847-2016-41B0-8571-C878DB5B2FA7}"/>
    <cellStyle name="Currency 5 2 2 2 3 4 3" xfId="5884" xr:uid="{00000000-0005-0000-0000-0000A70B0000}"/>
    <cellStyle name="Currency 5 2 2 2 3 4 3 2" xfId="14320" xr:uid="{06B179A0-7C4C-4757-BA86-369F79A72F46}"/>
    <cellStyle name="Currency 5 2 2 2 3 4 4" xfId="10102" xr:uid="{922CE6F9-B7EE-414A-8CE1-7267FD982B47}"/>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78" xr:uid="{CE48F61B-783C-433E-9150-D1AB35269981}"/>
    <cellStyle name="Currency 5 2 2 2 3 5 2 3" xfId="12660" xr:uid="{7C208D26-173A-48FB-BFCF-DABF03C051EF}"/>
    <cellStyle name="Currency 5 2 2 2 3 5 3" xfId="6297" xr:uid="{00000000-0005-0000-0000-0000AB0B0000}"/>
    <cellStyle name="Currency 5 2 2 2 3 5 3 2" xfId="14733" xr:uid="{585E2034-4B26-4D60-8DB6-4F34772A460C}"/>
    <cellStyle name="Currency 5 2 2 2 3 5 4" xfId="10515" xr:uid="{21D930E8-7AD4-4673-BFD6-E28403A15A84}"/>
    <cellStyle name="Currency 5 2 2 2 3 6" xfId="2425" xr:uid="{00000000-0005-0000-0000-0000AC0B0000}"/>
    <cellStyle name="Currency 5 2 2 2 3 6 2" xfId="6710" xr:uid="{00000000-0005-0000-0000-0000AD0B0000}"/>
    <cellStyle name="Currency 5 2 2 2 3 6 2 2" xfId="15146" xr:uid="{0B955F37-B375-45A2-AAB9-59A9A462CAFA}"/>
    <cellStyle name="Currency 5 2 2 2 3 6 3" xfId="10928" xr:uid="{F55F669C-9D04-4970-B6BC-CF19AA599D5D}"/>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3" xr:uid="{C2C44B78-B3E0-47D5-9112-621C23C9C07A}"/>
    <cellStyle name="Currency 5 2 2 2 3 8 3" xfId="11245" xr:uid="{9DB53396-8D20-455A-B7B1-788EF355FBE7}"/>
    <cellStyle name="Currency 5 2 2 2 3 9" xfId="4644" xr:uid="{00000000-0005-0000-0000-0000B10B0000}"/>
    <cellStyle name="Currency 5 2 2 2 3 9 2" xfId="13080" xr:uid="{CEEECDEC-7B97-4A3A-B87C-DA8F58986AB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6" xr:uid="{02C4435B-BD67-492D-AA38-6B11548573BD}"/>
    <cellStyle name="Currency 5 2 2 2 4 2 3" xfId="11418" xr:uid="{657404A1-14F2-476D-ACAE-77837654A6DD}"/>
    <cellStyle name="Currency 5 2 2 2 4 3" xfId="5055" xr:uid="{00000000-0005-0000-0000-0000B50B0000}"/>
    <cellStyle name="Currency 5 2 2 2 4 3 2" xfId="13491" xr:uid="{6CE835C9-3B52-405B-8976-A64292EF10C8}"/>
    <cellStyle name="Currency 5 2 2 2 4 4" xfId="9273" xr:uid="{69F42C26-70FA-43E0-ABDE-B6C30686A1A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49" xr:uid="{AD4A9204-0C10-45E8-BB37-5068A77E2B0E}"/>
    <cellStyle name="Currency 5 2 2 2 5 2 3" xfId="11831" xr:uid="{93F653F2-4127-41CF-A2D9-B588487A2486}"/>
    <cellStyle name="Currency 5 2 2 2 5 3" xfId="5468" xr:uid="{00000000-0005-0000-0000-0000B90B0000}"/>
    <cellStyle name="Currency 5 2 2 2 5 3 2" xfId="13904" xr:uid="{41BEEA5D-E278-468B-877D-495B4735509F}"/>
    <cellStyle name="Currency 5 2 2 2 5 4" xfId="9686" xr:uid="{00B0C5AD-E875-4935-8EC9-6FE10D1595F8}"/>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2" xr:uid="{26215D8E-E633-45E5-85DF-3DF338372614}"/>
    <cellStyle name="Currency 5 2 2 2 6 2 3" xfId="12244" xr:uid="{B2F93C30-F2BD-416C-A8E8-37E5A845B633}"/>
    <cellStyle name="Currency 5 2 2 2 6 3" xfId="5881" xr:uid="{00000000-0005-0000-0000-0000BD0B0000}"/>
    <cellStyle name="Currency 5 2 2 2 6 3 2" xfId="14317" xr:uid="{B1CBA5C7-B3D9-46F9-9937-B1C63FD91918}"/>
    <cellStyle name="Currency 5 2 2 2 6 4" xfId="10099" xr:uid="{4149D5B0-9314-4F9E-AA87-D2A0A378451D}"/>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5" xr:uid="{D1A89D83-1BC8-411E-B775-5BFC0F5F19A9}"/>
    <cellStyle name="Currency 5 2 2 2 7 2 3" xfId="12657" xr:uid="{826B5CC4-05D4-4DBB-97DE-AF3B798F4BFF}"/>
    <cellStyle name="Currency 5 2 2 2 7 3" xfId="6294" xr:uid="{00000000-0005-0000-0000-0000C10B0000}"/>
    <cellStyle name="Currency 5 2 2 2 7 3 2" xfId="14730" xr:uid="{9B7E75B5-EFD3-4961-AD71-BB036D200D22}"/>
    <cellStyle name="Currency 5 2 2 2 7 4" xfId="10512" xr:uid="{18C7C352-A1D3-464F-A983-C5AAF5332481}"/>
    <cellStyle name="Currency 5 2 2 2 8" xfId="2422" xr:uid="{00000000-0005-0000-0000-0000C20B0000}"/>
    <cellStyle name="Currency 5 2 2 2 8 2" xfId="6707" xr:uid="{00000000-0005-0000-0000-0000C30B0000}"/>
    <cellStyle name="Currency 5 2 2 2 8 2 2" xfId="15143" xr:uid="{0F2829E3-CCE5-4358-8976-9A55FC116421}"/>
    <cellStyle name="Currency 5 2 2 2 8 3" xfId="10925" xr:uid="{5FB42A3E-8C68-4D13-B966-2EACEA748471}"/>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1" xr:uid="{4D338F96-15D3-4BEC-9C88-3249355A6ACA}"/>
    <cellStyle name="Currency 5 2 2 3 11" xfId="8863" xr:uid="{66E60685-708A-4E3F-BB4F-ACBDE8BF74C5}"/>
    <cellStyle name="Currency 5 2 2 3 2" xfId="201" xr:uid="{00000000-0005-0000-0000-0000C70B0000}"/>
    <cellStyle name="Currency 5 2 2 3 2 10" xfId="8864" xr:uid="{289BBC50-7AD7-4BA6-BCE4-BDD15959DE8A}"/>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1" xr:uid="{1AAA0B20-F9B0-4B28-B3AA-3665EBF5C53F}"/>
    <cellStyle name="Currency 5 2 2 3 2 2 2 3" xfId="11423" xr:uid="{D28F80F2-74FA-4BCB-B3FC-FE9442AA6810}"/>
    <cellStyle name="Currency 5 2 2 3 2 2 3" xfId="5060" xr:uid="{00000000-0005-0000-0000-0000CB0B0000}"/>
    <cellStyle name="Currency 5 2 2 3 2 2 3 2" xfId="13496" xr:uid="{A1F6A873-B825-48B0-AA83-CA294B7AFCCF}"/>
    <cellStyle name="Currency 5 2 2 3 2 2 4" xfId="9278" xr:uid="{1B388CF5-A7C9-4E12-B70A-D8283CCBB31F}"/>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4" xr:uid="{7CCCA7DB-57DB-477B-AF34-40CAE8AF2403}"/>
    <cellStyle name="Currency 5 2 2 3 2 3 2 3" xfId="11836" xr:uid="{26F7B856-52BF-46F6-8430-837DADABA00C}"/>
    <cellStyle name="Currency 5 2 2 3 2 3 3" xfId="5473" xr:uid="{00000000-0005-0000-0000-0000CF0B0000}"/>
    <cellStyle name="Currency 5 2 2 3 2 3 3 2" xfId="13909" xr:uid="{BF1D8862-1083-47F1-B755-AAF9C57EF1E5}"/>
    <cellStyle name="Currency 5 2 2 3 2 3 4" xfId="9691" xr:uid="{707481DE-451B-4BCF-9FED-6174368DA3A5}"/>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67" xr:uid="{DC377266-7E4F-4FFE-88DD-617DD4C91A9F}"/>
    <cellStyle name="Currency 5 2 2 3 2 4 2 3" xfId="12249" xr:uid="{594E3616-E498-4EBF-80C4-E7553C0BEB23}"/>
    <cellStyle name="Currency 5 2 2 3 2 4 3" xfId="5886" xr:uid="{00000000-0005-0000-0000-0000D30B0000}"/>
    <cellStyle name="Currency 5 2 2 3 2 4 3 2" xfId="14322" xr:uid="{46E12E45-471D-4100-81B4-5C683DA58B88}"/>
    <cellStyle name="Currency 5 2 2 3 2 4 4" xfId="10104" xr:uid="{C38DC4FB-9D18-4382-890B-3F6AAFF2CE34}"/>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0" xr:uid="{F46106A2-6AE9-4C01-865C-A07BC223046C}"/>
    <cellStyle name="Currency 5 2 2 3 2 5 2 3" xfId="12662" xr:uid="{A1E4A9BB-08C0-4349-922E-68B71F357837}"/>
    <cellStyle name="Currency 5 2 2 3 2 5 3" xfId="6299" xr:uid="{00000000-0005-0000-0000-0000D70B0000}"/>
    <cellStyle name="Currency 5 2 2 3 2 5 3 2" xfId="14735" xr:uid="{79F38FA6-C8A2-4609-838E-6C2239E8DF76}"/>
    <cellStyle name="Currency 5 2 2 3 2 5 4" xfId="10517" xr:uid="{2698E1EE-86F0-4C02-9908-3DDE4A007FCE}"/>
    <cellStyle name="Currency 5 2 2 3 2 6" xfId="2427" xr:uid="{00000000-0005-0000-0000-0000D80B0000}"/>
    <cellStyle name="Currency 5 2 2 3 2 6 2" xfId="6712" xr:uid="{00000000-0005-0000-0000-0000D90B0000}"/>
    <cellStyle name="Currency 5 2 2 3 2 6 2 2" xfId="15148" xr:uid="{2F4615C2-C5EB-420D-9098-D509F8773DDC}"/>
    <cellStyle name="Currency 5 2 2 3 2 6 3" xfId="10930" xr:uid="{0A3188AC-9F28-44A5-8B8A-F26F7C28DF78}"/>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5" xr:uid="{DEFCD87E-0485-4961-A6BE-93542FA812AB}"/>
    <cellStyle name="Currency 5 2 2 3 2 8 3" xfId="11247" xr:uid="{E3FFED44-8B6F-48E7-B3B0-11F4787E8767}"/>
    <cellStyle name="Currency 5 2 2 3 2 9" xfId="4646" xr:uid="{00000000-0005-0000-0000-0000DD0B0000}"/>
    <cellStyle name="Currency 5 2 2 3 2 9 2" xfId="13082" xr:uid="{0675C5CF-258C-438F-831A-04A96F7A77C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0" xr:uid="{1C919455-65E6-4C6B-A955-3CD3738A2BB2}"/>
    <cellStyle name="Currency 5 2 2 3 3 2 3" xfId="11422" xr:uid="{2952C254-5545-4926-9142-81A37AEE27F0}"/>
    <cellStyle name="Currency 5 2 2 3 3 3" xfId="5059" xr:uid="{00000000-0005-0000-0000-0000E10B0000}"/>
    <cellStyle name="Currency 5 2 2 3 3 3 2" xfId="13495" xr:uid="{098C0E82-7BEA-47CD-A8EF-5E528BFC44CE}"/>
    <cellStyle name="Currency 5 2 2 3 3 4" xfId="9277" xr:uid="{4B46F363-F564-48E2-A644-53C37C2E695C}"/>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3" xr:uid="{58F30C54-1D34-4A11-8E1D-87042C3FE3CD}"/>
    <cellStyle name="Currency 5 2 2 3 4 2 3" xfId="11835" xr:uid="{CDFEA147-62D0-40AB-A8EA-704CB91E9190}"/>
    <cellStyle name="Currency 5 2 2 3 4 3" xfId="5472" xr:uid="{00000000-0005-0000-0000-0000E50B0000}"/>
    <cellStyle name="Currency 5 2 2 3 4 3 2" xfId="13908" xr:uid="{1D0BFBA4-08E1-4329-845C-CFEEDEE194C1}"/>
    <cellStyle name="Currency 5 2 2 3 4 4" xfId="9690" xr:uid="{D0D0F7BA-3F43-4F81-8D47-F6BF2F1CAF35}"/>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6" xr:uid="{0A5897A9-AAA5-4B6E-B469-AFE294B4187F}"/>
    <cellStyle name="Currency 5 2 2 3 5 2 3" xfId="12248" xr:uid="{6A6C3268-DA80-44FF-9DD9-624704929E5F}"/>
    <cellStyle name="Currency 5 2 2 3 5 3" xfId="5885" xr:uid="{00000000-0005-0000-0000-0000E90B0000}"/>
    <cellStyle name="Currency 5 2 2 3 5 3 2" xfId="14321" xr:uid="{BBE7676C-F344-4E37-8223-8AB42449E799}"/>
    <cellStyle name="Currency 5 2 2 3 5 4" xfId="10103" xr:uid="{9B728F38-2C0D-4932-A240-E63A9FA5C12D}"/>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79" xr:uid="{46321404-DF76-4A7C-BD3A-2317CF49E638}"/>
    <cellStyle name="Currency 5 2 2 3 6 2 3" xfId="12661" xr:uid="{6568A01A-BE3C-456E-9DC4-0E343D1AAB45}"/>
    <cellStyle name="Currency 5 2 2 3 6 3" xfId="6298" xr:uid="{00000000-0005-0000-0000-0000ED0B0000}"/>
    <cellStyle name="Currency 5 2 2 3 6 3 2" xfId="14734" xr:uid="{910245F1-18D1-413C-8EA4-947999C889AE}"/>
    <cellStyle name="Currency 5 2 2 3 6 4" xfId="10516" xr:uid="{9CAB8D34-3742-4ECA-A63F-77C60807BD40}"/>
    <cellStyle name="Currency 5 2 2 3 7" xfId="2426" xr:uid="{00000000-0005-0000-0000-0000EE0B0000}"/>
    <cellStyle name="Currency 5 2 2 3 7 2" xfId="6711" xr:uid="{00000000-0005-0000-0000-0000EF0B0000}"/>
    <cellStyle name="Currency 5 2 2 3 7 2 2" xfId="15147" xr:uid="{E23D3D6A-CE52-4983-9DE9-78409148C4BF}"/>
    <cellStyle name="Currency 5 2 2 3 7 3" xfId="10929" xr:uid="{40581E5B-DCE7-4C28-92AC-7A3A16A4EADE}"/>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4" xr:uid="{699FCA6B-1C3F-448C-BE01-A76FC399256A}"/>
    <cellStyle name="Currency 5 2 2 3 9 3" xfId="11246" xr:uid="{DFAE01E3-3AB2-48EA-AD1E-436A85B54ADE}"/>
    <cellStyle name="Currency 5 2 2 4" xfId="202" xr:uid="{00000000-0005-0000-0000-0000F30B0000}"/>
    <cellStyle name="Currency 5 2 2 4 10" xfId="8865" xr:uid="{E124D767-67CF-4419-9455-611281D08494}"/>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2" xr:uid="{5C02DFDD-D17A-453E-8F60-387ABD09D357}"/>
    <cellStyle name="Currency 5 2 2 4 2 2 3" xfId="11424" xr:uid="{E461DD89-22B7-417B-89B2-885A56B9DABF}"/>
    <cellStyle name="Currency 5 2 2 4 2 3" xfId="5061" xr:uid="{00000000-0005-0000-0000-0000F70B0000}"/>
    <cellStyle name="Currency 5 2 2 4 2 3 2" xfId="13497" xr:uid="{20AB1D67-2529-4332-BD21-EC17EA3DB54B}"/>
    <cellStyle name="Currency 5 2 2 4 2 4" xfId="9279" xr:uid="{3AE9FCB8-AC6C-49F7-9BEA-D6C5DB1E3845}"/>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5" xr:uid="{3D04C1A7-98FE-4625-A1DE-B6149A294EBC}"/>
    <cellStyle name="Currency 5 2 2 4 3 2 3" xfId="11837" xr:uid="{208B16F5-CDA5-4E7F-AF18-CDF336678CCF}"/>
    <cellStyle name="Currency 5 2 2 4 3 3" xfId="5474" xr:uid="{00000000-0005-0000-0000-0000FB0B0000}"/>
    <cellStyle name="Currency 5 2 2 4 3 3 2" xfId="13910" xr:uid="{C5BA4711-31B0-4E2A-8983-3251C003A677}"/>
    <cellStyle name="Currency 5 2 2 4 3 4" xfId="9692" xr:uid="{015AB1A4-0A9E-4554-89C5-A2F3DF71F87E}"/>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68" xr:uid="{0CB60AA6-AC5D-432A-A124-B519CA774302}"/>
    <cellStyle name="Currency 5 2 2 4 4 2 3" xfId="12250" xr:uid="{C6526BF7-24DD-44D6-94C2-82412EF2C5B7}"/>
    <cellStyle name="Currency 5 2 2 4 4 3" xfId="5887" xr:uid="{00000000-0005-0000-0000-0000FF0B0000}"/>
    <cellStyle name="Currency 5 2 2 4 4 3 2" xfId="14323" xr:uid="{FB639BA0-6266-4533-A9F8-436208FD814A}"/>
    <cellStyle name="Currency 5 2 2 4 4 4" xfId="10105" xr:uid="{A2F2E33E-1738-4548-BF71-48D3FEE84814}"/>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1" xr:uid="{26A887CA-DAA2-411C-B902-4D3659A1F52E}"/>
    <cellStyle name="Currency 5 2 2 4 5 2 3" xfId="12663" xr:uid="{1253A224-E97F-493B-BEAE-5AD855412605}"/>
    <cellStyle name="Currency 5 2 2 4 5 3" xfId="6300" xr:uid="{00000000-0005-0000-0000-0000030C0000}"/>
    <cellStyle name="Currency 5 2 2 4 5 3 2" xfId="14736" xr:uid="{056C1CE7-2BE7-4CB9-A346-28CEC983CF64}"/>
    <cellStyle name="Currency 5 2 2 4 5 4" xfId="10518" xr:uid="{A16E7C46-4B59-4B06-9C1B-EB22E77E6D48}"/>
    <cellStyle name="Currency 5 2 2 4 6" xfId="2428" xr:uid="{00000000-0005-0000-0000-0000040C0000}"/>
    <cellStyle name="Currency 5 2 2 4 6 2" xfId="6713" xr:uid="{00000000-0005-0000-0000-0000050C0000}"/>
    <cellStyle name="Currency 5 2 2 4 6 2 2" xfId="15149" xr:uid="{DB0FABC6-FB94-4B16-BFE0-38551916CD4C}"/>
    <cellStyle name="Currency 5 2 2 4 6 3" xfId="10931" xr:uid="{0FAB1267-534B-40BE-951D-C194B5C44F3A}"/>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6" xr:uid="{87A1300F-91B2-429D-A779-8E4E4337B7E3}"/>
    <cellStyle name="Currency 5 2 2 4 8 3" xfId="11248" xr:uid="{0ED22F2A-ED0C-4128-B7D6-79BC5C99A2F4}"/>
    <cellStyle name="Currency 5 2 2 4 9" xfId="4647" xr:uid="{00000000-0005-0000-0000-0000090C0000}"/>
    <cellStyle name="Currency 5 2 2 4 9 2" xfId="13083" xr:uid="{05C45562-6260-40BA-8C2F-5E2C5D0972A3}"/>
    <cellStyle name="Currency 5 2 2 5" xfId="203" xr:uid="{00000000-0005-0000-0000-00000A0C0000}"/>
    <cellStyle name="Currency 5 2 2 5 10" xfId="8866" xr:uid="{56B26676-8699-48E0-A26E-4C083D66F741}"/>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3" xr:uid="{D3F043EF-EC79-40E8-93C4-478165FF103C}"/>
    <cellStyle name="Currency 5 2 2 5 2 2 3" xfId="11425" xr:uid="{4FDF0DED-9A5F-4940-BB50-E6B332204253}"/>
    <cellStyle name="Currency 5 2 2 5 2 3" xfId="5062" xr:uid="{00000000-0005-0000-0000-00000E0C0000}"/>
    <cellStyle name="Currency 5 2 2 5 2 3 2" xfId="13498" xr:uid="{81FB3BE1-9EA9-411B-8D5D-CA92BB564EB7}"/>
    <cellStyle name="Currency 5 2 2 5 2 4" xfId="9280" xr:uid="{1C6EDA3E-8505-472C-AE83-3777E0C81C5F}"/>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6" xr:uid="{1250E845-514C-46FF-B782-5678867D083F}"/>
    <cellStyle name="Currency 5 2 2 5 3 2 3" xfId="11838" xr:uid="{AC829F15-75B6-4860-8BA9-C6DD439A9999}"/>
    <cellStyle name="Currency 5 2 2 5 3 3" xfId="5475" xr:uid="{00000000-0005-0000-0000-0000120C0000}"/>
    <cellStyle name="Currency 5 2 2 5 3 3 2" xfId="13911" xr:uid="{600CC701-21B6-4526-8FD6-7CE3F45AF237}"/>
    <cellStyle name="Currency 5 2 2 5 3 4" xfId="9693" xr:uid="{65695DF5-B4E5-49F2-9C50-3003827C0C7C}"/>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69" xr:uid="{977B5F5D-CFE3-42E2-9D39-E02570BA131E}"/>
    <cellStyle name="Currency 5 2 2 5 4 2 3" xfId="12251" xr:uid="{E1C90ED4-3944-4C20-8D6A-26A4C659EC71}"/>
    <cellStyle name="Currency 5 2 2 5 4 3" xfId="5888" xr:uid="{00000000-0005-0000-0000-0000160C0000}"/>
    <cellStyle name="Currency 5 2 2 5 4 3 2" xfId="14324" xr:uid="{3965731B-42D5-4465-9BE8-ACD087C7A5CF}"/>
    <cellStyle name="Currency 5 2 2 5 4 4" xfId="10106" xr:uid="{8C7274C5-5E92-4C72-86CD-056BDFD04E59}"/>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2" xr:uid="{9CDFACAD-E17C-4397-875E-DAB352DF1ED8}"/>
    <cellStyle name="Currency 5 2 2 5 5 2 3" xfId="12664" xr:uid="{A1E7CDF5-0079-45DE-9A6E-E4744E493046}"/>
    <cellStyle name="Currency 5 2 2 5 5 3" xfId="6301" xr:uid="{00000000-0005-0000-0000-00001A0C0000}"/>
    <cellStyle name="Currency 5 2 2 5 5 3 2" xfId="14737" xr:uid="{F95ECA05-0B2A-4BCA-A55E-416673AF3D3F}"/>
    <cellStyle name="Currency 5 2 2 5 5 4" xfId="10519" xr:uid="{B01275C5-22C3-4313-92FF-CE861C0A61AA}"/>
    <cellStyle name="Currency 5 2 2 5 6" xfId="2429" xr:uid="{00000000-0005-0000-0000-00001B0C0000}"/>
    <cellStyle name="Currency 5 2 2 5 6 2" xfId="6714" xr:uid="{00000000-0005-0000-0000-00001C0C0000}"/>
    <cellStyle name="Currency 5 2 2 5 6 2 2" xfId="15150" xr:uid="{E42F1B8E-4AC4-463C-ADDE-C2F3A3E183B7}"/>
    <cellStyle name="Currency 5 2 2 5 6 3" xfId="10932" xr:uid="{AEC41079-0825-4D74-80B0-69D8086731BD}"/>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67" xr:uid="{B3844DB8-14DB-4DA5-9AFE-BED51784AE89}"/>
    <cellStyle name="Currency 5 2 2 5 8 3" xfId="11249" xr:uid="{CB48F38F-0BB8-43F9-806A-815B4EB824F4}"/>
    <cellStyle name="Currency 5 2 2 5 9" xfId="4648" xr:uid="{00000000-0005-0000-0000-0000200C0000}"/>
    <cellStyle name="Currency 5 2 2 5 9 2" xfId="13084" xr:uid="{B361AB4F-3B41-4A79-AEAA-C259F89F266F}"/>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5" xr:uid="{B4AA4671-304D-4B10-B838-48478099541C}"/>
    <cellStyle name="Currency 5 2 4 11" xfId="8867" xr:uid="{8B7A9172-9E59-4FE8-88E7-90B5298900D9}"/>
    <cellStyle name="Currency 5 2 4 2" xfId="206" xr:uid="{00000000-0005-0000-0000-0000250C0000}"/>
    <cellStyle name="Currency 5 2 4 2 10" xfId="8868" xr:uid="{ED811F3B-3CC1-479C-A079-1D9C018E6114}"/>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5" xr:uid="{54BDDEAE-0274-4477-B92A-428C94F84AD3}"/>
    <cellStyle name="Currency 5 2 4 2 2 2 3" xfId="11427" xr:uid="{4C15E60D-48ED-4F52-8DD8-E1526BA1E605}"/>
    <cellStyle name="Currency 5 2 4 2 2 3" xfId="5064" xr:uid="{00000000-0005-0000-0000-0000290C0000}"/>
    <cellStyle name="Currency 5 2 4 2 2 3 2" xfId="13500" xr:uid="{ECF58E94-3C50-4BA2-96F4-4CF5F4DF91EF}"/>
    <cellStyle name="Currency 5 2 4 2 2 4" xfId="9282" xr:uid="{279D71DC-2639-4C73-B110-09F323FE047C}"/>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58" xr:uid="{6BFDFD77-519B-4F49-B95F-B5E010DFC1E6}"/>
    <cellStyle name="Currency 5 2 4 2 3 2 3" xfId="11840" xr:uid="{34F6B364-D9B6-46B5-989E-D63A01C83E2A}"/>
    <cellStyle name="Currency 5 2 4 2 3 3" xfId="5477" xr:uid="{00000000-0005-0000-0000-00002D0C0000}"/>
    <cellStyle name="Currency 5 2 4 2 3 3 2" xfId="13913" xr:uid="{282EBDB4-60CB-4FFF-AC7C-00D456133932}"/>
    <cellStyle name="Currency 5 2 4 2 3 4" xfId="9695" xr:uid="{E11E24F8-8482-4812-9D78-977681F88F7F}"/>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1" xr:uid="{47768FA9-6EB8-4FB9-AEFC-F19857D2CDD3}"/>
    <cellStyle name="Currency 5 2 4 2 4 2 3" xfId="12253" xr:uid="{CDE8A52C-AF88-4AAA-97DE-90AA1EA22882}"/>
    <cellStyle name="Currency 5 2 4 2 4 3" xfId="5890" xr:uid="{00000000-0005-0000-0000-0000310C0000}"/>
    <cellStyle name="Currency 5 2 4 2 4 3 2" xfId="14326" xr:uid="{81D44BCB-18C1-44D0-B46B-1FEA67363F68}"/>
    <cellStyle name="Currency 5 2 4 2 4 4" xfId="10108" xr:uid="{5098361A-F15E-44DA-9248-0673EC907121}"/>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4" xr:uid="{0EF6E700-4809-4BBC-805B-127B194A46C2}"/>
    <cellStyle name="Currency 5 2 4 2 5 2 3" xfId="12666" xr:uid="{937325AD-37CD-40B8-A248-D2BBD260425E}"/>
    <cellStyle name="Currency 5 2 4 2 5 3" xfId="6303" xr:uid="{00000000-0005-0000-0000-0000350C0000}"/>
    <cellStyle name="Currency 5 2 4 2 5 3 2" xfId="14739" xr:uid="{582DE9FB-7FB3-4A10-88B5-625B21B31FB2}"/>
    <cellStyle name="Currency 5 2 4 2 5 4" xfId="10521" xr:uid="{33461108-ECE4-4B8D-A6BE-2EFA9D9E132B}"/>
    <cellStyle name="Currency 5 2 4 2 6" xfId="2431" xr:uid="{00000000-0005-0000-0000-0000360C0000}"/>
    <cellStyle name="Currency 5 2 4 2 6 2" xfId="6716" xr:uid="{00000000-0005-0000-0000-0000370C0000}"/>
    <cellStyle name="Currency 5 2 4 2 6 2 2" xfId="15152" xr:uid="{BC06D616-4B34-4F42-A209-BA0ECC36D9A0}"/>
    <cellStyle name="Currency 5 2 4 2 6 3" xfId="10934" xr:uid="{BD487C66-2928-4116-B7ED-50F1CF22C99E}"/>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69" xr:uid="{8AB04A5D-8356-4546-B3CE-B94232919170}"/>
    <cellStyle name="Currency 5 2 4 2 8 3" xfId="11251" xr:uid="{C65D382B-42C2-4FAD-B87D-FC601718B046}"/>
    <cellStyle name="Currency 5 2 4 2 9" xfId="4650" xr:uid="{00000000-0005-0000-0000-00003B0C0000}"/>
    <cellStyle name="Currency 5 2 4 2 9 2" xfId="13086" xr:uid="{284EF8E3-A441-45A6-BFED-7ABFC46191F0}"/>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4" xr:uid="{97EED9A8-DFB3-4ACB-9B91-105C95F8F8D8}"/>
    <cellStyle name="Currency 5 2 4 3 2 3" xfId="11426" xr:uid="{1C977FD9-7D17-49FB-A240-8F120A6DFC37}"/>
    <cellStyle name="Currency 5 2 4 3 3" xfId="5063" xr:uid="{00000000-0005-0000-0000-00003F0C0000}"/>
    <cellStyle name="Currency 5 2 4 3 3 2" xfId="13499" xr:uid="{17B01132-C9B5-4335-96E6-C875320086F4}"/>
    <cellStyle name="Currency 5 2 4 3 4" xfId="9281" xr:uid="{EABBD6B3-E33D-4310-B1E6-83623E9E6395}"/>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57" xr:uid="{02A325DC-F87F-47B4-A2B1-C3FA9F3A5BA2}"/>
    <cellStyle name="Currency 5 2 4 4 2 3" xfId="11839" xr:uid="{0DF3BCCF-4BB0-4AC9-9053-A6DC2543D467}"/>
    <cellStyle name="Currency 5 2 4 4 3" xfId="5476" xr:uid="{00000000-0005-0000-0000-0000430C0000}"/>
    <cellStyle name="Currency 5 2 4 4 3 2" xfId="13912" xr:uid="{E570183F-BF9A-42EB-A9FC-D8AA7361A080}"/>
    <cellStyle name="Currency 5 2 4 4 4" xfId="9694" xr:uid="{7B615E82-97FE-4A8C-B4F2-1458AFF517A1}"/>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0" xr:uid="{1D0778C0-1C82-43C1-A64B-E59D25B09F6F}"/>
    <cellStyle name="Currency 5 2 4 5 2 3" xfId="12252" xr:uid="{3FF61EE5-E182-4C92-9A3D-FABD4189F036}"/>
    <cellStyle name="Currency 5 2 4 5 3" xfId="5889" xr:uid="{00000000-0005-0000-0000-0000470C0000}"/>
    <cellStyle name="Currency 5 2 4 5 3 2" xfId="14325" xr:uid="{37D78FFD-AB1D-4A68-8459-A6CCC6BCD379}"/>
    <cellStyle name="Currency 5 2 4 5 4" xfId="10107" xr:uid="{E11B7A39-AD23-449F-A76E-CCFC77FC409D}"/>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3" xr:uid="{9A9223DF-DDF9-436E-A5AB-F208AC04B5C3}"/>
    <cellStyle name="Currency 5 2 4 6 2 3" xfId="12665" xr:uid="{7078646E-85CE-4456-8846-283D3ADD3D14}"/>
    <cellStyle name="Currency 5 2 4 6 3" xfId="6302" xr:uid="{00000000-0005-0000-0000-00004B0C0000}"/>
    <cellStyle name="Currency 5 2 4 6 3 2" xfId="14738" xr:uid="{F892E944-4F1F-4156-9E2A-E9FA94299C58}"/>
    <cellStyle name="Currency 5 2 4 6 4" xfId="10520" xr:uid="{FE7538EC-D42B-4915-9BDD-E7824DBCD3CD}"/>
    <cellStyle name="Currency 5 2 4 7" xfId="2430" xr:uid="{00000000-0005-0000-0000-00004C0C0000}"/>
    <cellStyle name="Currency 5 2 4 7 2" xfId="6715" xr:uid="{00000000-0005-0000-0000-00004D0C0000}"/>
    <cellStyle name="Currency 5 2 4 7 2 2" xfId="15151" xr:uid="{D2BA90F2-CEDB-46C2-B2CC-54CD4FBCF162}"/>
    <cellStyle name="Currency 5 2 4 7 3" xfId="10933" xr:uid="{783B2704-3B79-4954-99F3-57F5B512B7EF}"/>
    <cellStyle name="Currency 5 2 4 8" xfId="2727" xr:uid="{00000000-0005-0000-0000-00004E0C0000}"/>
    <cellStyle name="Currency 5 2 4 9" xfId="2808" xr:uid="{00000000-0005-0000-0000-00004F0C0000}"/>
    <cellStyle name="Currency 5 2 4 9 2" xfId="7032" xr:uid="{00000000-0005-0000-0000-0000500C0000}"/>
    <cellStyle name="Currency 5 2 4 9 2 2" xfId="15468" xr:uid="{C93B057C-6320-466D-8D69-E3815D0D6A47}"/>
    <cellStyle name="Currency 5 2 4 9 3" xfId="11250" xr:uid="{C5DD3A52-B09F-4FD1-B746-4E33D996E562}"/>
    <cellStyle name="Currency 5 2 5" xfId="207" xr:uid="{00000000-0005-0000-0000-0000510C0000}"/>
    <cellStyle name="Currency 5 2 5 10" xfId="8869" xr:uid="{7F991541-237E-440F-8623-1D761565EF0F}"/>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6" xr:uid="{DC8CC0F2-F255-4B2F-95CC-905E1EA7B277}"/>
    <cellStyle name="Currency 5 2 5 2 2 3" xfId="11428" xr:uid="{C55129ED-21E1-4E6E-82F7-3CADC3B19F8F}"/>
    <cellStyle name="Currency 5 2 5 2 3" xfId="5065" xr:uid="{00000000-0005-0000-0000-0000550C0000}"/>
    <cellStyle name="Currency 5 2 5 2 3 2" xfId="13501" xr:uid="{70F89915-1EE8-4D9C-8EB2-E3B1541D738F}"/>
    <cellStyle name="Currency 5 2 5 2 4" xfId="9283" xr:uid="{18A583AA-AE13-484F-8CE8-DFFF42A1D7BD}"/>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59" xr:uid="{E634B0E0-98A3-43B2-8A25-C84D3B0509D3}"/>
    <cellStyle name="Currency 5 2 5 3 2 3" xfId="11841" xr:uid="{D6E4347A-6136-46E5-BC2D-C690B450F350}"/>
    <cellStyle name="Currency 5 2 5 3 3" xfId="5478" xr:uid="{00000000-0005-0000-0000-0000590C0000}"/>
    <cellStyle name="Currency 5 2 5 3 3 2" xfId="13914" xr:uid="{65367C57-04F1-47D1-9213-8F3C6710E0DC}"/>
    <cellStyle name="Currency 5 2 5 3 4" xfId="9696" xr:uid="{8406BC33-33D2-477F-A5C9-A223ABDAAD92}"/>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2" xr:uid="{3E29C9A8-87DA-4DAE-9CD0-2F622966E838}"/>
    <cellStyle name="Currency 5 2 5 4 2 3" xfId="12254" xr:uid="{0EDE0D81-0145-468D-AB0C-D64B35E466A7}"/>
    <cellStyle name="Currency 5 2 5 4 3" xfId="5891" xr:uid="{00000000-0005-0000-0000-00005D0C0000}"/>
    <cellStyle name="Currency 5 2 5 4 3 2" xfId="14327" xr:uid="{32D3AEDE-46F3-4650-BF96-61E689CD1D5D}"/>
    <cellStyle name="Currency 5 2 5 4 4" xfId="10109" xr:uid="{E8C0FF78-0F3B-49F4-A526-E17598C1AC3A}"/>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5" xr:uid="{D6CECFC0-9414-44E9-9FA5-4B93EB2C0FFF}"/>
    <cellStyle name="Currency 5 2 5 5 2 3" xfId="12667" xr:uid="{C7B789E5-B380-4558-B7C4-C8FC0C88E119}"/>
    <cellStyle name="Currency 5 2 5 5 3" xfId="6304" xr:uid="{00000000-0005-0000-0000-0000610C0000}"/>
    <cellStyle name="Currency 5 2 5 5 3 2" xfId="14740" xr:uid="{1C4B0DA5-EC2D-4EC3-92C0-EA93C2789F9B}"/>
    <cellStyle name="Currency 5 2 5 5 4" xfId="10522" xr:uid="{52DA803C-9E15-4ED6-9FFF-902BE93DDCF3}"/>
    <cellStyle name="Currency 5 2 5 6" xfId="2432" xr:uid="{00000000-0005-0000-0000-0000620C0000}"/>
    <cellStyle name="Currency 5 2 5 6 2" xfId="6717" xr:uid="{00000000-0005-0000-0000-0000630C0000}"/>
    <cellStyle name="Currency 5 2 5 6 2 2" xfId="15153" xr:uid="{7F87E270-3A27-4A98-8ABC-734A3C41207B}"/>
    <cellStyle name="Currency 5 2 5 6 3" xfId="10935" xr:uid="{295D02F2-11BE-44FB-855E-B93AB846C04F}"/>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0" xr:uid="{7B8305CB-CBA2-4DEE-A1D0-47A4D23465BF}"/>
    <cellStyle name="Currency 5 2 5 8 3" xfId="11252" xr:uid="{A1C94EBF-912E-484D-A880-713AF839D1BB}"/>
    <cellStyle name="Currency 5 2 5 9" xfId="4651" xr:uid="{00000000-0005-0000-0000-0000670C0000}"/>
    <cellStyle name="Currency 5 2 5 9 2" xfId="13087" xr:uid="{CBC54EE4-72EC-4E19-BB17-4559D0515227}"/>
    <cellStyle name="Currency 5 2 6" xfId="208" xr:uid="{00000000-0005-0000-0000-0000680C0000}"/>
    <cellStyle name="Currency 5 2 6 10" xfId="8870" xr:uid="{A598007E-B807-40EC-A276-BC5624DC2E2C}"/>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47" xr:uid="{99DC8E2C-6B43-4B54-8E66-28585149EBCD}"/>
    <cellStyle name="Currency 5 2 6 2 2 3" xfId="11429" xr:uid="{0FA5B95C-E2C9-4AB6-9D8F-D89C9BC789F3}"/>
    <cellStyle name="Currency 5 2 6 2 3" xfId="5066" xr:uid="{00000000-0005-0000-0000-00006C0C0000}"/>
    <cellStyle name="Currency 5 2 6 2 3 2" xfId="13502" xr:uid="{8FD71153-350C-4D97-98C9-7A790B392EA8}"/>
    <cellStyle name="Currency 5 2 6 2 4" xfId="9284" xr:uid="{A6EF3B1A-DD1E-43E3-8F1C-95A8E7FB7DDA}"/>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0" xr:uid="{1D4FC0B4-539A-4171-8370-D6DC23392FB6}"/>
    <cellStyle name="Currency 5 2 6 3 2 3" xfId="11842" xr:uid="{7C8C580D-FD2F-42CE-B7C4-A6C442E494EE}"/>
    <cellStyle name="Currency 5 2 6 3 3" xfId="5479" xr:uid="{00000000-0005-0000-0000-0000700C0000}"/>
    <cellStyle name="Currency 5 2 6 3 3 2" xfId="13915" xr:uid="{5E3FC84E-CAEE-421E-B92C-65763A9B0992}"/>
    <cellStyle name="Currency 5 2 6 3 4" xfId="9697" xr:uid="{BB6C8F84-F6C6-48C9-9D09-9C0BD71A2004}"/>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3" xr:uid="{68349AD8-3910-4EE8-B953-FF55CCC11255}"/>
    <cellStyle name="Currency 5 2 6 4 2 3" xfId="12255" xr:uid="{6F69C5E8-18A8-4D63-AFB2-99D26FE74D4B}"/>
    <cellStyle name="Currency 5 2 6 4 3" xfId="5892" xr:uid="{00000000-0005-0000-0000-0000740C0000}"/>
    <cellStyle name="Currency 5 2 6 4 3 2" xfId="14328" xr:uid="{7BD6C658-1741-4487-B080-A5F86E0D39AC}"/>
    <cellStyle name="Currency 5 2 6 4 4" xfId="10110" xr:uid="{F1FA50A0-443B-448F-8EF1-D9CD76BD2C04}"/>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6" xr:uid="{5B0523E4-AA0C-40B4-A548-AB09A6A76C66}"/>
    <cellStyle name="Currency 5 2 6 5 2 3" xfId="12668" xr:uid="{25C4DC3A-55F5-4DCA-8B0C-4E5698AA9657}"/>
    <cellStyle name="Currency 5 2 6 5 3" xfId="6305" xr:uid="{00000000-0005-0000-0000-0000780C0000}"/>
    <cellStyle name="Currency 5 2 6 5 3 2" xfId="14741" xr:uid="{5C6157B8-3945-4881-85B2-2268AB17B68F}"/>
    <cellStyle name="Currency 5 2 6 5 4" xfId="10523" xr:uid="{EB465A2A-62CA-49EC-94CC-C8C9D9678C67}"/>
    <cellStyle name="Currency 5 2 6 6" xfId="2433" xr:uid="{00000000-0005-0000-0000-0000790C0000}"/>
    <cellStyle name="Currency 5 2 6 6 2" xfId="6718" xr:uid="{00000000-0005-0000-0000-00007A0C0000}"/>
    <cellStyle name="Currency 5 2 6 6 2 2" xfId="15154" xr:uid="{605A5694-04A3-4B81-820D-6B70A6A9E1B2}"/>
    <cellStyle name="Currency 5 2 6 6 3" xfId="10936" xr:uid="{254BB109-4543-4FBF-807E-F74D00C30996}"/>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1" xr:uid="{D90F0EF4-E8A5-4B3F-B2A6-00F40E716B04}"/>
    <cellStyle name="Currency 5 2 6 8 3" xfId="11253" xr:uid="{99700C0A-96D5-4CA8-90C2-86D30AC21782}"/>
    <cellStyle name="Currency 5 2 6 9" xfId="4652" xr:uid="{00000000-0005-0000-0000-00007E0C0000}"/>
    <cellStyle name="Currency 5 2 6 9 2" xfId="13088" xr:uid="{342DFD59-B6CD-4FA4-914B-2F9C7620F76A}"/>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2" xr:uid="{0F303C2A-D601-4C0D-9EFC-084309742DE6}"/>
    <cellStyle name="Currency 5 3 2 10 3" xfId="11254" xr:uid="{22FFF635-272B-4EF5-B665-FE6C87BB1259}"/>
    <cellStyle name="Currency 5 3 2 11" xfId="4653" xr:uid="{00000000-0005-0000-0000-0000840C0000}"/>
    <cellStyle name="Currency 5 3 2 11 2" xfId="13089" xr:uid="{9B3976AF-EE74-42B9-B681-7B00B275B5A3}"/>
    <cellStyle name="Currency 5 3 2 12" xfId="8871" xr:uid="{6E927378-591C-43E5-9A2D-439629D76F98}"/>
    <cellStyle name="Currency 5 3 2 2" xfId="211" xr:uid="{00000000-0005-0000-0000-0000850C0000}"/>
    <cellStyle name="Currency 5 3 2 2 10" xfId="4654" xr:uid="{00000000-0005-0000-0000-0000860C0000}"/>
    <cellStyle name="Currency 5 3 2 2 10 2" xfId="13090" xr:uid="{135FF5C8-C753-41A6-B85F-F36C6777D833}"/>
    <cellStyle name="Currency 5 3 2 2 11" xfId="8872" xr:uid="{340F57F0-CC40-4583-9C04-42928E7850E4}"/>
    <cellStyle name="Currency 5 3 2 2 2" xfId="212" xr:uid="{00000000-0005-0000-0000-0000870C0000}"/>
    <cellStyle name="Currency 5 3 2 2 2 10" xfId="8873" xr:uid="{2A3D82E2-5693-435E-9003-931F2C9B4E73}"/>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0" xr:uid="{4BCBA8F1-F066-456E-81EB-857A0DDF455D}"/>
    <cellStyle name="Currency 5 3 2 2 2 2 2 3" xfId="11432" xr:uid="{7B0C3515-DAC6-488D-B1DD-B9C48C59804C}"/>
    <cellStyle name="Currency 5 3 2 2 2 2 3" xfId="5069" xr:uid="{00000000-0005-0000-0000-00008B0C0000}"/>
    <cellStyle name="Currency 5 3 2 2 2 2 3 2" xfId="13505" xr:uid="{D8A6E0D8-2893-4790-8F02-7EC9F294B8A7}"/>
    <cellStyle name="Currency 5 3 2 2 2 2 4" xfId="9287" xr:uid="{C3099AF7-F96A-4AB6-9714-AA0E549A66D2}"/>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3" xr:uid="{601ED484-6A6A-4143-B64B-BDE54200D554}"/>
    <cellStyle name="Currency 5 3 2 2 2 3 2 3" xfId="11845" xr:uid="{60546C57-3D46-4B12-B81B-53FDD539437C}"/>
    <cellStyle name="Currency 5 3 2 2 2 3 3" xfId="5482" xr:uid="{00000000-0005-0000-0000-00008F0C0000}"/>
    <cellStyle name="Currency 5 3 2 2 2 3 3 2" xfId="13918" xr:uid="{E0846256-58CF-4544-B136-5A062E6CEDA8}"/>
    <cellStyle name="Currency 5 3 2 2 2 3 4" xfId="9700" xr:uid="{0146D0DC-F8A3-4ABB-BE42-0467BBE6FBE3}"/>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6" xr:uid="{FFD70865-F7A8-48C1-BCE2-F294F4979730}"/>
    <cellStyle name="Currency 5 3 2 2 2 4 2 3" xfId="12258" xr:uid="{FCA6DA2A-E2E8-45C8-84FC-9FF3496C1760}"/>
    <cellStyle name="Currency 5 3 2 2 2 4 3" xfId="5895" xr:uid="{00000000-0005-0000-0000-0000930C0000}"/>
    <cellStyle name="Currency 5 3 2 2 2 4 3 2" xfId="14331" xr:uid="{A3100AA2-F16A-460F-AA85-CECC6D97A731}"/>
    <cellStyle name="Currency 5 3 2 2 2 4 4" xfId="10113" xr:uid="{AC58D966-2E57-4959-B3DF-805A8919597B}"/>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89" xr:uid="{E57E4356-D7CE-4866-949F-8D47651CFD97}"/>
    <cellStyle name="Currency 5 3 2 2 2 5 2 3" xfId="12671" xr:uid="{21B089A3-6E78-41E4-B75B-1CE1901E112C}"/>
    <cellStyle name="Currency 5 3 2 2 2 5 3" xfId="6308" xr:uid="{00000000-0005-0000-0000-0000970C0000}"/>
    <cellStyle name="Currency 5 3 2 2 2 5 3 2" xfId="14744" xr:uid="{988D7CC9-3A55-47C0-9E18-9178D2988219}"/>
    <cellStyle name="Currency 5 3 2 2 2 5 4" xfId="10526" xr:uid="{F0BAA42E-2942-4F95-BDDE-0FF537F31F0F}"/>
    <cellStyle name="Currency 5 3 2 2 2 6" xfId="2436" xr:uid="{00000000-0005-0000-0000-0000980C0000}"/>
    <cellStyle name="Currency 5 3 2 2 2 6 2" xfId="6721" xr:uid="{00000000-0005-0000-0000-0000990C0000}"/>
    <cellStyle name="Currency 5 3 2 2 2 6 2 2" xfId="15157" xr:uid="{A1214FE6-C18A-49A7-9D50-A20F9278D189}"/>
    <cellStyle name="Currency 5 3 2 2 2 6 3" xfId="10939" xr:uid="{4E49813E-1B67-4B2C-AA5C-75B90B8500EB}"/>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4" xr:uid="{33152C9D-72A9-4CC4-922D-FF7D48EBE208}"/>
    <cellStyle name="Currency 5 3 2 2 2 8 3" xfId="11256" xr:uid="{6316FCBB-4470-4B0C-AFB4-5D7A7AF9A20B}"/>
    <cellStyle name="Currency 5 3 2 2 2 9" xfId="4655" xr:uid="{00000000-0005-0000-0000-00009D0C0000}"/>
    <cellStyle name="Currency 5 3 2 2 2 9 2" xfId="13091" xr:uid="{E3D1001E-1B45-46B7-8673-10A63999C6FC}"/>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49" xr:uid="{0B591F63-C092-4633-B3A6-1783B99644B2}"/>
    <cellStyle name="Currency 5 3 2 2 3 2 3" xfId="11431" xr:uid="{B668C382-C410-4E00-A433-8905B777337E}"/>
    <cellStyle name="Currency 5 3 2 2 3 3" xfId="5068" xr:uid="{00000000-0005-0000-0000-0000A10C0000}"/>
    <cellStyle name="Currency 5 3 2 2 3 3 2" xfId="13504" xr:uid="{CDD20D4B-0644-4364-AD17-B2497A266C91}"/>
    <cellStyle name="Currency 5 3 2 2 3 4" xfId="9286" xr:uid="{604F2C77-12D8-4F0F-9294-B4E78238C827}"/>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2" xr:uid="{2ADD1BFB-2A46-4A82-8F44-7595AC577D16}"/>
    <cellStyle name="Currency 5 3 2 2 4 2 3" xfId="11844" xr:uid="{3E814837-9F11-44B3-B2A8-C80EB85E049C}"/>
    <cellStyle name="Currency 5 3 2 2 4 3" xfId="5481" xr:uid="{00000000-0005-0000-0000-0000A50C0000}"/>
    <cellStyle name="Currency 5 3 2 2 4 3 2" xfId="13917" xr:uid="{CA769913-C92E-444F-A90F-A330812E2ECD}"/>
    <cellStyle name="Currency 5 3 2 2 4 4" xfId="9699" xr:uid="{690BD659-952B-4790-98F5-F975F6C8D4D9}"/>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5" xr:uid="{11216633-224C-46A4-A964-F639C7B79C90}"/>
    <cellStyle name="Currency 5 3 2 2 5 2 3" xfId="12257" xr:uid="{F45F8C20-8AAA-4A13-BB47-8F97D71F36F6}"/>
    <cellStyle name="Currency 5 3 2 2 5 3" xfId="5894" xr:uid="{00000000-0005-0000-0000-0000A90C0000}"/>
    <cellStyle name="Currency 5 3 2 2 5 3 2" xfId="14330" xr:uid="{A6080D27-56BC-48D7-A9EA-2558F3F73DC0}"/>
    <cellStyle name="Currency 5 3 2 2 5 4" xfId="10112" xr:uid="{75500FA3-8E16-4B1A-BE36-7CE6D79BFD43}"/>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88" xr:uid="{9590EA84-8D6D-45C1-9030-D9EF2724FD4E}"/>
    <cellStyle name="Currency 5 3 2 2 6 2 3" xfId="12670" xr:uid="{0D0E876C-2A49-4217-86B3-31F1988A3DFD}"/>
    <cellStyle name="Currency 5 3 2 2 6 3" xfId="6307" xr:uid="{00000000-0005-0000-0000-0000AD0C0000}"/>
    <cellStyle name="Currency 5 3 2 2 6 3 2" xfId="14743" xr:uid="{01AB16F4-4DA0-4F38-8089-9FEA550614C3}"/>
    <cellStyle name="Currency 5 3 2 2 6 4" xfId="10525" xr:uid="{130BBCE7-D490-42E8-98E8-EB4E23A0D091}"/>
    <cellStyle name="Currency 5 3 2 2 7" xfId="2435" xr:uid="{00000000-0005-0000-0000-0000AE0C0000}"/>
    <cellStyle name="Currency 5 3 2 2 7 2" xfId="6720" xr:uid="{00000000-0005-0000-0000-0000AF0C0000}"/>
    <cellStyle name="Currency 5 3 2 2 7 2 2" xfId="15156" xr:uid="{53FE897A-616A-442D-AA26-7F50A0584FC6}"/>
    <cellStyle name="Currency 5 3 2 2 7 3" xfId="10938" xr:uid="{6B496537-7B0F-4DED-A7DF-E6EDE3B3B969}"/>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3" xr:uid="{99BECF26-BF02-4BE9-8FC1-0FF267785814}"/>
    <cellStyle name="Currency 5 3 2 2 9 3" xfId="11255" xr:uid="{06A72A14-5FB1-4B03-B559-E0ACF5410952}"/>
    <cellStyle name="Currency 5 3 2 3" xfId="213" xr:uid="{00000000-0005-0000-0000-0000B30C0000}"/>
    <cellStyle name="Currency 5 3 2 3 10" xfId="8874" xr:uid="{5DDC59D0-5216-42A6-926A-B3F36FE240D9}"/>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1" xr:uid="{878192EE-8144-45D2-9DA6-4B67EFE9B180}"/>
    <cellStyle name="Currency 5 3 2 3 2 2 3" xfId="11433" xr:uid="{0380EE33-0348-40C8-A253-8D4C60B1ACC4}"/>
    <cellStyle name="Currency 5 3 2 3 2 3" xfId="5070" xr:uid="{00000000-0005-0000-0000-0000B70C0000}"/>
    <cellStyle name="Currency 5 3 2 3 2 3 2" xfId="13506" xr:uid="{8750E287-ACE4-4F08-9CB9-067970CDBC1E}"/>
    <cellStyle name="Currency 5 3 2 3 2 4" xfId="9288" xr:uid="{CECA2E20-8A24-433F-AA66-9FA02B93C12C}"/>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4" xr:uid="{AB4E0075-C038-4CB7-A2B6-3667D68BE93B}"/>
    <cellStyle name="Currency 5 3 2 3 3 2 3" xfId="11846" xr:uid="{EC09DB72-FF4C-488B-A39F-41494511A066}"/>
    <cellStyle name="Currency 5 3 2 3 3 3" xfId="5483" xr:uid="{00000000-0005-0000-0000-0000BB0C0000}"/>
    <cellStyle name="Currency 5 3 2 3 3 3 2" xfId="13919" xr:uid="{BB6F3239-A8DB-4A77-9D27-E90C804403D0}"/>
    <cellStyle name="Currency 5 3 2 3 3 4" xfId="9701" xr:uid="{0BC33832-7E95-49B8-B379-5EDC950EF724}"/>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77" xr:uid="{CB8E9F5F-D7FB-445A-AB6A-17E495E3516F}"/>
    <cellStyle name="Currency 5 3 2 3 4 2 3" xfId="12259" xr:uid="{DF025EAC-2B19-490F-910B-0782B4C4B0EB}"/>
    <cellStyle name="Currency 5 3 2 3 4 3" xfId="5896" xr:uid="{00000000-0005-0000-0000-0000BF0C0000}"/>
    <cellStyle name="Currency 5 3 2 3 4 3 2" xfId="14332" xr:uid="{FD49A64C-8728-4A5E-BC01-3004AB5F0294}"/>
    <cellStyle name="Currency 5 3 2 3 4 4" xfId="10114" xr:uid="{CF1C3A86-EDE0-473A-A5EA-83D14224C127}"/>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0" xr:uid="{4BDE39BC-7EF7-4110-BB95-3CEC46B27528}"/>
    <cellStyle name="Currency 5 3 2 3 5 2 3" xfId="12672" xr:uid="{0EC89A3A-F677-415D-B4C1-75AC1FD3B3A8}"/>
    <cellStyle name="Currency 5 3 2 3 5 3" xfId="6309" xr:uid="{00000000-0005-0000-0000-0000C30C0000}"/>
    <cellStyle name="Currency 5 3 2 3 5 3 2" xfId="14745" xr:uid="{C2673542-A6D2-41EE-B32B-6BE176B4720C}"/>
    <cellStyle name="Currency 5 3 2 3 5 4" xfId="10527" xr:uid="{6FA13663-9DC7-41C3-AF95-1E333531CE46}"/>
    <cellStyle name="Currency 5 3 2 3 6" xfId="2437" xr:uid="{00000000-0005-0000-0000-0000C40C0000}"/>
    <cellStyle name="Currency 5 3 2 3 6 2" xfId="6722" xr:uid="{00000000-0005-0000-0000-0000C50C0000}"/>
    <cellStyle name="Currency 5 3 2 3 6 2 2" xfId="15158" xr:uid="{7F2D273D-D38D-4422-80C7-E99DE05983E4}"/>
    <cellStyle name="Currency 5 3 2 3 6 3" xfId="10940" xr:uid="{DD1B3214-0D4C-42D2-8F2F-B04F530E31F9}"/>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5" xr:uid="{AD7EFAC3-B802-4838-828F-85389758C659}"/>
    <cellStyle name="Currency 5 3 2 3 8 3" xfId="11257" xr:uid="{D74ACAA1-15CE-4554-B5E5-F3EAE0CF8958}"/>
    <cellStyle name="Currency 5 3 2 3 9" xfId="4656" xr:uid="{00000000-0005-0000-0000-0000C90C0000}"/>
    <cellStyle name="Currency 5 3 2 3 9 2" xfId="13092" xr:uid="{139A5774-2EFD-479E-9F8A-8F8E6E30EDED}"/>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48" xr:uid="{68737907-1858-449E-8A28-F91C89298BA9}"/>
    <cellStyle name="Currency 5 3 2 4 2 3" xfId="11430" xr:uid="{2D0D1799-0F7C-4AFA-901E-539493E99772}"/>
    <cellStyle name="Currency 5 3 2 4 3" xfId="5067" xr:uid="{00000000-0005-0000-0000-0000CD0C0000}"/>
    <cellStyle name="Currency 5 3 2 4 3 2" xfId="13503" xr:uid="{76DD6657-0238-4025-9D6E-1D2F2FA2C05B}"/>
    <cellStyle name="Currency 5 3 2 4 4" xfId="9285" xr:uid="{EAD2E61D-35FB-42FD-A9C1-42B4495E7412}"/>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1" xr:uid="{571066C4-C987-4B5A-B4F5-CEFA4E1CF2B3}"/>
    <cellStyle name="Currency 5 3 2 5 2 3" xfId="11843" xr:uid="{FD5CF571-2BBB-480A-BC5E-4157CF48BF7C}"/>
    <cellStyle name="Currency 5 3 2 5 3" xfId="5480" xr:uid="{00000000-0005-0000-0000-0000D10C0000}"/>
    <cellStyle name="Currency 5 3 2 5 3 2" xfId="13916" xr:uid="{2D1C3E09-A619-4032-9E49-BBB6F5096D76}"/>
    <cellStyle name="Currency 5 3 2 5 4" xfId="9698" xr:uid="{E5BC24C2-407E-4463-A9BB-0D2024023AC5}"/>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4" xr:uid="{AA64CCB0-60AC-47A4-9AF7-617FA434A1CF}"/>
    <cellStyle name="Currency 5 3 2 6 2 3" xfId="12256" xr:uid="{73C03768-EB9E-4E6A-AD55-7E502C9DEBFC}"/>
    <cellStyle name="Currency 5 3 2 6 3" xfId="5893" xr:uid="{00000000-0005-0000-0000-0000D50C0000}"/>
    <cellStyle name="Currency 5 3 2 6 3 2" xfId="14329" xr:uid="{9C6E7DBC-2982-4747-8401-5C09096D26AB}"/>
    <cellStyle name="Currency 5 3 2 6 4" xfId="10111" xr:uid="{B33C51D5-3CB6-435E-8E87-BE310A843C1B}"/>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87" xr:uid="{75599ECD-CB93-4093-91C5-79CF3F9572F9}"/>
    <cellStyle name="Currency 5 3 2 7 2 3" xfId="12669" xr:uid="{4C1E36B8-5EAB-4A7E-916C-7BBFCC96E80F}"/>
    <cellStyle name="Currency 5 3 2 7 3" xfId="6306" xr:uid="{00000000-0005-0000-0000-0000D90C0000}"/>
    <cellStyle name="Currency 5 3 2 7 3 2" xfId="14742" xr:uid="{848A42A6-DD44-4EF2-B2A5-0DA3CE213112}"/>
    <cellStyle name="Currency 5 3 2 7 4" xfId="10524" xr:uid="{3BEB3EEB-0AED-4BF4-9CEB-CCB5ADC2BCD6}"/>
    <cellStyle name="Currency 5 3 2 8" xfId="2434" xr:uid="{00000000-0005-0000-0000-0000DA0C0000}"/>
    <cellStyle name="Currency 5 3 2 8 2" xfId="6719" xr:uid="{00000000-0005-0000-0000-0000DB0C0000}"/>
    <cellStyle name="Currency 5 3 2 8 2 2" xfId="15155" xr:uid="{5FE7F8EC-B9E8-4BF9-A3C8-0DA0FD9C787C}"/>
    <cellStyle name="Currency 5 3 2 8 3" xfId="10937" xr:uid="{BD35C423-2FDC-452C-9D2F-C14771D9F18C}"/>
    <cellStyle name="Currency 5 3 2 9" xfId="2731" xr:uid="{00000000-0005-0000-0000-0000DC0C0000}"/>
    <cellStyle name="Currency 5 3 3" xfId="214" xr:uid="{00000000-0005-0000-0000-0000DD0C0000}"/>
    <cellStyle name="Currency 5 3 3 10" xfId="4657" xr:uid="{00000000-0005-0000-0000-0000DE0C0000}"/>
    <cellStyle name="Currency 5 3 3 10 2" xfId="13093" xr:uid="{E3FF14B9-4143-404C-A9CA-DADBD2437FF1}"/>
    <cellStyle name="Currency 5 3 3 11" xfId="8875" xr:uid="{8FB12F11-0613-432A-B831-9B885ED5F4AF}"/>
    <cellStyle name="Currency 5 3 3 2" xfId="215" xr:uid="{00000000-0005-0000-0000-0000DF0C0000}"/>
    <cellStyle name="Currency 5 3 3 2 10" xfId="8876" xr:uid="{E38CEF88-3E32-46BA-9846-93B8D8E3294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3" xr:uid="{871D90DE-E5D5-4E8C-B6C6-714A56DD7F3D}"/>
    <cellStyle name="Currency 5 3 3 2 2 2 3" xfId="11435" xr:uid="{7EE918EB-66CC-4697-A07B-F8FD26413D37}"/>
    <cellStyle name="Currency 5 3 3 2 2 3" xfId="5072" xr:uid="{00000000-0005-0000-0000-0000E30C0000}"/>
    <cellStyle name="Currency 5 3 3 2 2 3 2" xfId="13508" xr:uid="{D49B353D-E964-4B6A-B40D-8A081A8D055B}"/>
    <cellStyle name="Currency 5 3 3 2 2 4" xfId="9290" xr:uid="{E21FA7E9-E816-4180-BD9E-5FE9D636E3A9}"/>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6" xr:uid="{84CD04CB-9FF2-4DBE-947C-255148528A4F}"/>
    <cellStyle name="Currency 5 3 3 2 3 2 3" xfId="11848" xr:uid="{12EEADCA-C019-41B4-AD38-DDD25E786887}"/>
    <cellStyle name="Currency 5 3 3 2 3 3" xfId="5485" xr:uid="{00000000-0005-0000-0000-0000E70C0000}"/>
    <cellStyle name="Currency 5 3 3 2 3 3 2" xfId="13921" xr:uid="{1E5FBD44-3F90-4B98-9BE8-F1AA215BA4BE}"/>
    <cellStyle name="Currency 5 3 3 2 3 4" xfId="9703" xr:uid="{BEABE521-1636-401C-BBD2-4EB574A624F6}"/>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79" xr:uid="{0589A71D-3E9B-48AB-BA81-CDCFE76DD415}"/>
    <cellStyle name="Currency 5 3 3 2 4 2 3" xfId="12261" xr:uid="{FD00D0F8-7356-414E-9AED-3A8F911363F6}"/>
    <cellStyle name="Currency 5 3 3 2 4 3" xfId="5898" xr:uid="{00000000-0005-0000-0000-0000EB0C0000}"/>
    <cellStyle name="Currency 5 3 3 2 4 3 2" xfId="14334" xr:uid="{BE289596-C540-4BD2-AC62-CB0330F52B24}"/>
    <cellStyle name="Currency 5 3 3 2 4 4" xfId="10116" xr:uid="{5B902523-BC12-4CC7-B5A2-A911C24551D1}"/>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2" xr:uid="{6B9D802C-A617-4B03-BBAF-5D41B6C5CDAC}"/>
    <cellStyle name="Currency 5 3 3 2 5 2 3" xfId="12674" xr:uid="{FA202077-BEE8-45DF-B491-AA816E524802}"/>
    <cellStyle name="Currency 5 3 3 2 5 3" xfId="6311" xr:uid="{00000000-0005-0000-0000-0000EF0C0000}"/>
    <cellStyle name="Currency 5 3 3 2 5 3 2" xfId="14747" xr:uid="{8250E857-3A72-46B1-A386-4B05A7AD6DEC}"/>
    <cellStyle name="Currency 5 3 3 2 5 4" xfId="10529" xr:uid="{07AD983E-284B-473A-9282-C388C8528FBC}"/>
    <cellStyle name="Currency 5 3 3 2 6" xfId="2439" xr:uid="{00000000-0005-0000-0000-0000F00C0000}"/>
    <cellStyle name="Currency 5 3 3 2 6 2" xfId="6724" xr:uid="{00000000-0005-0000-0000-0000F10C0000}"/>
    <cellStyle name="Currency 5 3 3 2 6 2 2" xfId="15160" xr:uid="{EE159AD7-EF6C-4945-91E1-EC0621765735}"/>
    <cellStyle name="Currency 5 3 3 2 6 3" xfId="10942" xr:uid="{992140A7-FE02-4684-8F83-CBAA00B146AF}"/>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77" xr:uid="{1AB2440A-E800-4807-8377-5D56325AB1F2}"/>
    <cellStyle name="Currency 5 3 3 2 8 3" xfId="11259" xr:uid="{DF3A6B5E-FDBA-42A4-82B6-00AB2AC9D23E}"/>
    <cellStyle name="Currency 5 3 3 2 9" xfId="4658" xr:uid="{00000000-0005-0000-0000-0000F50C0000}"/>
    <cellStyle name="Currency 5 3 3 2 9 2" xfId="13094" xr:uid="{28D9F92C-BC54-4594-B8B4-2368C1AC9F19}"/>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2" xr:uid="{E3DCBB8F-B34C-44C8-9E23-BC14459A8510}"/>
    <cellStyle name="Currency 5 3 3 3 2 3" xfId="11434" xr:uid="{0D0A03D9-8C0D-41D3-B9FE-08DBCCF156C4}"/>
    <cellStyle name="Currency 5 3 3 3 3" xfId="5071" xr:uid="{00000000-0005-0000-0000-0000F90C0000}"/>
    <cellStyle name="Currency 5 3 3 3 3 2" xfId="13507" xr:uid="{E234A93A-3D60-4008-8CEE-6D3607B2F875}"/>
    <cellStyle name="Currency 5 3 3 3 4" xfId="9289" xr:uid="{55A1101F-87D7-4167-A0B0-DE1C703BEC67}"/>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5" xr:uid="{79DAAD11-340B-4C83-95E0-DC2EA67D4313}"/>
    <cellStyle name="Currency 5 3 3 4 2 3" xfId="11847" xr:uid="{88756530-D2D1-46C8-A6DF-4FF09DAD09D2}"/>
    <cellStyle name="Currency 5 3 3 4 3" xfId="5484" xr:uid="{00000000-0005-0000-0000-0000FD0C0000}"/>
    <cellStyle name="Currency 5 3 3 4 3 2" xfId="13920" xr:uid="{7C3A13FB-F272-48EA-A3CC-C92C8FCAAC7D}"/>
    <cellStyle name="Currency 5 3 3 4 4" xfId="9702" xr:uid="{CDC89188-57A2-47F2-9A43-81FFE79B23C7}"/>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78" xr:uid="{931E470B-96A6-40E7-9FC1-F1CC6B13FCD6}"/>
    <cellStyle name="Currency 5 3 3 5 2 3" xfId="12260" xr:uid="{B5A1D2B7-05E7-4701-8FAD-EA571DF53689}"/>
    <cellStyle name="Currency 5 3 3 5 3" xfId="5897" xr:uid="{00000000-0005-0000-0000-0000010D0000}"/>
    <cellStyle name="Currency 5 3 3 5 3 2" xfId="14333" xr:uid="{72B780C6-500E-4C2B-9C41-34D99A364725}"/>
    <cellStyle name="Currency 5 3 3 5 4" xfId="10115" xr:uid="{C2071850-C03E-4F81-9AA2-4082D29EFE96}"/>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1" xr:uid="{3C7C337C-6398-43CD-B05D-7F53A4B3275F}"/>
    <cellStyle name="Currency 5 3 3 6 2 3" xfId="12673" xr:uid="{9E1698BE-F634-4C39-B7F8-F03EA359944B}"/>
    <cellStyle name="Currency 5 3 3 6 3" xfId="6310" xr:uid="{00000000-0005-0000-0000-0000050D0000}"/>
    <cellStyle name="Currency 5 3 3 6 3 2" xfId="14746" xr:uid="{AE4528B0-CB9B-4D18-8873-E1AEEF339909}"/>
    <cellStyle name="Currency 5 3 3 6 4" xfId="10528" xr:uid="{32FB46E8-9970-4057-8A87-023F0370056E}"/>
    <cellStyle name="Currency 5 3 3 7" xfId="2438" xr:uid="{00000000-0005-0000-0000-0000060D0000}"/>
    <cellStyle name="Currency 5 3 3 7 2" xfId="6723" xr:uid="{00000000-0005-0000-0000-0000070D0000}"/>
    <cellStyle name="Currency 5 3 3 7 2 2" xfId="15159" xr:uid="{7C58DE7B-94AD-45AD-A65B-8B0831F0B09F}"/>
    <cellStyle name="Currency 5 3 3 7 3" xfId="10941" xr:uid="{5ECD68F6-76A3-4A0B-B017-B4F578F6F526}"/>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6" xr:uid="{26BA52DE-020E-40FB-A8D2-B34A7377E7A8}"/>
    <cellStyle name="Currency 5 3 3 9 3" xfId="11258" xr:uid="{6E952A75-1D6B-4D61-9D00-9F0A0C308D16}"/>
    <cellStyle name="Currency 5 3 4" xfId="216" xr:uid="{00000000-0005-0000-0000-00000B0D0000}"/>
    <cellStyle name="Currency 5 3 4 10" xfId="8877" xr:uid="{76EAE7BF-4788-46BC-AFA7-3FC4D70029DF}"/>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4" xr:uid="{571FADA8-2FE3-445C-BE39-325DDE9E13CC}"/>
    <cellStyle name="Currency 5 3 4 2 2 3" xfId="11436" xr:uid="{49BDD96B-D3F5-421C-BFFE-C76115579E54}"/>
    <cellStyle name="Currency 5 3 4 2 3" xfId="5073" xr:uid="{00000000-0005-0000-0000-00000F0D0000}"/>
    <cellStyle name="Currency 5 3 4 2 3 2" xfId="13509" xr:uid="{65D7E187-8EDC-4CB7-B613-2C1E1E078EE8}"/>
    <cellStyle name="Currency 5 3 4 2 4" xfId="9291" xr:uid="{1877F0B4-D0DD-4D28-AAF9-19BE05185668}"/>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67" xr:uid="{4A01F1C3-FEAB-4162-86EA-729772D7BE42}"/>
    <cellStyle name="Currency 5 3 4 3 2 3" xfId="11849" xr:uid="{31B02D1C-0907-4444-BE72-BFC4ED819F83}"/>
    <cellStyle name="Currency 5 3 4 3 3" xfId="5486" xr:uid="{00000000-0005-0000-0000-0000130D0000}"/>
    <cellStyle name="Currency 5 3 4 3 3 2" xfId="13922" xr:uid="{C3BE4061-0ADC-4038-988B-2A12F7DAF2E9}"/>
    <cellStyle name="Currency 5 3 4 3 4" xfId="9704" xr:uid="{22BC8019-28A0-4B8F-9236-576C57F2B539}"/>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0" xr:uid="{BE7E4A3D-774B-49CB-BACF-9B619553693A}"/>
    <cellStyle name="Currency 5 3 4 4 2 3" xfId="12262" xr:uid="{B3DB9C83-4C90-411D-B0F6-FE6C19D4396C}"/>
    <cellStyle name="Currency 5 3 4 4 3" xfId="5899" xr:uid="{00000000-0005-0000-0000-0000170D0000}"/>
    <cellStyle name="Currency 5 3 4 4 3 2" xfId="14335" xr:uid="{4834F3DA-A888-4C7A-BAA1-AAE818BF1CB0}"/>
    <cellStyle name="Currency 5 3 4 4 4" xfId="10117" xr:uid="{110182B7-E897-45C2-AAD0-AB06910E8F1C}"/>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3" xr:uid="{676E5D82-3FC4-4E8F-9549-DBA7B551E4A6}"/>
    <cellStyle name="Currency 5 3 4 5 2 3" xfId="12675" xr:uid="{938621B0-417F-4C3C-A4DC-D4F19CC30F8D}"/>
    <cellStyle name="Currency 5 3 4 5 3" xfId="6312" xr:uid="{00000000-0005-0000-0000-00001B0D0000}"/>
    <cellStyle name="Currency 5 3 4 5 3 2" xfId="14748" xr:uid="{721D260F-C365-4413-B4CD-56EEBF6711BC}"/>
    <cellStyle name="Currency 5 3 4 5 4" xfId="10530" xr:uid="{644C7081-5B61-4E3E-B3EA-280C9CD22DAA}"/>
    <cellStyle name="Currency 5 3 4 6" xfId="2440" xr:uid="{00000000-0005-0000-0000-00001C0D0000}"/>
    <cellStyle name="Currency 5 3 4 6 2" xfId="6725" xr:uid="{00000000-0005-0000-0000-00001D0D0000}"/>
    <cellStyle name="Currency 5 3 4 6 2 2" xfId="15161" xr:uid="{95662892-54E8-43B2-8E86-7CB5B910BDF5}"/>
    <cellStyle name="Currency 5 3 4 6 3" xfId="10943" xr:uid="{CEF070B3-75A4-473E-BA24-A14D3D4ABD57}"/>
    <cellStyle name="Currency 5 3 4 7" xfId="2737" xr:uid="{00000000-0005-0000-0000-00001E0D0000}"/>
    <cellStyle name="Currency 5 3 4 8" xfId="2818" xr:uid="{00000000-0005-0000-0000-00001F0D0000}"/>
    <cellStyle name="Currency 5 3 4 8 2" xfId="7042" xr:uid="{00000000-0005-0000-0000-0000200D0000}"/>
    <cellStyle name="Currency 5 3 4 8 2 2" xfId="15478" xr:uid="{03E72BF4-8E9D-4AA2-AE7E-C61514106D5B}"/>
    <cellStyle name="Currency 5 3 4 8 3" xfId="11260" xr:uid="{8F4458CC-1D55-4451-99A5-05D4F9CA0A20}"/>
    <cellStyle name="Currency 5 3 4 9" xfId="4659" xr:uid="{00000000-0005-0000-0000-0000210D0000}"/>
    <cellStyle name="Currency 5 3 4 9 2" xfId="13095" xr:uid="{88DB9A8F-82DC-4AE7-8523-A41636FCB78B}"/>
    <cellStyle name="Currency 5 3 5" xfId="217" xr:uid="{00000000-0005-0000-0000-0000220D0000}"/>
    <cellStyle name="Currency 5 3 5 10" xfId="8878" xr:uid="{FA1BA537-692B-4473-8578-B8B2F55A6486}"/>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5" xr:uid="{9276985F-CB38-48C4-B3CD-5FBF43799DD3}"/>
    <cellStyle name="Currency 5 3 5 2 2 3" xfId="11437" xr:uid="{B0B2E18D-F339-428C-9C71-3BC656737B3A}"/>
    <cellStyle name="Currency 5 3 5 2 3" xfId="5074" xr:uid="{00000000-0005-0000-0000-0000260D0000}"/>
    <cellStyle name="Currency 5 3 5 2 3 2" xfId="13510" xr:uid="{F0E9E881-2C78-4EAB-98A7-872859F12F20}"/>
    <cellStyle name="Currency 5 3 5 2 4" xfId="9292" xr:uid="{F25FA12C-D9BD-47A0-9C5C-9225110F17B6}"/>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68" xr:uid="{4F5A3009-194F-40A4-AE19-A413E5432830}"/>
    <cellStyle name="Currency 5 3 5 3 2 3" xfId="11850" xr:uid="{D230FF8C-B0F5-4F92-86C1-342F3CD8D4FD}"/>
    <cellStyle name="Currency 5 3 5 3 3" xfId="5487" xr:uid="{00000000-0005-0000-0000-00002A0D0000}"/>
    <cellStyle name="Currency 5 3 5 3 3 2" xfId="13923" xr:uid="{173FD80C-454B-4EBF-A409-B6BD18CC8E5F}"/>
    <cellStyle name="Currency 5 3 5 3 4" xfId="9705" xr:uid="{A5E90E5E-C216-47A7-B793-C7AFC26EB195}"/>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1" xr:uid="{43205FDD-FE3C-4F21-BBFC-D540B2C816D7}"/>
    <cellStyle name="Currency 5 3 5 4 2 3" xfId="12263" xr:uid="{7C78EFAC-2089-4A44-8D13-2D6E255E892F}"/>
    <cellStyle name="Currency 5 3 5 4 3" xfId="5900" xr:uid="{00000000-0005-0000-0000-00002E0D0000}"/>
    <cellStyle name="Currency 5 3 5 4 3 2" xfId="14336" xr:uid="{F47BAF09-7E21-487B-8FDC-8083876A2DF1}"/>
    <cellStyle name="Currency 5 3 5 4 4" xfId="10118" xr:uid="{8100C5FB-F62C-4BCD-97AB-BC7EE3EE4F8A}"/>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4" xr:uid="{7DE37667-D017-496F-9CE4-91517675A097}"/>
    <cellStyle name="Currency 5 3 5 5 2 3" xfId="12676" xr:uid="{3C3DFF22-6B7F-4C4D-A53F-787DD743BAA3}"/>
    <cellStyle name="Currency 5 3 5 5 3" xfId="6313" xr:uid="{00000000-0005-0000-0000-0000320D0000}"/>
    <cellStyle name="Currency 5 3 5 5 3 2" xfId="14749" xr:uid="{7B22DD96-032E-4C76-AD8B-7FA079505CFB}"/>
    <cellStyle name="Currency 5 3 5 5 4" xfId="10531" xr:uid="{28331234-C1DF-4120-9EB5-62587F1ABC16}"/>
    <cellStyle name="Currency 5 3 5 6" xfId="2441" xr:uid="{00000000-0005-0000-0000-0000330D0000}"/>
    <cellStyle name="Currency 5 3 5 6 2" xfId="6726" xr:uid="{00000000-0005-0000-0000-0000340D0000}"/>
    <cellStyle name="Currency 5 3 5 6 2 2" xfId="15162" xr:uid="{EFA54290-1942-48E3-B9B6-700D614B8575}"/>
    <cellStyle name="Currency 5 3 5 6 3" xfId="10944" xr:uid="{08ECD355-E1A6-4317-BEF6-82F4A39936B1}"/>
    <cellStyle name="Currency 5 3 5 7" xfId="2738" xr:uid="{00000000-0005-0000-0000-0000350D0000}"/>
    <cellStyle name="Currency 5 3 5 8" xfId="2819" xr:uid="{00000000-0005-0000-0000-0000360D0000}"/>
    <cellStyle name="Currency 5 3 5 8 2" xfId="7043" xr:uid="{00000000-0005-0000-0000-0000370D0000}"/>
    <cellStyle name="Currency 5 3 5 8 2 2" xfId="15479" xr:uid="{BBFA6D20-7FB2-4EC2-8434-C3EC87D1854E}"/>
    <cellStyle name="Currency 5 3 5 8 3" xfId="11261" xr:uid="{404255AF-C9E7-42D4-8B96-148CDF019FA0}"/>
    <cellStyle name="Currency 5 3 5 9" xfId="4660" xr:uid="{00000000-0005-0000-0000-0000380D0000}"/>
    <cellStyle name="Currency 5 3 5 9 2" xfId="13096" xr:uid="{DC48D949-0B23-43BC-B2B9-05C555200CE3}"/>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097" xr:uid="{A5882DAE-9A6C-4920-97A7-80AF1C6F9267}"/>
    <cellStyle name="Currency 5 5 11" xfId="8879" xr:uid="{D1115C49-B9CD-45E3-98A1-59D8D2736F44}"/>
    <cellStyle name="Currency 5 5 2" xfId="220" xr:uid="{00000000-0005-0000-0000-00003D0D0000}"/>
    <cellStyle name="Currency 5 5 2 10" xfId="8880" xr:uid="{C0AA3A79-423F-4C11-A815-00E1FC0C7C17}"/>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57" xr:uid="{2F25141E-7B3F-4A20-B38E-302262B164FD}"/>
    <cellStyle name="Currency 5 5 2 2 2 3" xfId="11439" xr:uid="{78AC2BC0-7A8C-458A-AA20-2AE634BE8F29}"/>
    <cellStyle name="Currency 5 5 2 2 3" xfId="5076" xr:uid="{00000000-0005-0000-0000-0000410D0000}"/>
    <cellStyle name="Currency 5 5 2 2 3 2" xfId="13512" xr:uid="{6B264B9F-A7B3-4A25-AE3D-B7EB73D1CC44}"/>
    <cellStyle name="Currency 5 5 2 2 4" xfId="9294" xr:uid="{91AD5F69-FAEC-4B20-B035-9F5A3FFF32DE}"/>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0" xr:uid="{1161F30F-5EB8-4D45-91CD-DD01C80DBD88}"/>
    <cellStyle name="Currency 5 5 2 3 2 3" xfId="11852" xr:uid="{26C93A69-12D5-421C-ACED-927E48D06954}"/>
    <cellStyle name="Currency 5 5 2 3 3" xfId="5489" xr:uid="{00000000-0005-0000-0000-0000450D0000}"/>
    <cellStyle name="Currency 5 5 2 3 3 2" xfId="13925" xr:uid="{4E834B8D-62DD-44B2-8179-69CA0177FA58}"/>
    <cellStyle name="Currency 5 5 2 3 4" xfId="9707" xr:uid="{1224C113-0F74-48DF-90EE-7F5197D0180B}"/>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3" xr:uid="{B374CBFF-2E4A-448E-A8B2-D89101EE7F99}"/>
    <cellStyle name="Currency 5 5 2 4 2 3" xfId="12265" xr:uid="{C6861FD3-9B86-4C22-A8DE-E45E2EA6CCCD}"/>
    <cellStyle name="Currency 5 5 2 4 3" xfId="5902" xr:uid="{00000000-0005-0000-0000-0000490D0000}"/>
    <cellStyle name="Currency 5 5 2 4 3 2" xfId="14338" xr:uid="{3F6EA4D0-A1C0-452C-9622-646C87FECB0B}"/>
    <cellStyle name="Currency 5 5 2 4 4" xfId="10120" xr:uid="{1C9F45C8-0F55-4807-9A45-54231C6E5D7F}"/>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6" xr:uid="{BE92E755-CEF3-4DD6-A192-FBFE2844D598}"/>
    <cellStyle name="Currency 5 5 2 5 2 3" xfId="12678" xr:uid="{B1D5140B-2DDA-4B14-B9CC-3793B30CBC77}"/>
    <cellStyle name="Currency 5 5 2 5 3" xfId="6315" xr:uid="{00000000-0005-0000-0000-00004D0D0000}"/>
    <cellStyle name="Currency 5 5 2 5 3 2" xfId="14751" xr:uid="{E9CECED7-8194-4207-A82E-A2677B28F910}"/>
    <cellStyle name="Currency 5 5 2 5 4" xfId="10533" xr:uid="{D8A8456E-3BCE-47E9-A7F8-2D177CCE652C}"/>
    <cellStyle name="Currency 5 5 2 6" xfId="2443" xr:uid="{00000000-0005-0000-0000-00004E0D0000}"/>
    <cellStyle name="Currency 5 5 2 6 2" xfId="6728" xr:uid="{00000000-0005-0000-0000-00004F0D0000}"/>
    <cellStyle name="Currency 5 5 2 6 2 2" xfId="15164" xr:uid="{E0DB0D01-78F8-4D03-9538-43A3A0FCB702}"/>
    <cellStyle name="Currency 5 5 2 6 3" xfId="10946" xr:uid="{65F11E78-325D-4F16-9B88-13BE93A0086E}"/>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1" xr:uid="{2DD01F1F-6EC2-4F3D-A3B2-ABA65B54C967}"/>
    <cellStyle name="Currency 5 5 2 8 3" xfId="11263" xr:uid="{736C6C33-0496-44A7-8094-E5E66ACAC3A3}"/>
    <cellStyle name="Currency 5 5 2 9" xfId="4662" xr:uid="{00000000-0005-0000-0000-0000530D0000}"/>
    <cellStyle name="Currency 5 5 2 9 2" xfId="13098" xr:uid="{507E7814-C4F4-4CFD-B520-397BE3B4FEAB}"/>
    <cellStyle name="Currency 5 5 3" xfId="745" xr:uid="{00000000-0005-0000-0000-0000540D0000}"/>
    <cellStyle name="Currency 5 5 3 2" xfId="2997" xr:uid="{00000000-0005-0000-0000-0000550D0000}"/>
    <cellStyle name="Currency 5 5 3 2 2" xfId="7220" xr:uid="{00000000-0005-0000-0000-0000560D0000}"/>
    <cellStyle name="Currency 5 5 3 2 2 2" xfId="15656" xr:uid="{35A71CF3-1759-4DCE-9D5F-FD80FB0EE787}"/>
    <cellStyle name="Currency 5 5 3 2 3" xfId="11438" xr:uid="{DFB2CB26-EEC4-4F7A-908B-7FA1B846C404}"/>
    <cellStyle name="Currency 5 5 3 3" xfId="5075" xr:uid="{00000000-0005-0000-0000-0000570D0000}"/>
    <cellStyle name="Currency 5 5 3 3 2" xfId="13511" xr:uid="{7734FBEF-97B9-4FAA-A0F2-657A07A4D548}"/>
    <cellStyle name="Currency 5 5 3 4" xfId="9293" xr:uid="{3220B3C9-1DAB-4E3C-9C62-A7B2BE6FFAB5}"/>
    <cellStyle name="Currency 5 5 4" xfId="1179" xr:uid="{00000000-0005-0000-0000-0000580D0000}"/>
    <cellStyle name="Currency 5 5 4 2" xfId="3410" xr:uid="{00000000-0005-0000-0000-0000590D0000}"/>
    <cellStyle name="Currency 5 5 4 2 2" xfId="7633" xr:uid="{00000000-0005-0000-0000-00005A0D0000}"/>
    <cellStyle name="Currency 5 5 4 2 2 2" xfId="16069" xr:uid="{832AC90D-9180-46FD-9F1C-FB140C979134}"/>
    <cellStyle name="Currency 5 5 4 2 3" xfId="11851" xr:uid="{31F90FDD-8392-460F-8A08-E24C05BF4EF0}"/>
    <cellStyle name="Currency 5 5 4 3" xfId="5488" xr:uid="{00000000-0005-0000-0000-00005B0D0000}"/>
    <cellStyle name="Currency 5 5 4 3 2" xfId="13924" xr:uid="{57FC16F9-F3B1-45F8-BEB2-A5CDA06E3212}"/>
    <cellStyle name="Currency 5 5 4 4" xfId="9706" xr:uid="{1ABEA8C1-940C-4072-A766-6C8E048CC377}"/>
    <cellStyle name="Currency 5 5 5" xfId="1593" xr:uid="{00000000-0005-0000-0000-00005C0D0000}"/>
    <cellStyle name="Currency 5 5 5 2" xfId="3823" xr:uid="{00000000-0005-0000-0000-00005D0D0000}"/>
    <cellStyle name="Currency 5 5 5 2 2" xfId="8046" xr:uid="{00000000-0005-0000-0000-00005E0D0000}"/>
    <cellStyle name="Currency 5 5 5 2 2 2" xfId="16482" xr:uid="{D999925E-221A-460F-9177-5B3277065BA5}"/>
    <cellStyle name="Currency 5 5 5 2 3" xfId="12264" xr:uid="{91659A04-567C-4641-A834-7D1043C38227}"/>
    <cellStyle name="Currency 5 5 5 3" xfId="5901" xr:uid="{00000000-0005-0000-0000-00005F0D0000}"/>
    <cellStyle name="Currency 5 5 5 3 2" xfId="14337" xr:uid="{FCBB32A7-BAB2-49E1-A5A8-C76FFC7CDD49}"/>
    <cellStyle name="Currency 5 5 5 4" xfId="10119" xr:uid="{97D44ABE-23BE-40D9-831E-9C3D7618A9AC}"/>
    <cellStyle name="Currency 5 5 6" xfId="2007" xr:uid="{00000000-0005-0000-0000-0000600D0000}"/>
    <cellStyle name="Currency 5 5 6 2" xfId="4236" xr:uid="{00000000-0005-0000-0000-0000610D0000}"/>
    <cellStyle name="Currency 5 5 6 2 2" xfId="8459" xr:uid="{00000000-0005-0000-0000-0000620D0000}"/>
    <cellStyle name="Currency 5 5 6 2 2 2" xfId="16895" xr:uid="{EC7A0B9F-809D-4DFE-865A-CBAEB0CA6F6E}"/>
    <cellStyle name="Currency 5 5 6 2 3" xfId="12677" xr:uid="{97E044ED-66DB-4912-98F0-B9711E73A84E}"/>
    <cellStyle name="Currency 5 5 6 3" xfId="6314" xr:uid="{00000000-0005-0000-0000-0000630D0000}"/>
    <cellStyle name="Currency 5 5 6 3 2" xfId="14750" xr:uid="{7F475B0A-4E73-4D06-B4C8-4F19E178F3D9}"/>
    <cellStyle name="Currency 5 5 6 4" xfId="10532" xr:uid="{D559C4CD-6BC9-475C-AC7C-1EC9D404547A}"/>
    <cellStyle name="Currency 5 5 7" xfId="2442" xr:uid="{00000000-0005-0000-0000-0000640D0000}"/>
    <cellStyle name="Currency 5 5 7 2" xfId="6727" xr:uid="{00000000-0005-0000-0000-0000650D0000}"/>
    <cellStyle name="Currency 5 5 7 2 2" xfId="15163" xr:uid="{F4A347F5-60DD-46AE-A34B-A029B69F0DF4}"/>
    <cellStyle name="Currency 5 5 7 3" xfId="10945" xr:uid="{538DC9CC-7011-4D38-8254-B2E11ED504A8}"/>
    <cellStyle name="Currency 5 5 8" xfId="2739" xr:uid="{00000000-0005-0000-0000-0000660D0000}"/>
    <cellStyle name="Currency 5 5 9" xfId="2820" xr:uid="{00000000-0005-0000-0000-0000670D0000}"/>
    <cellStyle name="Currency 5 5 9 2" xfId="7044" xr:uid="{00000000-0005-0000-0000-0000680D0000}"/>
    <cellStyle name="Currency 5 5 9 2 2" xfId="15480" xr:uid="{A30DD2E2-1027-4C32-90DE-9C82B18C0774}"/>
    <cellStyle name="Currency 5 5 9 3" xfId="11262" xr:uid="{F426F006-FAF4-44E0-B6ED-4C3C71F70C7C}"/>
    <cellStyle name="Currency 5 6" xfId="221" xr:uid="{00000000-0005-0000-0000-0000690D0000}"/>
    <cellStyle name="Currency 5 6 10" xfId="8881" xr:uid="{ED642CAA-D1EE-4352-B1C2-7CD5A3A90212}"/>
    <cellStyle name="Currency 5 6 2" xfId="747" xr:uid="{00000000-0005-0000-0000-00006A0D0000}"/>
    <cellStyle name="Currency 5 6 2 2" xfId="2999" xr:uid="{00000000-0005-0000-0000-00006B0D0000}"/>
    <cellStyle name="Currency 5 6 2 2 2" xfId="7222" xr:uid="{00000000-0005-0000-0000-00006C0D0000}"/>
    <cellStyle name="Currency 5 6 2 2 2 2" xfId="15658" xr:uid="{80044B48-8B26-4311-BCDA-86036CE2B3FB}"/>
    <cellStyle name="Currency 5 6 2 2 3" xfId="11440" xr:uid="{A4A60A33-ED46-4C1A-B5B0-5FD785DFC51E}"/>
    <cellStyle name="Currency 5 6 2 3" xfId="5077" xr:uid="{00000000-0005-0000-0000-00006D0D0000}"/>
    <cellStyle name="Currency 5 6 2 3 2" xfId="13513" xr:uid="{A651D7D7-F28D-475F-94C1-2ACD90CDABA2}"/>
    <cellStyle name="Currency 5 6 2 4" xfId="9295" xr:uid="{3317E4F7-F747-4BA1-8F32-303F5C325E83}"/>
    <cellStyle name="Currency 5 6 3" xfId="1181" xr:uid="{00000000-0005-0000-0000-00006E0D0000}"/>
    <cellStyle name="Currency 5 6 3 2" xfId="3412" xr:uid="{00000000-0005-0000-0000-00006F0D0000}"/>
    <cellStyle name="Currency 5 6 3 2 2" xfId="7635" xr:uid="{00000000-0005-0000-0000-0000700D0000}"/>
    <cellStyle name="Currency 5 6 3 2 2 2" xfId="16071" xr:uid="{AC1D8B38-CD7E-40E0-9E92-476FEC93B643}"/>
    <cellStyle name="Currency 5 6 3 2 3" xfId="11853" xr:uid="{E12C3783-5DEB-43CF-BFF6-F58248EC3540}"/>
    <cellStyle name="Currency 5 6 3 3" xfId="5490" xr:uid="{00000000-0005-0000-0000-0000710D0000}"/>
    <cellStyle name="Currency 5 6 3 3 2" xfId="13926" xr:uid="{9707F8E6-E72A-42B0-ABB4-2A8D3DF46030}"/>
    <cellStyle name="Currency 5 6 3 4" xfId="9708" xr:uid="{D751D1A6-569A-4FE6-9491-BE227A5DCB2A}"/>
    <cellStyle name="Currency 5 6 4" xfId="1595" xr:uid="{00000000-0005-0000-0000-0000720D0000}"/>
    <cellStyle name="Currency 5 6 4 2" xfId="3825" xr:uid="{00000000-0005-0000-0000-0000730D0000}"/>
    <cellStyle name="Currency 5 6 4 2 2" xfId="8048" xr:uid="{00000000-0005-0000-0000-0000740D0000}"/>
    <cellStyle name="Currency 5 6 4 2 2 2" xfId="16484" xr:uid="{05393BE8-269A-410A-A440-D511783B0ED6}"/>
    <cellStyle name="Currency 5 6 4 2 3" xfId="12266" xr:uid="{EFDDC686-9E56-4A07-9EA8-8A1E2C1B62A1}"/>
    <cellStyle name="Currency 5 6 4 3" xfId="5903" xr:uid="{00000000-0005-0000-0000-0000750D0000}"/>
    <cellStyle name="Currency 5 6 4 3 2" xfId="14339" xr:uid="{5FFEF478-F9C8-4071-82BB-62E46026A0AD}"/>
    <cellStyle name="Currency 5 6 4 4" xfId="10121" xr:uid="{335C2D04-DEE3-4DBB-B63D-B0BB29ADCEFC}"/>
    <cellStyle name="Currency 5 6 5" xfId="2009" xr:uid="{00000000-0005-0000-0000-0000760D0000}"/>
    <cellStyle name="Currency 5 6 5 2" xfId="4238" xr:uid="{00000000-0005-0000-0000-0000770D0000}"/>
    <cellStyle name="Currency 5 6 5 2 2" xfId="8461" xr:uid="{00000000-0005-0000-0000-0000780D0000}"/>
    <cellStyle name="Currency 5 6 5 2 2 2" xfId="16897" xr:uid="{F48E69A8-ACDD-4DB0-8956-660A7DAEF9BB}"/>
    <cellStyle name="Currency 5 6 5 2 3" xfId="12679" xr:uid="{9621FDC8-D502-4B29-8A02-B5513E4723AE}"/>
    <cellStyle name="Currency 5 6 5 3" xfId="6316" xr:uid="{00000000-0005-0000-0000-0000790D0000}"/>
    <cellStyle name="Currency 5 6 5 3 2" xfId="14752" xr:uid="{709A10D8-5450-42FE-A5D5-950197021D9D}"/>
    <cellStyle name="Currency 5 6 5 4" xfId="10534" xr:uid="{FCAAAE4F-431E-4A99-86A4-6805812B88E2}"/>
    <cellStyle name="Currency 5 6 6" xfId="2444" xr:uid="{00000000-0005-0000-0000-00007A0D0000}"/>
    <cellStyle name="Currency 5 6 6 2" xfId="6729" xr:uid="{00000000-0005-0000-0000-00007B0D0000}"/>
    <cellStyle name="Currency 5 6 6 2 2" xfId="15165" xr:uid="{6831FCCF-C0E0-45BF-A5C3-915F8C083130}"/>
    <cellStyle name="Currency 5 6 6 3" xfId="10947" xr:uid="{57E20DD3-497C-43E7-9E79-5921BADB6E99}"/>
    <cellStyle name="Currency 5 6 7" xfId="2741" xr:uid="{00000000-0005-0000-0000-00007C0D0000}"/>
    <cellStyle name="Currency 5 6 8" xfId="2822" xr:uid="{00000000-0005-0000-0000-00007D0D0000}"/>
    <cellStyle name="Currency 5 6 8 2" xfId="7046" xr:uid="{00000000-0005-0000-0000-00007E0D0000}"/>
    <cellStyle name="Currency 5 6 8 2 2" xfId="15482" xr:uid="{7D6DD6BD-6FC7-4D43-A4D4-BA2C68A18DC6}"/>
    <cellStyle name="Currency 5 6 8 3" xfId="11264" xr:uid="{D3C94431-EB8B-4EB6-9D1B-58CBBFB9CCE2}"/>
    <cellStyle name="Currency 5 6 9" xfId="4663" xr:uid="{00000000-0005-0000-0000-00007F0D0000}"/>
    <cellStyle name="Currency 5 6 9 2" xfId="13099" xr:uid="{C2E3780B-3F75-4711-9BD5-0A5FF716C6CE}"/>
    <cellStyle name="Currency 5 7" xfId="222" xr:uid="{00000000-0005-0000-0000-0000800D0000}"/>
    <cellStyle name="Currency 5 7 10" xfId="8882" xr:uid="{2D830F1A-87FF-44D4-9571-81B341882EE6}"/>
    <cellStyle name="Currency 5 7 2" xfId="748" xr:uid="{00000000-0005-0000-0000-0000810D0000}"/>
    <cellStyle name="Currency 5 7 2 2" xfId="3000" xr:uid="{00000000-0005-0000-0000-0000820D0000}"/>
    <cellStyle name="Currency 5 7 2 2 2" xfId="7223" xr:uid="{00000000-0005-0000-0000-0000830D0000}"/>
    <cellStyle name="Currency 5 7 2 2 2 2" xfId="15659" xr:uid="{0EACF633-A5C7-4483-B6BC-284E64054DFD}"/>
    <cellStyle name="Currency 5 7 2 2 3" xfId="11441" xr:uid="{E77778E5-A033-4500-8C49-A0A78A883DA1}"/>
    <cellStyle name="Currency 5 7 2 3" xfId="5078" xr:uid="{00000000-0005-0000-0000-0000840D0000}"/>
    <cellStyle name="Currency 5 7 2 3 2" xfId="13514" xr:uid="{46C62A80-F359-42C3-A63D-7D5CA1C0C64A}"/>
    <cellStyle name="Currency 5 7 2 4" xfId="9296" xr:uid="{FE605D70-420E-4984-BE1C-38505DB4C3DB}"/>
    <cellStyle name="Currency 5 7 3" xfId="1182" xr:uid="{00000000-0005-0000-0000-0000850D0000}"/>
    <cellStyle name="Currency 5 7 3 2" xfId="3413" xr:uid="{00000000-0005-0000-0000-0000860D0000}"/>
    <cellStyle name="Currency 5 7 3 2 2" xfId="7636" xr:uid="{00000000-0005-0000-0000-0000870D0000}"/>
    <cellStyle name="Currency 5 7 3 2 2 2" xfId="16072" xr:uid="{50131FF0-EC22-4F78-B5B7-510D140B892F}"/>
    <cellStyle name="Currency 5 7 3 2 3" xfId="11854" xr:uid="{D82A1B8C-34FD-4CF9-A8F5-55E31C19B817}"/>
    <cellStyle name="Currency 5 7 3 3" xfId="5491" xr:uid="{00000000-0005-0000-0000-0000880D0000}"/>
    <cellStyle name="Currency 5 7 3 3 2" xfId="13927" xr:uid="{646BAD90-7AA8-4230-B20F-E370B58A454F}"/>
    <cellStyle name="Currency 5 7 3 4" xfId="9709" xr:uid="{5201A314-9488-416D-A4A9-89350ED9F68E}"/>
    <cellStyle name="Currency 5 7 4" xfId="1596" xr:uid="{00000000-0005-0000-0000-0000890D0000}"/>
    <cellStyle name="Currency 5 7 4 2" xfId="3826" xr:uid="{00000000-0005-0000-0000-00008A0D0000}"/>
    <cellStyle name="Currency 5 7 4 2 2" xfId="8049" xr:uid="{00000000-0005-0000-0000-00008B0D0000}"/>
    <cellStyle name="Currency 5 7 4 2 2 2" xfId="16485" xr:uid="{7404150A-BFFB-42B4-B865-8FEDFAD5960A}"/>
    <cellStyle name="Currency 5 7 4 2 3" xfId="12267" xr:uid="{3A606F97-ABA6-43F6-8D77-6E5EF16E1A62}"/>
    <cellStyle name="Currency 5 7 4 3" xfId="5904" xr:uid="{00000000-0005-0000-0000-00008C0D0000}"/>
    <cellStyle name="Currency 5 7 4 3 2" xfId="14340" xr:uid="{966A8FB7-C336-4A16-A601-91DAB620846B}"/>
    <cellStyle name="Currency 5 7 4 4" xfId="10122" xr:uid="{39777CFE-6E21-409B-AC47-9621C0C6304F}"/>
    <cellStyle name="Currency 5 7 5" xfId="2010" xr:uid="{00000000-0005-0000-0000-00008D0D0000}"/>
    <cellStyle name="Currency 5 7 5 2" xfId="4239" xr:uid="{00000000-0005-0000-0000-00008E0D0000}"/>
    <cellStyle name="Currency 5 7 5 2 2" xfId="8462" xr:uid="{00000000-0005-0000-0000-00008F0D0000}"/>
    <cellStyle name="Currency 5 7 5 2 2 2" xfId="16898" xr:uid="{56D279D1-5D6B-4452-BF81-948A1D443FE2}"/>
    <cellStyle name="Currency 5 7 5 2 3" xfId="12680" xr:uid="{2C9A2E72-E5BF-4D8F-BB2B-FBC0249FEF14}"/>
    <cellStyle name="Currency 5 7 5 3" xfId="6317" xr:uid="{00000000-0005-0000-0000-0000900D0000}"/>
    <cellStyle name="Currency 5 7 5 3 2" xfId="14753" xr:uid="{98F55A66-9965-4800-9488-7607664F663E}"/>
    <cellStyle name="Currency 5 7 5 4" xfId="10535" xr:uid="{4E6D5DCB-3843-4A40-AA6D-E1E26CC6C5AD}"/>
    <cellStyle name="Currency 5 7 6" xfId="2445" xr:uid="{00000000-0005-0000-0000-0000910D0000}"/>
    <cellStyle name="Currency 5 7 6 2" xfId="6730" xr:uid="{00000000-0005-0000-0000-0000920D0000}"/>
    <cellStyle name="Currency 5 7 6 2 2" xfId="15166" xr:uid="{E4D4D839-223F-418A-B507-74741FDA7B78}"/>
    <cellStyle name="Currency 5 7 6 3" xfId="10948" xr:uid="{37FB063A-1FA5-457A-B8EB-3EAAF77287DB}"/>
    <cellStyle name="Currency 5 7 7" xfId="2742" xr:uid="{00000000-0005-0000-0000-0000930D0000}"/>
    <cellStyle name="Currency 5 7 8" xfId="2823" xr:uid="{00000000-0005-0000-0000-0000940D0000}"/>
    <cellStyle name="Currency 5 7 8 2" xfId="7047" xr:uid="{00000000-0005-0000-0000-0000950D0000}"/>
    <cellStyle name="Currency 5 7 8 2 2" xfId="15483" xr:uid="{8E49063B-542D-4420-ABA9-5093DF242E01}"/>
    <cellStyle name="Currency 5 7 8 3" xfId="11265" xr:uid="{D284D952-9306-4BDC-A902-D3D696135D01}"/>
    <cellStyle name="Currency 5 7 9" xfId="4664" xr:uid="{00000000-0005-0000-0000-0000960D0000}"/>
    <cellStyle name="Currency 5 7 9 2" xfId="13100" xr:uid="{2340798C-A4F2-47FE-9C94-5C21F883D488}"/>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67" xr:uid="{6A68D5DB-09D9-4B62-8E67-9F0451E90160}"/>
    <cellStyle name="Normal 12 10 3" xfId="10949" xr:uid="{CA844C9B-E3BE-4371-8B85-7545C813C811}"/>
    <cellStyle name="Normal 12 11" xfId="4665" xr:uid="{00000000-0005-0000-0000-0000CC0D0000}"/>
    <cellStyle name="Normal 12 11 2" xfId="13101" xr:uid="{3FDC0D8E-DA96-4BC8-834A-F9122503C508}"/>
    <cellStyle name="Normal 12 12" xfId="8883" xr:uid="{440E6B5D-725A-4233-9C1C-592262967806}"/>
    <cellStyle name="Normal 12 2" xfId="260" xr:uid="{00000000-0005-0000-0000-0000CD0D0000}"/>
    <cellStyle name="Normal 12 2 10" xfId="8884" xr:uid="{F333BA34-8D42-4608-8864-DB8BF63C531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3" xr:uid="{F6503A8D-2125-4F9B-8E77-24084C4785C8}"/>
    <cellStyle name="Normal 12 2 2 2 2 2 3" xfId="11445" xr:uid="{9E35A575-AC26-4B4F-929A-7F83DC60E611}"/>
    <cellStyle name="Normal 12 2 2 2 2 3" xfId="5082" xr:uid="{00000000-0005-0000-0000-0000D30D0000}"/>
    <cellStyle name="Normal 12 2 2 2 2 3 2" xfId="13518" xr:uid="{0AFB9899-F80C-472C-B3B2-9B7E2B343EC4}"/>
    <cellStyle name="Normal 12 2 2 2 2 4" xfId="9300" xr:uid="{314FB381-B25B-436A-ABFC-2909B31EEDB7}"/>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6" xr:uid="{20970F4C-0A32-4288-B3ED-EF4F48D3299C}"/>
    <cellStyle name="Normal 12 2 2 2 3 2 3" xfId="11858" xr:uid="{809B7E9F-4DDB-43D1-B430-2B2DBAD9F6DE}"/>
    <cellStyle name="Normal 12 2 2 2 3 3" xfId="5495" xr:uid="{00000000-0005-0000-0000-0000D70D0000}"/>
    <cellStyle name="Normal 12 2 2 2 3 3 2" xfId="13931" xr:uid="{2ED777F5-DC87-44B1-A7C6-6BD0C51FAD9D}"/>
    <cellStyle name="Normal 12 2 2 2 3 4" xfId="9713" xr:uid="{29171D54-F4D6-4A69-8AFA-5CF2B788CADF}"/>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89" xr:uid="{F678E63C-62C8-4573-B826-51A058D20A8F}"/>
    <cellStyle name="Normal 12 2 2 2 4 2 3" xfId="12271" xr:uid="{D8898F57-603C-46DE-9787-EC32D1766B9A}"/>
    <cellStyle name="Normal 12 2 2 2 4 3" xfId="5908" xr:uid="{00000000-0005-0000-0000-0000DB0D0000}"/>
    <cellStyle name="Normal 12 2 2 2 4 3 2" xfId="14344" xr:uid="{22188A5F-4002-4B83-A726-072832563E3D}"/>
    <cellStyle name="Normal 12 2 2 2 4 4" xfId="10126" xr:uid="{284DB392-E549-485F-AAF6-E5027BFE879F}"/>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2" xr:uid="{17EE41A1-5B46-493C-998A-575DB93D3E13}"/>
    <cellStyle name="Normal 12 2 2 2 5 2 3" xfId="12684" xr:uid="{D5521F19-521D-4431-A9A0-D8C6E680899F}"/>
    <cellStyle name="Normal 12 2 2 2 5 3" xfId="6321" xr:uid="{00000000-0005-0000-0000-0000DF0D0000}"/>
    <cellStyle name="Normal 12 2 2 2 5 3 2" xfId="14757" xr:uid="{49F85D89-C37C-453C-B15C-D2C78AE3EA52}"/>
    <cellStyle name="Normal 12 2 2 2 5 4" xfId="10539" xr:uid="{32B86909-469A-4EEC-BA87-15ACE7BF6E3E}"/>
    <cellStyle name="Normal 12 2 2 2 6" xfId="2450" xr:uid="{00000000-0005-0000-0000-0000E00D0000}"/>
    <cellStyle name="Normal 12 2 2 2 6 2" xfId="6734" xr:uid="{00000000-0005-0000-0000-0000E10D0000}"/>
    <cellStyle name="Normal 12 2 2 2 6 2 2" xfId="15170" xr:uid="{959A192D-ED3C-4AE9-98B5-8984CF6F0487}"/>
    <cellStyle name="Normal 12 2 2 2 6 3" xfId="10952" xr:uid="{962B3FA5-F099-4FD6-BECB-42E6005295B8}"/>
    <cellStyle name="Normal 12 2 2 2 7" xfId="4668" xr:uid="{00000000-0005-0000-0000-0000E20D0000}"/>
    <cellStyle name="Normal 12 2 2 2 7 2" xfId="13104" xr:uid="{617570DB-9ADD-4A08-8224-C1826BB1EE11}"/>
    <cellStyle name="Normal 12 2 2 2 8" xfId="8886" xr:uid="{C87C8AEF-1682-4227-A809-8DA0D0DEA278}"/>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2" xr:uid="{33DC2585-8024-438C-AA83-6E7AF10BC9BA}"/>
    <cellStyle name="Normal 12 2 2 3 2 3" xfId="11444" xr:uid="{F532992D-4628-4419-9AD4-E66C4592D7AF}"/>
    <cellStyle name="Normal 12 2 2 3 3" xfId="5081" xr:uid="{00000000-0005-0000-0000-0000E60D0000}"/>
    <cellStyle name="Normal 12 2 2 3 3 2" xfId="13517" xr:uid="{2AF93839-F7AA-418A-A603-73AD32C4FA08}"/>
    <cellStyle name="Normal 12 2 2 3 4" xfId="9299" xr:uid="{C151C1C6-D046-4026-878F-D66218B0EDDA}"/>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5" xr:uid="{9DF77B11-1866-4D06-8DD8-88DCD68AA8E0}"/>
    <cellStyle name="Normal 12 2 2 4 2 3" xfId="11857" xr:uid="{146F2AA6-06BD-41DC-865D-D2754D4BEE0C}"/>
    <cellStyle name="Normal 12 2 2 4 3" xfId="5494" xr:uid="{00000000-0005-0000-0000-0000EA0D0000}"/>
    <cellStyle name="Normal 12 2 2 4 3 2" xfId="13930" xr:uid="{C8532760-3D41-4BE1-AC12-71E8BC2D0270}"/>
    <cellStyle name="Normal 12 2 2 4 4" xfId="9712" xr:uid="{9B7C3D9F-170B-46E1-A555-8F4B53016D2C}"/>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88" xr:uid="{2D335810-6A0D-4FAB-894A-50731FA6AF31}"/>
    <cellStyle name="Normal 12 2 2 5 2 3" xfId="12270" xr:uid="{DD327E39-D34D-4330-864D-B13E33A8B3A5}"/>
    <cellStyle name="Normal 12 2 2 5 3" xfId="5907" xr:uid="{00000000-0005-0000-0000-0000EE0D0000}"/>
    <cellStyle name="Normal 12 2 2 5 3 2" xfId="14343" xr:uid="{6A4E9516-5CE6-401B-9C13-20448E87E6FA}"/>
    <cellStyle name="Normal 12 2 2 5 4" xfId="10125" xr:uid="{56449168-C55B-4C9D-87F1-5A7AC1529524}"/>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1" xr:uid="{F68301FB-B625-4BCB-A78A-A64D5D1234F0}"/>
    <cellStyle name="Normal 12 2 2 6 2 3" xfId="12683" xr:uid="{25698E5E-691F-497F-B344-D5567D6FEF6A}"/>
    <cellStyle name="Normal 12 2 2 6 3" xfId="6320" xr:uid="{00000000-0005-0000-0000-0000F20D0000}"/>
    <cellStyle name="Normal 12 2 2 6 3 2" xfId="14756" xr:uid="{E1B210BF-EB61-46D7-9583-BF3CB3588EE3}"/>
    <cellStyle name="Normal 12 2 2 6 4" xfId="10538" xr:uid="{107F2990-E78E-4306-B742-6346E721FD6B}"/>
    <cellStyle name="Normal 12 2 2 7" xfId="2449" xr:uid="{00000000-0005-0000-0000-0000F30D0000}"/>
    <cellStyle name="Normal 12 2 2 7 2" xfId="6733" xr:uid="{00000000-0005-0000-0000-0000F40D0000}"/>
    <cellStyle name="Normal 12 2 2 7 2 2" xfId="15169" xr:uid="{6A91878B-E644-4295-9F64-FF6B71D4452E}"/>
    <cellStyle name="Normal 12 2 2 7 3" xfId="10951" xr:uid="{4718089A-F980-4717-9ACC-C080EC035BD7}"/>
    <cellStyle name="Normal 12 2 2 8" xfId="4667" xr:uid="{00000000-0005-0000-0000-0000F50D0000}"/>
    <cellStyle name="Normal 12 2 2 8 2" xfId="13103" xr:uid="{966EDA21-C655-49E0-85B9-13FF3AA9BEFA}"/>
    <cellStyle name="Normal 12 2 2 9" xfId="8885" xr:uid="{8C003643-E3F9-4C62-9E33-92F3BEB59F8E}"/>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4" xr:uid="{F095AFC4-B431-4155-8A24-8119D1167FBB}"/>
    <cellStyle name="Normal 12 2 3 2 2 3" xfId="11446" xr:uid="{0171FF7F-424A-4D21-9548-44F59528F06C}"/>
    <cellStyle name="Normal 12 2 3 2 3" xfId="5083" xr:uid="{00000000-0005-0000-0000-0000FA0D0000}"/>
    <cellStyle name="Normal 12 2 3 2 3 2" xfId="13519" xr:uid="{4E573C79-A7B5-416F-9099-EEF813C5A8AE}"/>
    <cellStyle name="Normal 12 2 3 2 4" xfId="9301" xr:uid="{D18353E4-D84A-489F-8502-C78FFFDCBF5E}"/>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77" xr:uid="{D8B02CA6-72C2-47BB-9916-E37940EEA624}"/>
    <cellStyle name="Normal 12 2 3 3 2 3" xfId="11859" xr:uid="{33E2E446-DD76-40A0-8D21-734F43D50975}"/>
    <cellStyle name="Normal 12 2 3 3 3" xfId="5496" xr:uid="{00000000-0005-0000-0000-0000FE0D0000}"/>
    <cellStyle name="Normal 12 2 3 3 3 2" xfId="13932" xr:uid="{2AFDE499-3D93-450C-88E3-9F55A2C5811A}"/>
    <cellStyle name="Normal 12 2 3 3 4" xfId="9714" xr:uid="{76ADF50C-BEAF-485D-A135-585871F6CAEF}"/>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0" xr:uid="{6D0B5493-51EE-444B-9763-5CC5964024E5}"/>
    <cellStyle name="Normal 12 2 3 4 2 3" xfId="12272" xr:uid="{F033BDFB-AB0B-44AE-AC58-0F4EA366F9DB}"/>
    <cellStyle name="Normal 12 2 3 4 3" xfId="5909" xr:uid="{00000000-0005-0000-0000-0000020E0000}"/>
    <cellStyle name="Normal 12 2 3 4 3 2" xfId="14345" xr:uid="{995F5B45-6037-4E60-9E1D-A968FCD77359}"/>
    <cellStyle name="Normal 12 2 3 4 4" xfId="10127" xr:uid="{0F20951D-50A7-459A-8CB5-BBECAD9E70A2}"/>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3" xr:uid="{95B0D78B-BEF9-4694-A59A-B27ED219295B}"/>
    <cellStyle name="Normal 12 2 3 5 2 3" xfId="12685" xr:uid="{89CF2BC4-0CB1-43CE-A0A7-E0E5683A6887}"/>
    <cellStyle name="Normal 12 2 3 5 3" xfId="6322" xr:uid="{00000000-0005-0000-0000-0000060E0000}"/>
    <cellStyle name="Normal 12 2 3 5 3 2" xfId="14758" xr:uid="{7B61C275-6BC7-42D9-8F13-45D1A32BEAE0}"/>
    <cellStyle name="Normal 12 2 3 5 4" xfId="10540" xr:uid="{3DAF4184-2435-4BB6-805C-30735F1B0DBD}"/>
    <cellStyle name="Normal 12 2 3 6" xfId="2451" xr:uid="{00000000-0005-0000-0000-0000070E0000}"/>
    <cellStyle name="Normal 12 2 3 6 2" xfId="6735" xr:uid="{00000000-0005-0000-0000-0000080E0000}"/>
    <cellStyle name="Normal 12 2 3 6 2 2" xfId="15171" xr:uid="{45C66127-B864-4505-B796-66EC61304256}"/>
    <cellStyle name="Normal 12 2 3 6 3" xfId="10953" xr:uid="{7421DC19-D7BD-41E6-A865-632166D7CF95}"/>
    <cellStyle name="Normal 12 2 3 7" xfId="4669" xr:uid="{00000000-0005-0000-0000-0000090E0000}"/>
    <cellStyle name="Normal 12 2 3 7 2" xfId="13105" xr:uid="{D02390F1-1B9B-4920-94E9-C27F4DBEBD70}"/>
    <cellStyle name="Normal 12 2 3 8" xfId="8887" xr:uid="{C3488915-16EA-42F4-9A2A-1C87AEF2868F}"/>
    <cellStyle name="Normal 12 2 4" xfId="761" xr:uid="{00000000-0005-0000-0000-00000A0E0000}"/>
    <cellStyle name="Normal 12 2 4 2" xfId="3002" xr:uid="{00000000-0005-0000-0000-00000B0E0000}"/>
    <cellStyle name="Normal 12 2 4 2 2" xfId="7225" xr:uid="{00000000-0005-0000-0000-00000C0E0000}"/>
    <cellStyle name="Normal 12 2 4 2 2 2" xfId="15661" xr:uid="{92C75844-9FF0-4365-BF5D-A26046D448BE}"/>
    <cellStyle name="Normal 12 2 4 2 3" xfId="11443" xr:uid="{B9F69FC4-5808-44A4-B1C8-14F1B2EB9BBD}"/>
    <cellStyle name="Normal 12 2 4 3" xfId="5080" xr:uid="{00000000-0005-0000-0000-00000D0E0000}"/>
    <cellStyle name="Normal 12 2 4 3 2" xfId="13516" xr:uid="{2FE81D3F-8F91-4FBD-97E9-26C7C4EE26C1}"/>
    <cellStyle name="Normal 12 2 4 4" xfId="9298" xr:uid="{8AB68358-0A26-409D-A355-53CB8E091DD8}"/>
    <cellStyle name="Normal 12 2 5" xfId="1184" xr:uid="{00000000-0005-0000-0000-00000E0E0000}"/>
    <cellStyle name="Normal 12 2 5 2" xfId="3415" xr:uid="{00000000-0005-0000-0000-00000F0E0000}"/>
    <cellStyle name="Normal 12 2 5 2 2" xfId="7638" xr:uid="{00000000-0005-0000-0000-0000100E0000}"/>
    <cellStyle name="Normal 12 2 5 2 2 2" xfId="16074" xr:uid="{BD50996F-B3C7-4093-AE4F-785F0C1C2D02}"/>
    <cellStyle name="Normal 12 2 5 2 3" xfId="11856" xr:uid="{87F8436E-3E7A-4EFA-B22E-EA24E6527FD2}"/>
    <cellStyle name="Normal 12 2 5 3" xfId="5493" xr:uid="{00000000-0005-0000-0000-0000110E0000}"/>
    <cellStyle name="Normal 12 2 5 3 2" xfId="13929" xr:uid="{DD17BC1C-809E-459B-9566-147E5393EA92}"/>
    <cellStyle name="Normal 12 2 5 4" xfId="9711" xr:uid="{20844EEF-0E8C-48F2-A7B2-0E4787CC0871}"/>
    <cellStyle name="Normal 12 2 6" xfId="1598" xr:uid="{00000000-0005-0000-0000-0000120E0000}"/>
    <cellStyle name="Normal 12 2 6 2" xfId="3828" xr:uid="{00000000-0005-0000-0000-0000130E0000}"/>
    <cellStyle name="Normal 12 2 6 2 2" xfId="8051" xr:uid="{00000000-0005-0000-0000-0000140E0000}"/>
    <cellStyle name="Normal 12 2 6 2 2 2" xfId="16487" xr:uid="{697B4D21-27F3-40AA-8C38-3CE1C234C446}"/>
    <cellStyle name="Normal 12 2 6 2 3" xfId="12269" xr:uid="{77A0BF75-6EEC-45D6-B2A5-B461FE2C0EFE}"/>
    <cellStyle name="Normal 12 2 6 3" xfId="5906" xr:uid="{00000000-0005-0000-0000-0000150E0000}"/>
    <cellStyle name="Normal 12 2 6 3 2" xfId="14342" xr:uid="{4A6CB261-7BD7-4E76-B673-905836E81607}"/>
    <cellStyle name="Normal 12 2 6 4" xfId="10124" xr:uid="{F5CA027E-F88C-4F06-A85E-5C7AFFD6360E}"/>
    <cellStyle name="Normal 12 2 7" xfId="2012" xr:uid="{00000000-0005-0000-0000-0000160E0000}"/>
    <cellStyle name="Normal 12 2 7 2" xfId="4241" xr:uid="{00000000-0005-0000-0000-0000170E0000}"/>
    <cellStyle name="Normal 12 2 7 2 2" xfId="8464" xr:uid="{00000000-0005-0000-0000-0000180E0000}"/>
    <cellStyle name="Normal 12 2 7 2 2 2" xfId="16900" xr:uid="{4835B36E-D80F-4976-B610-8280BE350F22}"/>
    <cellStyle name="Normal 12 2 7 2 3" xfId="12682" xr:uid="{C5C36A91-F0C7-4A32-BEC5-BB916EA61DB3}"/>
    <cellStyle name="Normal 12 2 7 3" xfId="6319" xr:uid="{00000000-0005-0000-0000-0000190E0000}"/>
    <cellStyle name="Normal 12 2 7 3 2" xfId="14755" xr:uid="{AB841502-281E-47DB-A289-D8EE1CAFC7E0}"/>
    <cellStyle name="Normal 12 2 7 4" xfId="10537" xr:uid="{BB851627-F448-4555-B24B-502BA6E9027B}"/>
    <cellStyle name="Normal 12 2 8" xfId="2448" xr:uid="{00000000-0005-0000-0000-00001A0E0000}"/>
    <cellStyle name="Normal 12 2 8 2" xfId="6732" xr:uid="{00000000-0005-0000-0000-00001B0E0000}"/>
    <cellStyle name="Normal 12 2 8 2 2" xfId="15168" xr:uid="{B78BBB1D-5023-474A-BEBA-FBD1CE3FC1AD}"/>
    <cellStyle name="Normal 12 2 8 3" xfId="10950" xr:uid="{97B5DE11-6FE7-4EBE-A5ED-4A1CBE2F9DBD}"/>
    <cellStyle name="Normal 12 2 9" xfId="4666" xr:uid="{00000000-0005-0000-0000-00001C0E0000}"/>
    <cellStyle name="Normal 12 2 9 2" xfId="13102" xr:uid="{1D5058EC-F47B-450A-84B4-63A0FFCD23D4}"/>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6" xr:uid="{72C27EBC-C82E-4D29-8D0E-6E92F4EF9A43}"/>
    <cellStyle name="Normal 12 3 2 2 2 3" xfId="11448" xr:uid="{ECC8D1FF-A550-4472-B01A-A9244E024DB7}"/>
    <cellStyle name="Normal 12 3 2 2 3" xfId="5085" xr:uid="{00000000-0005-0000-0000-0000220E0000}"/>
    <cellStyle name="Normal 12 3 2 2 3 2" xfId="13521" xr:uid="{94FC3CAE-1C99-4D5B-A527-EA85AA6747C7}"/>
    <cellStyle name="Normal 12 3 2 2 4" xfId="9303" xr:uid="{5B66E3BA-366B-43D7-A6A1-CD152A8659EC}"/>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79" xr:uid="{CFCDA254-9A9A-4A60-BD43-402031228B5A}"/>
    <cellStyle name="Normal 12 3 2 3 2 3" xfId="11861" xr:uid="{85E583C7-7812-40D5-B3D9-0453F935C879}"/>
    <cellStyle name="Normal 12 3 2 3 3" xfId="5498" xr:uid="{00000000-0005-0000-0000-0000260E0000}"/>
    <cellStyle name="Normal 12 3 2 3 3 2" xfId="13934" xr:uid="{2E79B32D-45BA-4945-A1CB-48214DA3E6D6}"/>
    <cellStyle name="Normal 12 3 2 3 4" xfId="9716" xr:uid="{FF86243C-BC38-40F1-9FF2-E60587179795}"/>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2" xr:uid="{122A8059-4D4C-4651-A281-42C915FB6C1C}"/>
    <cellStyle name="Normal 12 3 2 4 2 3" xfId="12274" xr:uid="{117BB389-BFC8-4DB5-8486-DBF87BD91DA9}"/>
    <cellStyle name="Normal 12 3 2 4 3" xfId="5911" xr:uid="{00000000-0005-0000-0000-00002A0E0000}"/>
    <cellStyle name="Normal 12 3 2 4 3 2" xfId="14347" xr:uid="{1BEAE5C3-70EB-4203-A0E8-3DB479A7C585}"/>
    <cellStyle name="Normal 12 3 2 4 4" xfId="10129" xr:uid="{CA4F0A17-CA36-4D9C-AA52-79BCFB098820}"/>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5" xr:uid="{34AFA806-FC40-495B-ACDB-48CAD57B5442}"/>
    <cellStyle name="Normal 12 3 2 5 2 3" xfId="12687" xr:uid="{5344F8CC-E90D-4173-AF82-78217C6C03CD}"/>
    <cellStyle name="Normal 12 3 2 5 3" xfId="6324" xr:uid="{00000000-0005-0000-0000-00002E0E0000}"/>
    <cellStyle name="Normal 12 3 2 5 3 2" xfId="14760" xr:uid="{E9942C89-C211-431C-9434-A21D76172B5D}"/>
    <cellStyle name="Normal 12 3 2 5 4" xfId="10542" xr:uid="{53C83A53-0546-47C0-B76B-64CFFABA2C2D}"/>
    <cellStyle name="Normal 12 3 2 6" xfId="2453" xr:uid="{00000000-0005-0000-0000-00002F0E0000}"/>
    <cellStyle name="Normal 12 3 2 6 2" xfId="6737" xr:uid="{00000000-0005-0000-0000-0000300E0000}"/>
    <cellStyle name="Normal 12 3 2 6 2 2" xfId="15173" xr:uid="{28357194-B135-484F-A798-0454014AA8CD}"/>
    <cellStyle name="Normal 12 3 2 6 3" xfId="10955" xr:uid="{3440E642-7BB5-4DF1-B128-770DED0AF821}"/>
    <cellStyle name="Normal 12 3 2 7" xfId="4671" xr:uid="{00000000-0005-0000-0000-0000310E0000}"/>
    <cellStyle name="Normal 12 3 2 7 2" xfId="13107" xr:uid="{F68CDA9C-E418-4FC3-82C4-CB5277C6C96A}"/>
    <cellStyle name="Normal 12 3 2 8" xfId="8889" xr:uid="{B4C1A763-8241-4E5F-883F-A60933398345}"/>
    <cellStyle name="Normal 12 3 3" xfId="765" xr:uid="{00000000-0005-0000-0000-0000320E0000}"/>
    <cellStyle name="Normal 12 3 3 2" xfId="3006" xr:uid="{00000000-0005-0000-0000-0000330E0000}"/>
    <cellStyle name="Normal 12 3 3 2 2" xfId="7229" xr:uid="{00000000-0005-0000-0000-0000340E0000}"/>
    <cellStyle name="Normal 12 3 3 2 2 2" xfId="15665" xr:uid="{CFA191BA-7B09-49AA-A51F-91A83CE07BF6}"/>
    <cellStyle name="Normal 12 3 3 2 3" xfId="11447" xr:uid="{A0B5A273-5C28-44B4-9279-393C4682F856}"/>
    <cellStyle name="Normal 12 3 3 3" xfId="5084" xr:uid="{00000000-0005-0000-0000-0000350E0000}"/>
    <cellStyle name="Normal 12 3 3 3 2" xfId="13520" xr:uid="{9E02785E-6065-48FE-9E9F-6087CEC43767}"/>
    <cellStyle name="Normal 12 3 3 4" xfId="9302" xr:uid="{7D5977A6-7F4A-42F0-B995-C6AFDFC55215}"/>
    <cellStyle name="Normal 12 3 4" xfId="1188" xr:uid="{00000000-0005-0000-0000-0000360E0000}"/>
    <cellStyle name="Normal 12 3 4 2" xfId="3419" xr:uid="{00000000-0005-0000-0000-0000370E0000}"/>
    <cellStyle name="Normal 12 3 4 2 2" xfId="7642" xr:uid="{00000000-0005-0000-0000-0000380E0000}"/>
    <cellStyle name="Normal 12 3 4 2 2 2" xfId="16078" xr:uid="{12107028-2973-40DD-8395-D57CE326C1BE}"/>
    <cellStyle name="Normal 12 3 4 2 3" xfId="11860" xr:uid="{7B6B41E3-A1B2-47EF-AFA1-96994A7D7272}"/>
    <cellStyle name="Normal 12 3 4 3" xfId="5497" xr:uid="{00000000-0005-0000-0000-0000390E0000}"/>
    <cellStyle name="Normal 12 3 4 3 2" xfId="13933" xr:uid="{08203780-B267-4F35-BCB9-B86A7DA35887}"/>
    <cellStyle name="Normal 12 3 4 4" xfId="9715" xr:uid="{93876219-6F8F-427F-AF25-41B907AEE3F2}"/>
    <cellStyle name="Normal 12 3 5" xfId="1602" xr:uid="{00000000-0005-0000-0000-00003A0E0000}"/>
    <cellStyle name="Normal 12 3 5 2" xfId="3832" xr:uid="{00000000-0005-0000-0000-00003B0E0000}"/>
    <cellStyle name="Normal 12 3 5 2 2" xfId="8055" xr:uid="{00000000-0005-0000-0000-00003C0E0000}"/>
    <cellStyle name="Normal 12 3 5 2 2 2" xfId="16491" xr:uid="{42CA7F8F-23CC-479A-816B-6845332B0A5A}"/>
    <cellStyle name="Normal 12 3 5 2 3" xfId="12273" xr:uid="{DC1776FF-8A4A-457D-85D6-A8D4270A23E5}"/>
    <cellStyle name="Normal 12 3 5 3" xfId="5910" xr:uid="{00000000-0005-0000-0000-00003D0E0000}"/>
    <cellStyle name="Normal 12 3 5 3 2" xfId="14346" xr:uid="{F37CDB60-A789-44B8-B0EB-072B0C7ED1CB}"/>
    <cellStyle name="Normal 12 3 5 4" xfId="10128" xr:uid="{FBA672C2-D7B1-46C8-B570-F2287A98F969}"/>
    <cellStyle name="Normal 12 3 6" xfId="2016" xr:uid="{00000000-0005-0000-0000-00003E0E0000}"/>
    <cellStyle name="Normal 12 3 6 2" xfId="4245" xr:uid="{00000000-0005-0000-0000-00003F0E0000}"/>
    <cellStyle name="Normal 12 3 6 2 2" xfId="8468" xr:uid="{00000000-0005-0000-0000-0000400E0000}"/>
    <cellStyle name="Normal 12 3 6 2 2 2" xfId="16904" xr:uid="{D0913351-C800-4F17-AE03-D0D57CF40C26}"/>
    <cellStyle name="Normal 12 3 6 2 3" xfId="12686" xr:uid="{A137D8AA-9246-46E2-9294-60E91EB9F807}"/>
    <cellStyle name="Normal 12 3 6 3" xfId="6323" xr:uid="{00000000-0005-0000-0000-0000410E0000}"/>
    <cellStyle name="Normal 12 3 6 3 2" xfId="14759" xr:uid="{95C3F1BA-98F2-4B29-ABF9-11E530DCF111}"/>
    <cellStyle name="Normal 12 3 6 4" xfId="10541" xr:uid="{E1B0687A-2005-4CB8-8B2D-3662E995FA9D}"/>
    <cellStyle name="Normal 12 3 7" xfId="2452" xr:uid="{00000000-0005-0000-0000-0000420E0000}"/>
    <cellStyle name="Normal 12 3 7 2" xfId="6736" xr:uid="{00000000-0005-0000-0000-0000430E0000}"/>
    <cellStyle name="Normal 12 3 7 2 2" xfId="15172" xr:uid="{178AF576-D559-479D-BA3C-B1878E339627}"/>
    <cellStyle name="Normal 12 3 7 3" xfId="10954" xr:uid="{1E06745A-8BFC-4816-84BB-8299BA90C449}"/>
    <cellStyle name="Normal 12 3 8" xfId="4670" xr:uid="{00000000-0005-0000-0000-0000440E0000}"/>
    <cellStyle name="Normal 12 3 8 2" xfId="13106" xr:uid="{FC784E7A-1608-47BF-9D4D-1F26E255D5A3}"/>
    <cellStyle name="Normal 12 3 9" xfId="8888" xr:uid="{E60019D1-ABE4-45D7-8690-5FA6E78C61DF}"/>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67" xr:uid="{98297BF5-0023-4322-811B-129ABCE80DD5}"/>
    <cellStyle name="Normal 12 4 2 2 3" xfId="11449" xr:uid="{6282E302-66A5-4501-8916-DA2A6A796848}"/>
    <cellStyle name="Normal 12 4 2 3" xfId="5086" xr:uid="{00000000-0005-0000-0000-0000490E0000}"/>
    <cellStyle name="Normal 12 4 2 3 2" xfId="13522" xr:uid="{1970CD76-FD24-4D10-8E55-BCE0B2406723}"/>
    <cellStyle name="Normal 12 4 2 4" xfId="9304" xr:uid="{14D8035A-B0E8-4741-8D2B-37D953CE96AC}"/>
    <cellStyle name="Normal 12 4 3" xfId="1190" xr:uid="{00000000-0005-0000-0000-00004A0E0000}"/>
    <cellStyle name="Normal 12 4 3 2" xfId="3421" xr:uid="{00000000-0005-0000-0000-00004B0E0000}"/>
    <cellStyle name="Normal 12 4 3 2 2" xfId="7644" xr:uid="{00000000-0005-0000-0000-00004C0E0000}"/>
    <cellStyle name="Normal 12 4 3 2 2 2" xfId="16080" xr:uid="{E8E176B9-69A0-402E-81B0-2117D7BAC50D}"/>
    <cellStyle name="Normal 12 4 3 2 3" xfId="11862" xr:uid="{309C2A88-B050-4757-994A-6C98EF50AF45}"/>
    <cellStyle name="Normal 12 4 3 3" xfId="5499" xr:uid="{00000000-0005-0000-0000-00004D0E0000}"/>
    <cellStyle name="Normal 12 4 3 3 2" xfId="13935" xr:uid="{9FAF351E-9BD1-4397-A517-90B65DE5A3C7}"/>
    <cellStyle name="Normal 12 4 3 4" xfId="9717" xr:uid="{03541F9D-FE0B-430A-B577-E3DE95CA7323}"/>
    <cellStyle name="Normal 12 4 4" xfId="1604" xr:uid="{00000000-0005-0000-0000-00004E0E0000}"/>
    <cellStyle name="Normal 12 4 4 2" xfId="3834" xr:uid="{00000000-0005-0000-0000-00004F0E0000}"/>
    <cellStyle name="Normal 12 4 4 2 2" xfId="8057" xr:uid="{00000000-0005-0000-0000-0000500E0000}"/>
    <cellStyle name="Normal 12 4 4 2 2 2" xfId="16493" xr:uid="{1FB10086-0B03-4CFE-9A44-7DE538B7D9AC}"/>
    <cellStyle name="Normal 12 4 4 2 3" xfId="12275" xr:uid="{463A4C4D-BCB4-4329-99F8-9E33EF6C4657}"/>
    <cellStyle name="Normal 12 4 4 3" xfId="5912" xr:uid="{00000000-0005-0000-0000-0000510E0000}"/>
    <cellStyle name="Normal 12 4 4 3 2" xfId="14348" xr:uid="{0E13A5ED-7CB0-49D0-B268-03A621B79F52}"/>
    <cellStyle name="Normal 12 4 4 4" xfId="10130" xr:uid="{E1D45D71-19EA-4464-8D55-91CCC49F81A1}"/>
    <cellStyle name="Normal 12 4 5" xfId="2018" xr:uid="{00000000-0005-0000-0000-0000520E0000}"/>
    <cellStyle name="Normal 12 4 5 2" xfId="4247" xr:uid="{00000000-0005-0000-0000-0000530E0000}"/>
    <cellStyle name="Normal 12 4 5 2 2" xfId="8470" xr:uid="{00000000-0005-0000-0000-0000540E0000}"/>
    <cellStyle name="Normal 12 4 5 2 2 2" xfId="16906" xr:uid="{253D0BF6-E0C3-4827-9E55-3B313084872E}"/>
    <cellStyle name="Normal 12 4 5 2 3" xfId="12688" xr:uid="{AE6EAD47-B846-4F15-A8C7-BBEE42C88C0F}"/>
    <cellStyle name="Normal 12 4 5 3" xfId="6325" xr:uid="{00000000-0005-0000-0000-0000550E0000}"/>
    <cellStyle name="Normal 12 4 5 3 2" xfId="14761" xr:uid="{542EE1EB-0972-48E0-AD81-3753FD1FADE3}"/>
    <cellStyle name="Normal 12 4 5 4" xfId="10543" xr:uid="{44FCE080-B6F3-49C6-82F3-6B9D1FC9A081}"/>
    <cellStyle name="Normal 12 4 6" xfId="2454" xr:uid="{00000000-0005-0000-0000-0000560E0000}"/>
    <cellStyle name="Normal 12 4 6 2" xfId="6738" xr:uid="{00000000-0005-0000-0000-0000570E0000}"/>
    <cellStyle name="Normal 12 4 6 2 2" xfId="15174" xr:uid="{B4DF54CC-54B5-4090-8AA9-2B9491B71949}"/>
    <cellStyle name="Normal 12 4 6 3" xfId="10956" xr:uid="{BB03D486-5885-42DF-A391-C4A081DCEC96}"/>
    <cellStyle name="Normal 12 4 7" xfId="4672" xr:uid="{00000000-0005-0000-0000-0000580E0000}"/>
    <cellStyle name="Normal 12 4 7 2" xfId="13108" xr:uid="{301BFCD0-D75E-4142-8820-E9DA1EBA0725}"/>
    <cellStyle name="Normal 12 4 8" xfId="8890" xr:uid="{01F49E4D-05BF-45BC-BBD7-9D8207742CA7}"/>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0" xr:uid="{E61E8AAA-0BD5-46F4-BD23-68D93614A147}"/>
    <cellStyle name="Normal 12 6 2 3" xfId="11442" xr:uid="{56AB64BF-2242-4E6D-90A4-FB441EDD847A}"/>
    <cellStyle name="Normal 12 6 3" xfId="5079" xr:uid="{00000000-0005-0000-0000-00005D0E0000}"/>
    <cellStyle name="Normal 12 6 3 2" xfId="13515" xr:uid="{DB3E3C0A-1DEF-465D-86EC-1020063D9956}"/>
    <cellStyle name="Normal 12 6 4" xfId="9297" xr:uid="{0F1A535C-A87E-4155-8020-1D59E470F2A3}"/>
    <cellStyle name="Normal 12 7" xfId="1183" xr:uid="{00000000-0005-0000-0000-00005E0E0000}"/>
    <cellStyle name="Normal 12 7 2" xfId="3414" xr:uid="{00000000-0005-0000-0000-00005F0E0000}"/>
    <cellStyle name="Normal 12 7 2 2" xfId="7637" xr:uid="{00000000-0005-0000-0000-0000600E0000}"/>
    <cellStyle name="Normal 12 7 2 2 2" xfId="16073" xr:uid="{E552B7F1-63DD-43F3-AEA6-BD5A0BA03FA0}"/>
    <cellStyle name="Normal 12 7 2 3" xfId="11855" xr:uid="{005A5F36-4C48-4CEC-AD52-35E9BBDAB6E9}"/>
    <cellStyle name="Normal 12 7 3" xfId="5492" xr:uid="{00000000-0005-0000-0000-0000610E0000}"/>
    <cellStyle name="Normal 12 7 3 2" xfId="13928" xr:uid="{E665A911-FF91-4258-B3BD-9089BD98AE05}"/>
    <cellStyle name="Normal 12 7 4" xfId="9710" xr:uid="{089D1C83-5130-49AE-A8F0-BC2CA656477E}"/>
    <cellStyle name="Normal 12 8" xfId="1597" xr:uid="{00000000-0005-0000-0000-0000620E0000}"/>
    <cellStyle name="Normal 12 8 2" xfId="3827" xr:uid="{00000000-0005-0000-0000-0000630E0000}"/>
    <cellStyle name="Normal 12 8 2 2" xfId="8050" xr:uid="{00000000-0005-0000-0000-0000640E0000}"/>
    <cellStyle name="Normal 12 8 2 2 2" xfId="16486" xr:uid="{7A30A4E2-BEAD-44C5-903C-A0A39989A8CC}"/>
    <cellStyle name="Normal 12 8 2 3" xfId="12268" xr:uid="{C4544365-2FD4-49D9-828B-ABF2D1412B98}"/>
    <cellStyle name="Normal 12 8 3" xfId="5905" xr:uid="{00000000-0005-0000-0000-0000650E0000}"/>
    <cellStyle name="Normal 12 8 3 2" xfId="14341" xr:uid="{1E847B87-6AB6-49D8-BA6A-96BA678A59E6}"/>
    <cellStyle name="Normal 12 8 4" xfId="10123" xr:uid="{665D35C9-DF2B-4C0A-8C45-8ECBB829DE52}"/>
    <cellStyle name="Normal 12 9" xfId="2011" xr:uid="{00000000-0005-0000-0000-0000660E0000}"/>
    <cellStyle name="Normal 12 9 2" xfId="4240" xr:uid="{00000000-0005-0000-0000-0000670E0000}"/>
    <cellStyle name="Normal 12 9 2 2" xfId="8463" xr:uid="{00000000-0005-0000-0000-0000680E0000}"/>
    <cellStyle name="Normal 12 9 2 2 2" xfId="16899" xr:uid="{EEC8FE9E-9DBF-446D-A699-9E9ED2C8FD68}"/>
    <cellStyle name="Normal 12 9 2 3" xfId="12681" xr:uid="{97B4D9EF-8D7F-4DA3-8F29-2C5C4171BE02}"/>
    <cellStyle name="Normal 12 9 3" xfId="6318" xr:uid="{00000000-0005-0000-0000-0000690E0000}"/>
    <cellStyle name="Normal 12 9 3 2" xfId="14754" xr:uid="{E5576FCD-C9EB-44A5-8A25-1791E2984DEB}"/>
    <cellStyle name="Normal 12 9 4" xfId="10536" xr:uid="{9063F39D-9886-446F-8528-B8F2C2EAF772}"/>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68" xr:uid="{4741020D-E136-4BED-8F15-19CD72ACF3A7}"/>
    <cellStyle name="Normal 14 2 2 3" xfId="11450" xr:uid="{6C8155CC-485C-41C7-A771-37BBAD0062C9}"/>
    <cellStyle name="Normal 14 2 3" xfId="5087" xr:uid="{00000000-0005-0000-0000-0000700E0000}"/>
    <cellStyle name="Normal 14 2 3 2" xfId="13523" xr:uid="{642097CF-C6D3-4970-A243-07E8A95E2126}"/>
    <cellStyle name="Normal 14 2 4" xfId="9305" xr:uid="{D2853EA1-6B2C-4762-8619-1A706306229A}"/>
    <cellStyle name="Normal 14 3" xfId="1191" xr:uid="{00000000-0005-0000-0000-0000710E0000}"/>
    <cellStyle name="Normal 14 3 2" xfId="3422" xr:uid="{00000000-0005-0000-0000-0000720E0000}"/>
    <cellStyle name="Normal 14 3 2 2" xfId="7645" xr:uid="{00000000-0005-0000-0000-0000730E0000}"/>
    <cellStyle name="Normal 14 3 2 2 2" xfId="16081" xr:uid="{AB968214-E2AD-4079-A844-627CE6DA4166}"/>
    <cellStyle name="Normal 14 3 2 3" xfId="11863" xr:uid="{88F4E7DA-381A-44A7-82A0-E52DFB420CC0}"/>
    <cellStyle name="Normal 14 3 3" xfId="5500" xr:uid="{00000000-0005-0000-0000-0000740E0000}"/>
    <cellStyle name="Normal 14 3 3 2" xfId="13936" xr:uid="{C790B8F9-564E-4DEA-A9C8-7529379D624E}"/>
    <cellStyle name="Normal 14 3 4" xfId="9718" xr:uid="{89E198E6-9E1F-4954-A873-96045D41DF3E}"/>
    <cellStyle name="Normal 14 4" xfId="1605" xr:uid="{00000000-0005-0000-0000-0000750E0000}"/>
    <cellStyle name="Normal 14 4 2" xfId="3835" xr:uid="{00000000-0005-0000-0000-0000760E0000}"/>
    <cellStyle name="Normal 14 4 2 2" xfId="8058" xr:uid="{00000000-0005-0000-0000-0000770E0000}"/>
    <cellStyle name="Normal 14 4 2 2 2" xfId="16494" xr:uid="{2511A327-32E3-47D6-AC54-C980CB3FEA72}"/>
    <cellStyle name="Normal 14 4 2 3" xfId="12276" xr:uid="{0B9A2F07-9C7A-4884-BCFD-DF72D415011D}"/>
    <cellStyle name="Normal 14 4 3" xfId="5913" xr:uid="{00000000-0005-0000-0000-0000780E0000}"/>
    <cellStyle name="Normal 14 4 3 2" xfId="14349" xr:uid="{631274DD-F62B-43E7-95FB-89F471561F30}"/>
    <cellStyle name="Normal 14 4 4" xfId="10131" xr:uid="{C3661F40-4753-42C0-8BFF-569EEA057B20}"/>
    <cellStyle name="Normal 14 5" xfId="2019" xr:uid="{00000000-0005-0000-0000-0000790E0000}"/>
    <cellStyle name="Normal 14 5 2" xfId="4248" xr:uid="{00000000-0005-0000-0000-00007A0E0000}"/>
    <cellStyle name="Normal 14 5 2 2" xfId="8471" xr:uid="{00000000-0005-0000-0000-00007B0E0000}"/>
    <cellStyle name="Normal 14 5 2 2 2" xfId="16907" xr:uid="{CB02ADAF-C940-4B43-B36B-8F3FA6BD047B}"/>
    <cellStyle name="Normal 14 5 2 3" xfId="12689" xr:uid="{49532CCB-2893-41D1-B963-E07410DAD89E}"/>
    <cellStyle name="Normal 14 5 3" xfId="6326" xr:uid="{00000000-0005-0000-0000-00007C0E0000}"/>
    <cellStyle name="Normal 14 5 3 2" xfId="14762" xr:uid="{E81B1358-EC12-4957-B144-015ABA9EFA92}"/>
    <cellStyle name="Normal 14 5 4" xfId="10544" xr:uid="{B8B6B624-EDD6-4733-85F7-0D77AEEC9B35}"/>
    <cellStyle name="Normal 14 6" xfId="2455" xr:uid="{00000000-0005-0000-0000-00007D0E0000}"/>
    <cellStyle name="Normal 14 6 2" xfId="6739" xr:uid="{00000000-0005-0000-0000-00007E0E0000}"/>
    <cellStyle name="Normal 14 6 2 2" xfId="15175" xr:uid="{B64CB09C-6368-4AE5-BC4D-8DFEA7FF2759}"/>
    <cellStyle name="Normal 14 6 3" xfId="10957" xr:uid="{A23DEAB4-E657-4969-957E-E4B7F54AC7B1}"/>
    <cellStyle name="Normal 14 7" xfId="4673" xr:uid="{00000000-0005-0000-0000-00007F0E0000}"/>
    <cellStyle name="Normal 14 7 2" xfId="13109" xr:uid="{B3A0936C-CE72-40FF-A184-25906C215057}"/>
    <cellStyle name="Normal 14 8" xfId="8891" xr:uid="{3505D8FC-B7BA-4C6F-8BAC-EC470F43B5A1}"/>
    <cellStyle name="Normal 15" xfId="4496" xr:uid="{00000000-0005-0000-0000-0000800E0000}"/>
    <cellStyle name="Normal 15 2" xfId="12935" xr:uid="{5B131C8D-20E1-43A9-9600-D21156EC9CA9}"/>
    <cellStyle name="Normal 16" xfId="4500" xr:uid="{00000000-0005-0000-0000-0000810E0000}"/>
    <cellStyle name="Normal 16 2" xfId="8716" xr:uid="{00000000-0005-0000-0000-0000820E0000}"/>
    <cellStyle name="Normal 16 2 2" xfId="17152" xr:uid="{7D77241A-4501-4D2F-8700-4497444F3A09}"/>
    <cellStyle name="Normal 16 3" xfId="8719" xr:uid="{3DE1BEEB-61FA-4094-B10F-9E0444F68763}"/>
    <cellStyle name="Normal 16 3 2" xfId="17155" xr:uid="{4E93D1A1-7D5E-4BB0-806A-F0447AEA205F}"/>
    <cellStyle name="Normal 16 4" xfId="12938" xr:uid="{2DBFD6AD-ED85-4DF0-813C-D63FA7ACC64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08" xr:uid="{F5CACF30-429F-48B2-BA88-E62C0A7F888D}"/>
    <cellStyle name="Normal 2 4 2 10 2 3" xfId="12690" xr:uid="{8C3FEBFB-8E63-4BE8-B21E-5B330B07BFB5}"/>
    <cellStyle name="Normal 2 4 2 10 3" xfId="6327" xr:uid="{00000000-0005-0000-0000-0000910E0000}"/>
    <cellStyle name="Normal 2 4 2 10 3 2" xfId="14763" xr:uid="{64D0CDC2-9FD4-4CAD-947C-CC6BDF6FCE87}"/>
    <cellStyle name="Normal 2 4 2 10 4" xfId="10545" xr:uid="{E7620F4D-689B-4E7B-9365-F8F1CCF85ADF}"/>
    <cellStyle name="Normal 2 4 2 11" xfId="2456" xr:uid="{00000000-0005-0000-0000-0000920E0000}"/>
    <cellStyle name="Normal 2 4 2 11 2" xfId="6740" xr:uid="{00000000-0005-0000-0000-0000930E0000}"/>
    <cellStyle name="Normal 2 4 2 11 2 2" xfId="15176" xr:uid="{ED9AF1F6-A07B-48C5-88FC-9015FB289267}"/>
    <cellStyle name="Normal 2 4 2 11 3" xfId="10958" xr:uid="{0F7AD70C-198F-4B2A-B6D5-76EEC1CB34BD}"/>
    <cellStyle name="Normal 2 4 2 12" xfId="4674" xr:uid="{00000000-0005-0000-0000-0000940E0000}"/>
    <cellStyle name="Normal 2 4 2 12 2" xfId="13110" xr:uid="{36353350-215B-4543-BB99-8B8DAE386012}"/>
    <cellStyle name="Normal 2 4 2 13" xfId="8892" xr:uid="{9D4C29A5-E414-4B3B-9D6A-A068CAFFBD7E}"/>
    <cellStyle name="Normal 2 4 2 2" xfId="280" xr:uid="{00000000-0005-0000-0000-0000950E0000}"/>
    <cellStyle name="Normal 2 4 2 3" xfId="281" xr:uid="{00000000-0005-0000-0000-0000960E0000}"/>
    <cellStyle name="Normal 2 4 2 3 10" xfId="4675" xr:uid="{00000000-0005-0000-0000-0000970E0000}"/>
    <cellStyle name="Normal 2 4 2 3 10 2" xfId="13111" xr:uid="{4AB15D94-E5BC-45A3-A7A2-BE04932DE8DC}"/>
    <cellStyle name="Normal 2 4 2 3 11" xfId="8893" xr:uid="{C15E6F21-0434-4261-BF36-7190C10B2B0A}"/>
    <cellStyle name="Normal 2 4 2 3 2" xfId="282" xr:uid="{00000000-0005-0000-0000-0000980E0000}"/>
    <cellStyle name="Normal 2 4 2 3 2 10" xfId="8894" xr:uid="{57C78660-CB90-4197-8A12-78251C8BBC01}"/>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3" xr:uid="{7376BE4D-13DE-4D61-B1A2-2331BCD5A08E}"/>
    <cellStyle name="Normal 2 4 2 3 2 2 2 2 2 3" xfId="11455" xr:uid="{310B8EAC-5F45-48E8-BBD8-AAD7F8F9A024}"/>
    <cellStyle name="Normal 2 4 2 3 2 2 2 2 3" xfId="5092" xr:uid="{00000000-0005-0000-0000-00009E0E0000}"/>
    <cellStyle name="Normal 2 4 2 3 2 2 2 2 3 2" xfId="13528" xr:uid="{20F13F18-3B35-43C6-8298-51FDEA5737FF}"/>
    <cellStyle name="Normal 2 4 2 3 2 2 2 2 4" xfId="9310" xr:uid="{CA5ED1F4-5BAC-4832-ABFC-7AEA7C876DFC}"/>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6" xr:uid="{44C50119-2BF6-4089-B37E-AE69DECB5F59}"/>
    <cellStyle name="Normal 2 4 2 3 2 2 2 3 2 3" xfId="11868" xr:uid="{3DF39820-269C-4C0C-9E18-806BFB873BD9}"/>
    <cellStyle name="Normal 2 4 2 3 2 2 2 3 3" xfId="5505" xr:uid="{00000000-0005-0000-0000-0000A20E0000}"/>
    <cellStyle name="Normal 2 4 2 3 2 2 2 3 3 2" xfId="13941" xr:uid="{83ABFABA-A746-4021-8BB1-3322B78C39B7}"/>
    <cellStyle name="Normal 2 4 2 3 2 2 2 3 4" xfId="9723" xr:uid="{24DBDB5E-DC90-48FA-A303-31B2EB00E4E7}"/>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499" xr:uid="{B3BA46E9-06B3-465F-A724-168D8B8EFE66}"/>
    <cellStyle name="Normal 2 4 2 3 2 2 2 4 2 3" xfId="12281" xr:uid="{9F0C5D36-752C-4A0C-8191-8D2DDA26683D}"/>
    <cellStyle name="Normal 2 4 2 3 2 2 2 4 3" xfId="5918" xr:uid="{00000000-0005-0000-0000-0000A60E0000}"/>
    <cellStyle name="Normal 2 4 2 3 2 2 2 4 3 2" xfId="14354" xr:uid="{29AC9725-D418-431B-ACDF-1437B07AC2E3}"/>
    <cellStyle name="Normal 2 4 2 3 2 2 2 4 4" xfId="10136" xr:uid="{2789D4AE-4B08-4DF0-BAE8-FF2C5BC2680A}"/>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2" xr:uid="{439246AA-8753-4A95-82FF-0756E7654B36}"/>
    <cellStyle name="Normal 2 4 2 3 2 2 2 5 2 3" xfId="12694" xr:uid="{27E51FE3-A5BD-4B0F-B693-3ADBDEFED7A3}"/>
    <cellStyle name="Normal 2 4 2 3 2 2 2 5 3" xfId="6331" xr:uid="{00000000-0005-0000-0000-0000AA0E0000}"/>
    <cellStyle name="Normal 2 4 2 3 2 2 2 5 3 2" xfId="14767" xr:uid="{35F6AA12-8D73-42AB-A1E6-6A6E0C8FB324}"/>
    <cellStyle name="Normal 2 4 2 3 2 2 2 5 4" xfId="10549" xr:uid="{5E35326C-94B6-4602-96EC-9FC2B0990EDD}"/>
    <cellStyle name="Normal 2 4 2 3 2 2 2 6" xfId="2460" xr:uid="{00000000-0005-0000-0000-0000AB0E0000}"/>
    <cellStyle name="Normal 2 4 2 3 2 2 2 6 2" xfId="6744" xr:uid="{00000000-0005-0000-0000-0000AC0E0000}"/>
    <cellStyle name="Normal 2 4 2 3 2 2 2 6 2 2" xfId="15180" xr:uid="{EE7DBBC0-0BC6-4C57-8219-1FF8A1FBA6F0}"/>
    <cellStyle name="Normal 2 4 2 3 2 2 2 6 3" xfId="10962" xr:uid="{C3351845-49CC-4983-8F6C-123F4401C417}"/>
    <cellStyle name="Normal 2 4 2 3 2 2 2 7" xfId="4678" xr:uid="{00000000-0005-0000-0000-0000AD0E0000}"/>
    <cellStyle name="Normal 2 4 2 3 2 2 2 7 2" xfId="13114" xr:uid="{60A678EF-0CD3-40D1-95C6-04E775E3921E}"/>
    <cellStyle name="Normal 2 4 2 3 2 2 2 8" xfId="8896" xr:uid="{8288BDFA-5163-41DC-872C-4E7AA6D886F2}"/>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2" xr:uid="{B650A708-1A1D-4FED-B3A6-526FC1FAD3E6}"/>
    <cellStyle name="Normal 2 4 2 3 2 2 3 2 3" xfId="11454" xr:uid="{F397D83C-8CD8-418D-B3AA-AF21EDD6364F}"/>
    <cellStyle name="Normal 2 4 2 3 2 2 3 3" xfId="5091" xr:uid="{00000000-0005-0000-0000-0000B10E0000}"/>
    <cellStyle name="Normal 2 4 2 3 2 2 3 3 2" xfId="13527" xr:uid="{3443303F-60CD-4907-922F-FDF616161343}"/>
    <cellStyle name="Normal 2 4 2 3 2 2 3 4" xfId="9309" xr:uid="{9F0287E0-F4D0-49D9-BF6B-E42180417CCB}"/>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5" xr:uid="{148EF932-ACEF-47F7-8F4D-5D0C1A80DF85}"/>
    <cellStyle name="Normal 2 4 2 3 2 2 4 2 3" xfId="11867" xr:uid="{3091914E-0B6C-43B2-817D-F0B5D87855E0}"/>
    <cellStyle name="Normal 2 4 2 3 2 2 4 3" xfId="5504" xr:uid="{00000000-0005-0000-0000-0000B50E0000}"/>
    <cellStyle name="Normal 2 4 2 3 2 2 4 3 2" xfId="13940" xr:uid="{9F267769-4F37-4F63-8794-6A942D4D779E}"/>
    <cellStyle name="Normal 2 4 2 3 2 2 4 4" xfId="9722" xr:uid="{2A75185D-F4B6-4A26-A607-B2F87BCA4B11}"/>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498" xr:uid="{D32E2F20-F6E9-40D4-BB3E-76448F13DA49}"/>
    <cellStyle name="Normal 2 4 2 3 2 2 5 2 3" xfId="12280" xr:uid="{C95C2FBB-65E8-48FA-9E8C-5C4D88AB28FD}"/>
    <cellStyle name="Normal 2 4 2 3 2 2 5 3" xfId="5917" xr:uid="{00000000-0005-0000-0000-0000B90E0000}"/>
    <cellStyle name="Normal 2 4 2 3 2 2 5 3 2" xfId="14353" xr:uid="{3BFF1EE7-7073-49E4-B060-D55611AC3A7E}"/>
    <cellStyle name="Normal 2 4 2 3 2 2 5 4" xfId="10135" xr:uid="{404C7064-5954-4DF7-817C-32A75178C3D8}"/>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1" xr:uid="{B0B949E5-7179-4BA8-8C9E-58BD977DDAAA}"/>
    <cellStyle name="Normal 2 4 2 3 2 2 6 2 3" xfId="12693" xr:uid="{296D8DA6-9FC4-4D86-BDA5-F36F7F9E7B44}"/>
    <cellStyle name="Normal 2 4 2 3 2 2 6 3" xfId="6330" xr:uid="{00000000-0005-0000-0000-0000BD0E0000}"/>
    <cellStyle name="Normal 2 4 2 3 2 2 6 3 2" xfId="14766" xr:uid="{C8DD236B-E47B-4FAF-93FF-E434AB8976E2}"/>
    <cellStyle name="Normal 2 4 2 3 2 2 6 4" xfId="10548" xr:uid="{E3D13DA8-15DA-4C5F-A881-48363E2B1D6D}"/>
    <cellStyle name="Normal 2 4 2 3 2 2 7" xfId="2459" xr:uid="{00000000-0005-0000-0000-0000BE0E0000}"/>
    <cellStyle name="Normal 2 4 2 3 2 2 7 2" xfId="6743" xr:uid="{00000000-0005-0000-0000-0000BF0E0000}"/>
    <cellStyle name="Normal 2 4 2 3 2 2 7 2 2" xfId="15179" xr:uid="{67BF7052-3957-4317-895A-BE46EEAF14DA}"/>
    <cellStyle name="Normal 2 4 2 3 2 2 7 3" xfId="10961" xr:uid="{A0996E43-8EFE-49BD-9330-248624FCB06E}"/>
    <cellStyle name="Normal 2 4 2 3 2 2 8" xfId="4677" xr:uid="{00000000-0005-0000-0000-0000C00E0000}"/>
    <cellStyle name="Normal 2 4 2 3 2 2 8 2" xfId="13113" xr:uid="{C4D32CB6-1697-48E3-B2E6-E2C0F5018563}"/>
    <cellStyle name="Normal 2 4 2 3 2 2 9" xfId="8895" xr:uid="{8D043B09-77AB-4D9B-A927-09B0C1FED2E6}"/>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4" xr:uid="{38FB22B8-5254-4510-983F-A746C966089D}"/>
    <cellStyle name="Normal 2 4 2 3 2 3 2 2 3" xfId="11456" xr:uid="{4ADAF90E-4DB2-44DD-B332-4B3D8D6064E0}"/>
    <cellStyle name="Normal 2 4 2 3 2 3 2 3" xfId="5093" xr:uid="{00000000-0005-0000-0000-0000C50E0000}"/>
    <cellStyle name="Normal 2 4 2 3 2 3 2 3 2" xfId="13529" xr:uid="{0D7982A9-D77F-4B12-B6DF-12895B7D35E0}"/>
    <cellStyle name="Normal 2 4 2 3 2 3 2 4" xfId="9311" xr:uid="{35195DE2-65AF-47F9-8894-7C3D94B0DD4D}"/>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87" xr:uid="{32B41D72-13E5-4BCC-826D-F956A83AC387}"/>
    <cellStyle name="Normal 2 4 2 3 2 3 3 2 3" xfId="11869" xr:uid="{0977D4B7-19D0-401A-8A9B-6E2750D17D36}"/>
    <cellStyle name="Normal 2 4 2 3 2 3 3 3" xfId="5506" xr:uid="{00000000-0005-0000-0000-0000C90E0000}"/>
    <cellStyle name="Normal 2 4 2 3 2 3 3 3 2" xfId="13942" xr:uid="{042D865A-E895-4E04-AF25-56588899D17C}"/>
    <cellStyle name="Normal 2 4 2 3 2 3 3 4" xfId="9724" xr:uid="{EFC2A38D-28FB-4B2F-B7DB-94BCDA5FD652}"/>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0" xr:uid="{A7E86CA4-8769-4CCA-8F25-C69E9823F030}"/>
    <cellStyle name="Normal 2 4 2 3 2 3 4 2 3" xfId="12282" xr:uid="{CDC5D64D-8595-4703-9DFB-AC529526A55F}"/>
    <cellStyle name="Normal 2 4 2 3 2 3 4 3" xfId="5919" xr:uid="{00000000-0005-0000-0000-0000CD0E0000}"/>
    <cellStyle name="Normal 2 4 2 3 2 3 4 3 2" xfId="14355" xr:uid="{A37FE3B3-1DE1-4128-BF78-9271CF24CC57}"/>
    <cellStyle name="Normal 2 4 2 3 2 3 4 4" xfId="10137" xr:uid="{E7BDDF44-4A12-41FE-BA0C-D2538AC15E9B}"/>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3" xr:uid="{1B8985A4-6C7C-49B8-A634-6556E060A837}"/>
    <cellStyle name="Normal 2 4 2 3 2 3 5 2 3" xfId="12695" xr:uid="{CF19BC12-5A05-4D56-9B74-42A2CD2E3145}"/>
    <cellStyle name="Normal 2 4 2 3 2 3 5 3" xfId="6332" xr:uid="{00000000-0005-0000-0000-0000D10E0000}"/>
    <cellStyle name="Normal 2 4 2 3 2 3 5 3 2" xfId="14768" xr:uid="{045FA056-5DE0-41D3-8464-538F53DEF80A}"/>
    <cellStyle name="Normal 2 4 2 3 2 3 5 4" xfId="10550" xr:uid="{84DFCEBF-5000-4708-BBEF-0CD05DCAC8C5}"/>
    <cellStyle name="Normal 2 4 2 3 2 3 6" xfId="2461" xr:uid="{00000000-0005-0000-0000-0000D20E0000}"/>
    <cellStyle name="Normal 2 4 2 3 2 3 6 2" xfId="6745" xr:uid="{00000000-0005-0000-0000-0000D30E0000}"/>
    <cellStyle name="Normal 2 4 2 3 2 3 6 2 2" xfId="15181" xr:uid="{96B1EEF7-BCE2-413D-A76A-58ACFEA16DB5}"/>
    <cellStyle name="Normal 2 4 2 3 2 3 6 3" xfId="10963" xr:uid="{EC0C250C-949B-4F74-9F94-9B28985226AF}"/>
    <cellStyle name="Normal 2 4 2 3 2 3 7" xfId="4679" xr:uid="{00000000-0005-0000-0000-0000D40E0000}"/>
    <cellStyle name="Normal 2 4 2 3 2 3 7 2" xfId="13115" xr:uid="{6805BB14-89C6-4C3E-AC92-DDD6892F757C}"/>
    <cellStyle name="Normal 2 4 2 3 2 3 8" xfId="8897" xr:uid="{7279B95B-B061-4A97-ACD9-A51DB538E873}"/>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1" xr:uid="{17712AE1-212E-4B43-9C9F-305B04A45F89}"/>
    <cellStyle name="Normal 2 4 2 3 2 4 2 3" xfId="11453" xr:uid="{CA06F952-1289-4087-B532-3B770B1FA521}"/>
    <cellStyle name="Normal 2 4 2 3 2 4 3" xfId="5090" xr:uid="{00000000-0005-0000-0000-0000D80E0000}"/>
    <cellStyle name="Normal 2 4 2 3 2 4 3 2" xfId="13526" xr:uid="{5D757A40-5BF0-4375-B704-DF46BBBE357C}"/>
    <cellStyle name="Normal 2 4 2 3 2 4 4" xfId="9308" xr:uid="{10D08431-498A-4920-9E1E-43EDDBA7D07E}"/>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4" xr:uid="{638C8437-75E7-4048-AD91-D1D6B7C1117F}"/>
    <cellStyle name="Normal 2 4 2 3 2 5 2 3" xfId="11866" xr:uid="{B474C5A5-F603-42F3-809B-C44A8FCF8BEB}"/>
    <cellStyle name="Normal 2 4 2 3 2 5 3" xfId="5503" xr:uid="{00000000-0005-0000-0000-0000DC0E0000}"/>
    <cellStyle name="Normal 2 4 2 3 2 5 3 2" xfId="13939" xr:uid="{031AE7A1-BB23-4D9A-932F-FAD1F4513914}"/>
    <cellStyle name="Normal 2 4 2 3 2 5 4" xfId="9721" xr:uid="{8CF213F9-D658-416D-9813-4E46CE8449A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497" xr:uid="{2F0EEDB3-8564-496A-9F2C-C79C0DADC216}"/>
    <cellStyle name="Normal 2 4 2 3 2 6 2 3" xfId="12279" xr:uid="{7C0FCCF2-0FD6-41F2-8F1B-A56AFDCDA4E7}"/>
    <cellStyle name="Normal 2 4 2 3 2 6 3" xfId="5916" xr:uid="{00000000-0005-0000-0000-0000E00E0000}"/>
    <cellStyle name="Normal 2 4 2 3 2 6 3 2" xfId="14352" xr:uid="{02792E2A-EAE8-4D90-AA78-E56F35D65AE3}"/>
    <cellStyle name="Normal 2 4 2 3 2 6 4" xfId="10134" xr:uid="{810BAA0B-69BE-4F98-B090-24D5FD5EC3F7}"/>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0" xr:uid="{562C447D-C8D1-4275-80DC-9A857DDE5E66}"/>
    <cellStyle name="Normal 2 4 2 3 2 7 2 3" xfId="12692" xr:uid="{200ED67F-76E1-43F5-AD28-7042DC707164}"/>
    <cellStyle name="Normal 2 4 2 3 2 7 3" xfId="6329" xr:uid="{00000000-0005-0000-0000-0000E40E0000}"/>
    <cellStyle name="Normal 2 4 2 3 2 7 3 2" xfId="14765" xr:uid="{DE2482CE-C66A-41B3-BA2E-94C23ED6E5F2}"/>
    <cellStyle name="Normal 2 4 2 3 2 7 4" xfId="10547" xr:uid="{C469070D-0B3D-4CD0-9E76-84AB6596DCC5}"/>
    <cellStyle name="Normal 2 4 2 3 2 8" xfId="2458" xr:uid="{00000000-0005-0000-0000-0000E50E0000}"/>
    <cellStyle name="Normal 2 4 2 3 2 8 2" xfId="6742" xr:uid="{00000000-0005-0000-0000-0000E60E0000}"/>
    <cellStyle name="Normal 2 4 2 3 2 8 2 2" xfId="15178" xr:uid="{355BA9C2-210B-49B6-BFB8-0DDA2A2EFF09}"/>
    <cellStyle name="Normal 2 4 2 3 2 8 3" xfId="10960" xr:uid="{DEB49EF4-ACAB-4825-A981-77BCF023BB24}"/>
    <cellStyle name="Normal 2 4 2 3 2 9" xfId="4676" xr:uid="{00000000-0005-0000-0000-0000E70E0000}"/>
    <cellStyle name="Normal 2 4 2 3 2 9 2" xfId="13112" xr:uid="{D0319AC1-8267-480B-931F-E80E79EEC55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6" xr:uid="{72D26662-0FAB-4C1D-8FD2-4C76C7875869}"/>
    <cellStyle name="Normal 2 4 2 3 3 2 2 2 3" xfId="11458" xr:uid="{CFB8C12B-168B-4699-AE7F-CC1ADA927339}"/>
    <cellStyle name="Normal 2 4 2 3 3 2 2 3" xfId="5095" xr:uid="{00000000-0005-0000-0000-0000ED0E0000}"/>
    <cellStyle name="Normal 2 4 2 3 3 2 2 3 2" xfId="13531" xr:uid="{C365F533-40F2-4740-A4EA-A0ED4AA5CBD2}"/>
    <cellStyle name="Normal 2 4 2 3 3 2 2 4" xfId="9313" xr:uid="{00B5294C-C9F2-4EF9-8154-BD309BCA4B38}"/>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89" xr:uid="{DFA9CC20-9217-4648-8D7F-7904C6E39952}"/>
    <cellStyle name="Normal 2 4 2 3 3 2 3 2 3" xfId="11871" xr:uid="{84509678-76E2-43E6-A02A-80BD0BE414BE}"/>
    <cellStyle name="Normal 2 4 2 3 3 2 3 3" xfId="5508" xr:uid="{00000000-0005-0000-0000-0000F10E0000}"/>
    <cellStyle name="Normal 2 4 2 3 3 2 3 3 2" xfId="13944" xr:uid="{BA685961-6582-454D-B48D-D57C386D494A}"/>
    <cellStyle name="Normal 2 4 2 3 3 2 3 4" xfId="9726" xr:uid="{45AADE3B-EA9C-4D43-A248-7505B83974AF}"/>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2" xr:uid="{BBDF2564-5237-45FD-98F0-FB35E00ED6E1}"/>
    <cellStyle name="Normal 2 4 2 3 3 2 4 2 3" xfId="12284" xr:uid="{316D1FFF-14B4-4E8E-B1F7-21701AB2FCC1}"/>
    <cellStyle name="Normal 2 4 2 3 3 2 4 3" xfId="5921" xr:uid="{00000000-0005-0000-0000-0000F50E0000}"/>
    <cellStyle name="Normal 2 4 2 3 3 2 4 3 2" xfId="14357" xr:uid="{D4F4C18D-734F-47AE-95CA-6E9E4C5B47E3}"/>
    <cellStyle name="Normal 2 4 2 3 3 2 4 4" xfId="10139" xr:uid="{C343526A-AEAE-4CE9-96FB-4AAB6E5F1405}"/>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5" xr:uid="{9893152F-C8A5-43FB-84F7-BA5AF2CB4524}"/>
    <cellStyle name="Normal 2 4 2 3 3 2 5 2 3" xfId="12697" xr:uid="{7846FA0E-217E-4D53-8220-9AE471F5DF1E}"/>
    <cellStyle name="Normal 2 4 2 3 3 2 5 3" xfId="6334" xr:uid="{00000000-0005-0000-0000-0000F90E0000}"/>
    <cellStyle name="Normal 2 4 2 3 3 2 5 3 2" xfId="14770" xr:uid="{6C6159B7-F226-42C5-9795-867A1BA0741E}"/>
    <cellStyle name="Normal 2 4 2 3 3 2 5 4" xfId="10552" xr:uid="{EFC21832-E10D-426B-A6DF-2B8F01E48ABC}"/>
    <cellStyle name="Normal 2 4 2 3 3 2 6" xfId="2463" xr:uid="{00000000-0005-0000-0000-0000FA0E0000}"/>
    <cellStyle name="Normal 2 4 2 3 3 2 6 2" xfId="6747" xr:uid="{00000000-0005-0000-0000-0000FB0E0000}"/>
    <cellStyle name="Normal 2 4 2 3 3 2 6 2 2" xfId="15183" xr:uid="{2E08080C-659D-4E55-9B48-7C410B6CCED6}"/>
    <cellStyle name="Normal 2 4 2 3 3 2 6 3" xfId="10965" xr:uid="{FFA139B1-A07F-4649-8FB2-20ABD0ACAD23}"/>
    <cellStyle name="Normal 2 4 2 3 3 2 7" xfId="4681" xr:uid="{00000000-0005-0000-0000-0000FC0E0000}"/>
    <cellStyle name="Normal 2 4 2 3 3 2 7 2" xfId="13117" xr:uid="{4CB6C54C-4450-422E-8186-143D39955411}"/>
    <cellStyle name="Normal 2 4 2 3 3 2 8" xfId="8899" xr:uid="{F16FB458-6AA0-4DD9-A832-092333763BE1}"/>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5" xr:uid="{56612497-356C-4708-9F3C-7F880F95FCCF}"/>
    <cellStyle name="Normal 2 4 2 3 3 3 2 3" xfId="11457" xr:uid="{ADD0D2AB-8677-4B26-81C8-09AA20213BEB}"/>
    <cellStyle name="Normal 2 4 2 3 3 3 3" xfId="5094" xr:uid="{00000000-0005-0000-0000-0000000F0000}"/>
    <cellStyle name="Normal 2 4 2 3 3 3 3 2" xfId="13530" xr:uid="{6884882E-EF54-4616-BE19-89B9C6601908}"/>
    <cellStyle name="Normal 2 4 2 3 3 3 4" xfId="9312" xr:uid="{3D3C00F3-18FE-427B-A9E5-47CFC6A6E15E}"/>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88" xr:uid="{B8A7B20C-B3FC-4F57-8D04-94E27E59F4A5}"/>
    <cellStyle name="Normal 2 4 2 3 3 4 2 3" xfId="11870" xr:uid="{486FAC85-8FD1-4DB1-A56C-0E604994B9AB}"/>
    <cellStyle name="Normal 2 4 2 3 3 4 3" xfId="5507" xr:uid="{00000000-0005-0000-0000-0000040F0000}"/>
    <cellStyle name="Normal 2 4 2 3 3 4 3 2" xfId="13943" xr:uid="{58A1DB7F-8E2D-4095-BDC8-5A72DCE91E8D}"/>
    <cellStyle name="Normal 2 4 2 3 3 4 4" xfId="9725" xr:uid="{31759C44-74FB-4A6F-BFC3-011E8E09243D}"/>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1" xr:uid="{269AC237-80EA-4029-B2C7-77B886FC3E37}"/>
    <cellStyle name="Normal 2 4 2 3 3 5 2 3" xfId="12283" xr:uid="{5DD0BCD1-4B84-4DF4-BCDB-7C2124302716}"/>
    <cellStyle name="Normal 2 4 2 3 3 5 3" xfId="5920" xr:uid="{00000000-0005-0000-0000-0000080F0000}"/>
    <cellStyle name="Normal 2 4 2 3 3 5 3 2" xfId="14356" xr:uid="{208C88EB-5506-4BC2-A736-8012696977B9}"/>
    <cellStyle name="Normal 2 4 2 3 3 5 4" xfId="10138" xr:uid="{F393D175-5DA2-4FBA-A184-1BC65575C25F}"/>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4" xr:uid="{2F3E1F9B-1166-4C7B-8D11-A31D5E6D62E2}"/>
    <cellStyle name="Normal 2 4 2 3 3 6 2 3" xfId="12696" xr:uid="{2F52279E-9778-4B7E-BC34-3FC5159C7CBA}"/>
    <cellStyle name="Normal 2 4 2 3 3 6 3" xfId="6333" xr:uid="{00000000-0005-0000-0000-00000C0F0000}"/>
    <cellStyle name="Normal 2 4 2 3 3 6 3 2" xfId="14769" xr:uid="{414B71C3-DC0F-43D3-BE81-76156ACBD035}"/>
    <cellStyle name="Normal 2 4 2 3 3 6 4" xfId="10551" xr:uid="{0D611E3F-C39D-4561-84B4-CCF4473D6868}"/>
    <cellStyle name="Normal 2 4 2 3 3 7" xfId="2462" xr:uid="{00000000-0005-0000-0000-00000D0F0000}"/>
    <cellStyle name="Normal 2 4 2 3 3 7 2" xfId="6746" xr:uid="{00000000-0005-0000-0000-00000E0F0000}"/>
    <cellStyle name="Normal 2 4 2 3 3 7 2 2" xfId="15182" xr:uid="{E5F4CCA2-FFE2-45BD-AE65-1D9B811EE066}"/>
    <cellStyle name="Normal 2 4 2 3 3 7 3" xfId="10964" xr:uid="{DF7A10D7-B08A-4511-B6DF-8F131C4D1D1A}"/>
    <cellStyle name="Normal 2 4 2 3 3 8" xfId="4680" xr:uid="{00000000-0005-0000-0000-00000F0F0000}"/>
    <cellStyle name="Normal 2 4 2 3 3 8 2" xfId="13116" xr:uid="{1E82901A-21C8-4906-A60B-613282AD4F39}"/>
    <cellStyle name="Normal 2 4 2 3 3 9" xfId="8898" xr:uid="{3DB4863E-361E-4CB1-91CC-5890ECA83D2A}"/>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77" xr:uid="{A78F53C0-7A51-4D6E-BC0E-DEC5F62B480B}"/>
    <cellStyle name="Normal 2 4 2 3 4 2 2 3" xfId="11459" xr:uid="{4E0A243D-E15C-4EFB-913E-5AB2B571A9E3}"/>
    <cellStyle name="Normal 2 4 2 3 4 2 3" xfId="5096" xr:uid="{00000000-0005-0000-0000-0000140F0000}"/>
    <cellStyle name="Normal 2 4 2 3 4 2 3 2" xfId="13532" xr:uid="{FAD98063-1F3F-442E-AC4A-6B5A2B5905E9}"/>
    <cellStyle name="Normal 2 4 2 3 4 2 4" xfId="9314" xr:uid="{337A5475-C1C5-47D0-B610-71F4DBE5DB75}"/>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0" xr:uid="{7A38592E-2DA8-4ACE-A26D-E4D6D9467EAE}"/>
    <cellStyle name="Normal 2 4 2 3 4 3 2 3" xfId="11872" xr:uid="{46089AD3-0442-49B0-AD26-A144457F147D}"/>
    <cellStyle name="Normal 2 4 2 3 4 3 3" xfId="5509" xr:uid="{00000000-0005-0000-0000-0000180F0000}"/>
    <cellStyle name="Normal 2 4 2 3 4 3 3 2" xfId="13945" xr:uid="{E3229E6D-1395-4243-8635-70681C007447}"/>
    <cellStyle name="Normal 2 4 2 3 4 3 4" xfId="9727" xr:uid="{270F2C4F-9C60-4A16-B893-D8AB77F8DE5F}"/>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3" xr:uid="{D398EB42-6921-419E-95E8-2AD2301878E0}"/>
    <cellStyle name="Normal 2 4 2 3 4 4 2 3" xfId="12285" xr:uid="{13865F2D-4DC4-4015-8B86-641C1CC69CAB}"/>
    <cellStyle name="Normal 2 4 2 3 4 4 3" xfId="5922" xr:uid="{00000000-0005-0000-0000-00001C0F0000}"/>
    <cellStyle name="Normal 2 4 2 3 4 4 3 2" xfId="14358" xr:uid="{BD09BB4C-A783-4149-9CAA-588224E36686}"/>
    <cellStyle name="Normal 2 4 2 3 4 4 4" xfId="10140" xr:uid="{ED0DDF2B-BDF4-45A7-AAC9-477846171CC1}"/>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6" xr:uid="{47425C8A-F707-4748-AB0F-031053984913}"/>
    <cellStyle name="Normal 2 4 2 3 4 5 2 3" xfId="12698" xr:uid="{D12F4456-B1C1-44D9-89D9-3AAC95D6529D}"/>
    <cellStyle name="Normal 2 4 2 3 4 5 3" xfId="6335" xr:uid="{00000000-0005-0000-0000-0000200F0000}"/>
    <cellStyle name="Normal 2 4 2 3 4 5 3 2" xfId="14771" xr:uid="{1B95F756-73EA-4D73-AC7A-5025CF9993DF}"/>
    <cellStyle name="Normal 2 4 2 3 4 5 4" xfId="10553" xr:uid="{54691BE8-F49C-4FBC-B531-7F7453D86C1C}"/>
    <cellStyle name="Normal 2 4 2 3 4 6" xfId="2464" xr:uid="{00000000-0005-0000-0000-0000210F0000}"/>
    <cellStyle name="Normal 2 4 2 3 4 6 2" xfId="6748" xr:uid="{00000000-0005-0000-0000-0000220F0000}"/>
    <cellStyle name="Normal 2 4 2 3 4 6 2 2" xfId="15184" xr:uid="{1B22F4E1-0234-4E17-868E-D00070CDDB4C}"/>
    <cellStyle name="Normal 2 4 2 3 4 6 3" xfId="10966" xr:uid="{698A8236-5670-4C71-BD45-69EA0412B573}"/>
    <cellStyle name="Normal 2 4 2 3 4 7" xfId="4682" xr:uid="{00000000-0005-0000-0000-0000230F0000}"/>
    <cellStyle name="Normal 2 4 2 3 4 7 2" xfId="13118" xr:uid="{91D02EC6-51B6-4B7D-8603-7A10B8FEE65A}"/>
    <cellStyle name="Normal 2 4 2 3 4 8" xfId="8900" xr:uid="{598F8F57-2B62-4C7B-968C-FBDCC0C9DE95}"/>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0" xr:uid="{034CE1C3-D6BA-4AA1-8D46-EF2B7BCCE102}"/>
    <cellStyle name="Normal 2 4 2 3 5 2 3" xfId="11452" xr:uid="{76D7DB38-3C42-4764-B590-B552724A3B7A}"/>
    <cellStyle name="Normal 2 4 2 3 5 3" xfId="5089" xr:uid="{00000000-0005-0000-0000-0000270F0000}"/>
    <cellStyle name="Normal 2 4 2 3 5 3 2" xfId="13525" xr:uid="{B56C4EB0-6E43-45C9-B279-DD265AB836C0}"/>
    <cellStyle name="Normal 2 4 2 3 5 4" xfId="9307" xr:uid="{6D94CE7D-0142-4423-B20A-338C81951D6E}"/>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3" xr:uid="{CD801748-A2DA-4D25-8C76-FC8358F0FC63}"/>
    <cellStyle name="Normal 2 4 2 3 6 2 3" xfId="11865" xr:uid="{6C54CF2E-8282-4669-9EEA-46160B85E671}"/>
    <cellStyle name="Normal 2 4 2 3 6 3" xfId="5502" xr:uid="{00000000-0005-0000-0000-00002B0F0000}"/>
    <cellStyle name="Normal 2 4 2 3 6 3 2" xfId="13938" xr:uid="{C8CAB397-CDAF-429C-9F02-FDCB81270D70}"/>
    <cellStyle name="Normal 2 4 2 3 6 4" xfId="9720" xr:uid="{C6ADFBDD-BAF1-475F-9778-B9CBB65EAF55}"/>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6" xr:uid="{DD49D118-D8C4-42E2-BB4D-E2950461AF13}"/>
    <cellStyle name="Normal 2 4 2 3 7 2 3" xfId="12278" xr:uid="{8D0939AB-AB07-4DE2-B063-6C6141DCA181}"/>
    <cellStyle name="Normal 2 4 2 3 7 3" xfId="5915" xr:uid="{00000000-0005-0000-0000-00002F0F0000}"/>
    <cellStyle name="Normal 2 4 2 3 7 3 2" xfId="14351" xr:uid="{FF4832EF-367D-4AB5-94A4-B60D79F1CCCE}"/>
    <cellStyle name="Normal 2 4 2 3 7 4" xfId="10133" xr:uid="{39027AF4-7F47-461A-934F-856E8376DE89}"/>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09" xr:uid="{FBE5A35E-BDD2-4487-9958-EDF54C034495}"/>
    <cellStyle name="Normal 2 4 2 3 8 2 3" xfId="12691" xr:uid="{A238AB45-352C-488B-83A3-AFC165F094DF}"/>
    <cellStyle name="Normal 2 4 2 3 8 3" xfId="6328" xr:uid="{00000000-0005-0000-0000-0000330F0000}"/>
    <cellStyle name="Normal 2 4 2 3 8 3 2" xfId="14764" xr:uid="{0443E6BF-CA34-41D6-990C-ACDDA8DE3A18}"/>
    <cellStyle name="Normal 2 4 2 3 8 4" xfId="10546" xr:uid="{B7005A06-021A-40A3-A134-651120E8B4E5}"/>
    <cellStyle name="Normal 2 4 2 3 9" xfId="2457" xr:uid="{00000000-0005-0000-0000-0000340F0000}"/>
    <cellStyle name="Normal 2 4 2 3 9 2" xfId="6741" xr:uid="{00000000-0005-0000-0000-0000350F0000}"/>
    <cellStyle name="Normal 2 4 2 3 9 2 2" xfId="15177" xr:uid="{B0445560-D997-4F35-B875-C4209471F1B7}"/>
    <cellStyle name="Normal 2 4 2 3 9 3" xfId="10959" xr:uid="{7D0AD911-74D3-46F2-998B-8B03A4BC97DB}"/>
    <cellStyle name="Normal 2 4 2 4" xfId="289" xr:uid="{00000000-0005-0000-0000-0000360F0000}"/>
    <cellStyle name="Normal 2 4 2 4 10" xfId="8901" xr:uid="{D7F9BFD5-BA65-45FA-A029-E1636D230C2C}"/>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0" xr:uid="{1DB5F437-E276-4424-BC46-BD4035A1C8BD}"/>
    <cellStyle name="Normal 2 4 2 4 2 2 2 2 3" xfId="11462" xr:uid="{CCB85738-380F-4E7A-ABAD-DFB3D443BEA5}"/>
    <cellStyle name="Normal 2 4 2 4 2 2 2 3" xfId="5099" xr:uid="{00000000-0005-0000-0000-00003C0F0000}"/>
    <cellStyle name="Normal 2 4 2 4 2 2 2 3 2" xfId="13535" xr:uid="{D34250CF-CB17-428F-8E64-0BD3B167DF05}"/>
    <cellStyle name="Normal 2 4 2 4 2 2 2 4" xfId="9317" xr:uid="{5B328326-F099-4D71-9876-9E4E4EC8EC0F}"/>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3" xr:uid="{F8AEDE91-9340-41A8-89B2-0702760F7677}"/>
    <cellStyle name="Normal 2 4 2 4 2 2 3 2 3" xfId="11875" xr:uid="{9E2B00D5-CBDC-45EE-B987-5CA0BF8863D5}"/>
    <cellStyle name="Normal 2 4 2 4 2 2 3 3" xfId="5512" xr:uid="{00000000-0005-0000-0000-0000400F0000}"/>
    <cellStyle name="Normal 2 4 2 4 2 2 3 3 2" xfId="13948" xr:uid="{9FD5878A-450E-45A2-AA40-C46656C27DF9}"/>
    <cellStyle name="Normal 2 4 2 4 2 2 3 4" xfId="9730" xr:uid="{360CC58E-35BC-4F1A-B5B2-825C34623391}"/>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6" xr:uid="{DF5307E0-F4EC-490B-846C-77A3DB556378}"/>
    <cellStyle name="Normal 2 4 2 4 2 2 4 2 3" xfId="12288" xr:uid="{7FE8EB3A-5C04-4B4B-A192-5B8A32D411D6}"/>
    <cellStyle name="Normal 2 4 2 4 2 2 4 3" xfId="5925" xr:uid="{00000000-0005-0000-0000-0000440F0000}"/>
    <cellStyle name="Normal 2 4 2 4 2 2 4 3 2" xfId="14361" xr:uid="{F76E8688-AD99-4F5D-B250-49D43185AC93}"/>
    <cellStyle name="Normal 2 4 2 4 2 2 4 4" xfId="10143" xr:uid="{C9797A89-7673-487C-BF6F-191413F2DC98}"/>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19" xr:uid="{2C542E17-CBB2-4E4B-BB9D-E9A067E8C193}"/>
    <cellStyle name="Normal 2 4 2 4 2 2 5 2 3" xfId="12701" xr:uid="{B80FF146-CC97-4090-8DE1-06E789624DF4}"/>
    <cellStyle name="Normal 2 4 2 4 2 2 5 3" xfId="6338" xr:uid="{00000000-0005-0000-0000-0000480F0000}"/>
    <cellStyle name="Normal 2 4 2 4 2 2 5 3 2" xfId="14774" xr:uid="{003486A3-86A3-4977-8DC3-97A079D36CB3}"/>
    <cellStyle name="Normal 2 4 2 4 2 2 5 4" xfId="10556" xr:uid="{556EB0F7-CD5A-4978-A9F4-523F42F4CEAB}"/>
    <cellStyle name="Normal 2 4 2 4 2 2 6" xfId="2467" xr:uid="{00000000-0005-0000-0000-0000490F0000}"/>
    <cellStyle name="Normal 2 4 2 4 2 2 6 2" xfId="6751" xr:uid="{00000000-0005-0000-0000-00004A0F0000}"/>
    <cellStyle name="Normal 2 4 2 4 2 2 6 2 2" xfId="15187" xr:uid="{AD07000C-F98E-448E-B794-D54960A6B1C4}"/>
    <cellStyle name="Normal 2 4 2 4 2 2 6 3" xfId="10969" xr:uid="{5590B4DA-AE54-42F7-8902-7817D0972CEB}"/>
    <cellStyle name="Normal 2 4 2 4 2 2 7" xfId="4685" xr:uid="{00000000-0005-0000-0000-00004B0F0000}"/>
    <cellStyle name="Normal 2 4 2 4 2 2 7 2" xfId="13121" xr:uid="{F3B20266-A1FF-4E12-AD95-3F0E85CDFC69}"/>
    <cellStyle name="Normal 2 4 2 4 2 2 8" xfId="8903" xr:uid="{42094CAF-3AB2-43F4-ADE2-924C7E8E51A7}"/>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79" xr:uid="{125792D7-C126-4BFA-9075-1FBFB1B48C8B}"/>
    <cellStyle name="Normal 2 4 2 4 2 3 2 3" xfId="11461" xr:uid="{2E97202B-B523-46F8-940D-4C579CBEB955}"/>
    <cellStyle name="Normal 2 4 2 4 2 3 3" xfId="5098" xr:uid="{00000000-0005-0000-0000-00004F0F0000}"/>
    <cellStyle name="Normal 2 4 2 4 2 3 3 2" xfId="13534" xr:uid="{1AF7806F-2DCB-48D6-A5D5-AD5D156D4F89}"/>
    <cellStyle name="Normal 2 4 2 4 2 3 4" xfId="9316" xr:uid="{232BF22F-7997-4AF0-B2E6-62BC2643ACEC}"/>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2" xr:uid="{A24E53DA-0FA2-4DB2-83CC-A1EA820A042E}"/>
    <cellStyle name="Normal 2 4 2 4 2 4 2 3" xfId="11874" xr:uid="{6C143998-DBB9-4C5C-B418-30F3C6F79B41}"/>
    <cellStyle name="Normal 2 4 2 4 2 4 3" xfId="5511" xr:uid="{00000000-0005-0000-0000-0000530F0000}"/>
    <cellStyle name="Normal 2 4 2 4 2 4 3 2" xfId="13947" xr:uid="{B8B56D85-47E7-45F5-8D01-27BF43409BC2}"/>
    <cellStyle name="Normal 2 4 2 4 2 4 4" xfId="9729" xr:uid="{BEA7CA9C-4B46-4BFF-9AB2-EB53D73D881A}"/>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5" xr:uid="{6E596769-7E49-4C06-8C4D-3FFF21B7587A}"/>
    <cellStyle name="Normal 2 4 2 4 2 5 2 3" xfId="12287" xr:uid="{12FC57B5-A53E-4527-8C66-C65E211F1B7E}"/>
    <cellStyle name="Normal 2 4 2 4 2 5 3" xfId="5924" xr:uid="{00000000-0005-0000-0000-0000570F0000}"/>
    <cellStyle name="Normal 2 4 2 4 2 5 3 2" xfId="14360" xr:uid="{09BE6210-222C-406E-B75F-DA48DEE74890}"/>
    <cellStyle name="Normal 2 4 2 4 2 5 4" xfId="10142" xr:uid="{BB199514-B9F3-450B-871B-F05260ACCEC6}"/>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18" xr:uid="{F54A9DC8-9327-4B9C-987B-A42E4E2664CC}"/>
    <cellStyle name="Normal 2 4 2 4 2 6 2 3" xfId="12700" xr:uid="{06966924-8226-45C1-87AA-94B46387A0E1}"/>
    <cellStyle name="Normal 2 4 2 4 2 6 3" xfId="6337" xr:uid="{00000000-0005-0000-0000-00005B0F0000}"/>
    <cellStyle name="Normal 2 4 2 4 2 6 3 2" xfId="14773" xr:uid="{E517E798-F5E6-4C03-8AC9-21673A3A6180}"/>
    <cellStyle name="Normal 2 4 2 4 2 6 4" xfId="10555" xr:uid="{3D1790BB-2BC6-4E36-87D9-3250A8B497DB}"/>
    <cellStyle name="Normal 2 4 2 4 2 7" xfId="2466" xr:uid="{00000000-0005-0000-0000-00005C0F0000}"/>
    <cellStyle name="Normal 2 4 2 4 2 7 2" xfId="6750" xr:uid="{00000000-0005-0000-0000-00005D0F0000}"/>
    <cellStyle name="Normal 2 4 2 4 2 7 2 2" xfId="15186" xr:uid="{07AB02F5-DE03-4270-ACE1-C13C17AB52FB}"/>
    <cellStyle name="Normal 2 4 2 4 2 7 3" xfId="10968" xr:uid="{AD294F88-2C5B-4DF8-9423-4E1BA1C81486}"/>
    <cellStyle name="Normal 2 4 2 4 2 8" xfId="4684" xr:uid="{00000000-0005-0000-0000-00005E0F0000}"/>
    <cellStyle name="Normal 2 4 2 4 2 8 2" xfId="13120" xr:uid="{FCE5B0FF-B96D-4A70-A5EC-B916DEDC493C}"/>
    <cellStyle name="Normal 2 4 2 4 2 9" xfId="8902" xr:uid="{0F767084-96BC-4CFC-B652-5483C302AA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1" xr:uid="{5FA00683-432F-4695-A0D4-A1A01B86CDA6}"/>
    <cellStyle name="Normal 2 4 2 4 3 2 2 3" xfId="11463" xr:uid="{07A60141-8449-46BE-AE32-0B8BDB1D1227}"/>
    <cellStyle name="Normal 2 4 2 4 3 2 3" xfId="5100" xr:uid="{00000000-0005-0000-0000-0000630F0000}"/>
    <cellStyle name="Normal 2 4 2 4 3 2 3 2" xfId="13536" xr:uid="{AB7A4B55-5570-41A0-9C70-347AEEFFC0EC}"/>
    <cellStyle name="Normal 2 4 2 4 3 2 4" xfId="9318" xr:uid="{D3C04BBE-79C6-4F88-B489-8CC54AC16966}"/>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4" xr:uid="{91635D7D-E5A0-435D-BAF4-DC2FA17307CA}"/>
    <cellStyle name="Normal 2 4 2 4 3 3 2 3" xfId="11876" xr:uid="{B269BB76-870A-46F9-BC37-DA819D081654}"/>
    <cellStyle name="Normal 2 4 2 4 3 3 3" xfId="5513" xr:uid="{00000000-0005-0000-0000-0000670F0000}"/>
    <cellStyle name="Normal 2 4 2 4 3 3 3 2" xfId="13949" xr:uid="{2DB4C540-8043-4590-8F25-91260F5BD342}"/>
    <cellStyle name="Normal 2 4 2 4 3 3 4" xfId="9731" xr:uid="{E8DDA54B-2947-46E7-B18B-E3FD7BA6DE7E}"/>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07" xr:uid="{2B7F28EE-21B5-43E9-B1E0-4B90D2CD3A96}"/>
    <cellStyle name="Normal 2 4 2 4 3 4 2 3" xfId="12289" xr:uid="{5C5A00CE-C875-4B2F-BE6C-EFD138F4CEC7}"/>
    <cellStyle name="Normal 2 4 2 4 3 4 3" xfId="5926" xr:uid="{00000000-0005-0000-0000-00006B0F0000}"/>
    <cellStyle name="Normal 2 4 2 4 3 4 3 2" xfId="14362" xr:uid="{EDEFF5FF-DEC7-4280-A02E-81D8EF70E509}"/>
    <cellStyle name="Normal 2 4 2 4 3 4 4" xfId="10144" xr:uid="{5A95D43D-C0C1-4122-B4F3-7084B431D053}"/>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0" xr:uid="{78F94D96-A70A-4673-9BF2-7629DF3FEC17}"/>
    <cellStyle name="Normal 2 4 2 4 3 5 2 3" xfId="12702" xr:uid="{D56AA786-2B48-4419-ABB9-4CEA8D658603}"/>
    <cellStyle name="Normal 2 4 2 4 3 5 3" xfId="6339" xr:uid="{00000000-0005-0000-0000-00006F0F0000}"/>
    <cellStyle name="Normal 2 4 2 4 3 5 3 2" xfId="14775" xr:uid="{33493BF0-BB03-437D-8785-3D041085B816}"/>
    <cellStyle name="Normal 2 4 2 4 3 5 4" xfId="10557" xr:uid="{E44A10F3-4018-4741-ACE7-E93CEFC5ECD3}"/>
    <cellStyle name="Normal 2 4 2 4 3 6" xfId="2468" xr:uid="{00000000-0005-0000-0000-0000700F0000}"/>
    <cellStyle name="Normal 2 4 2 4 3 6 2" xfId="6752" xr:uid="{00000000-0005-0000-0000-0000710F0000}"/>
    <cellStyle name="Normal 2 4 2 4 3 6 2 2" xfId="15188" xr:uid="{65EC69FA-DBE0-4FAF-8A44-B68EC43C2328}"/>
    <cellStyle name="Normal 2 4 2 4 3 6 3" xfId="10970" xr:uid="{58736082-E746-4CC8-8771-324163697C85}"/>
    <cellStyle name="Normal 2 4 2 4 3 7" xfId="4686" xr:uid="{00000000-0005-0000-0000-0000720F0000}"/>
    <cellStyle name="Normal 2 4 2 4 3 7 2" xfId="13122" xr:uid="{6D591A82-473F-4E0F-816F-B807425F2475}"/>
    <cellStyle name="Normal 2 4 2 4 3 8" xfId="8904" xr:uid="{57C2703D-146C-4854-8692-8591C7175DC0}"/>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78" xr:uid="{094D86E5-6DAD-4ADC-9EA4-D7098D5959CA}"/>
    <cellStyle name="Normal 2 4 2 4 4 2 3" xfId="11460" xr:uid="{5E630882-FF0C-4C31-AE3A-29524633FB01}"/>
    <cellStyle name="Normal 2 4 2 4 4 3" xfId="5097" xr:uid="{00000000-0005-0000-0000-0000760F0000}"/>
    <cellStyle name="Normal 2 4 2 4 4 3 2" xfId="13533" xr:uid="{0087DFF3-408A-4ABC-9D08-8F2C8FF2E684}"/>
    <cellStyle name="Normal 2 4 2 4 4 4" xfId="9315" xr:uid="{399E764F-B955-47C8-BA9C-41657235AF03}"/>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1" xr:uid="{349331C9-E396-4DE1-A006-78F2A2E68656}"/>
    <cellStyle name="Normal 2 4 2 4 5 2 3" xfId="11873" xr:uid="{39CA2C80-8443-4AA4-8742-510071B632E4}"/>
    <cellStyle name="Normal 2 4 2 4 5 3" xfId="5510" xr:uid="{00000000-0005-0000-0000-00007A0F0000}"/>
    <cellStyle name="Normal 2 4 2 4 5 3 2" xfId="13946" xr:uid="{D65EB672-176C-490C-84BC-AA3EC911274A}"/>
    <cellStyle name="Normal 2 4 2 4 5 4" xfId="9728" xr:uid="{F8333214-73F1-4BED-9629-AEBC23C7F967}"/>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4" xr:uid="{408F4231-0E83-4C49-A3BD-861632C3745E}"/>
    <cellStyle name="Normal 2 4 2 4 6 2 3" xfId="12286" xr:uid="{A84818DE-0A96-4C23-BDB2-1E085DDD1ABB}"/>
    <cellStyle name="Normal 2 4 2 4 6 3" xfId="5923" xr:uid="{00000000-0005-0000-0000-00007E0F0000}"/>
    <cellStyle name="Normal 2 4 2 4 6 3 2" xfId="14359" xr:uid="{4E68DA41-DF74-481F-AFC2-275775D55E92}"/>
    <cellStyle name="Normal 2 4 2 4 6 4" xfId="10141" xr:uid="{A1A791C4-4112-4479-A041-47C653B66C49}"/>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17" xr:uid="{0C213615-BF8D-48D1-8CA9-9654C6B97411}"/>
    <cellStyle name="Normal 2 4 2 4 7 2 3" xfId="12699" xr:uid="{2BACADF1-DD94-437F-BD3A-7B0CE9F018BF}"/>
    <cellStyle name="Normal 2 4 2 4 7 3" xfId="6336" xr:uid="{00000000-0005-0000-0000-0000820F0000}"/>
    <cellStyle name="Normal 2 4 2 4 7 3 2" xfId="14772" xr:uid="{C08276DE-C6AF-4389-B5AB-47CBF6D534EE}"/>
    <cellStyle name="Normal 2 4 2 4 7 4" xfId="10554" xr:uid="{F8D13735-61C5-4649-B8A3-B551F44FDEF0}"/>
    <cellStyle name="Normal 2 4 2 4 8" xfId="2465" xr:uid="{00000000-0005-0000-0000-0000830F0000}"/>
    <cellStyle name="Normal 2 4 2 4 8 2" xfId="6749" xr:uid="{00000000-0005-0000-0000-0000840F0000}"/>
    <cellStyle name="Normal 2 4 2 4 8 2 2" xfId="15185" xr:uid="{BC9BB8A0-50AD-4CCA-8641-563F01C68745}"/>
    <cellStyle name="Normal 2 4 2 4 8 3" xfId="10967" xr:uid="{8AC8AF3A-E1E6-4EE2-A9D7-73F85CBEF4A6}"/>
    <cellStyle name="Normal 2 4 2 4 9" xfId="4683" xr:uid="{00000000-0005-0000-0000-0000850F0000}"/>
    <cellStyle name="Normal 2 4 2 4 9 2" xfId="13119" xr:uid="{B2BCB41C-D889-41C4-8653-51EF9C45D316}"/>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3" xr:uid="{26E232D0-AC0F-42BB-BCCE-5E52B30E812D}"/>
    <cellStyle name="Normal 2 4 2 5 2 2 2 3" xfId="11465" xr:uid="{66A8C006-5306-4E48-85D6-B05237045C07}"/>
    <cellStyle name="Normal 2 4 2 5 2 2 3" xfId="5102" xr:uid="{00000000-0005-0000-0000-00008B0F0000}"/>
    <cellStyle name="Normal 2 4 2 5 2 2 3 2" xfId="13538" xr:uid="{CAADC3EB-EDB9-42A5-A12D-732B7E3BB875}"/>
    <cellStyle name="Normal 2 4 2 5 2 2 4" xfId="9320" xr:uid="{1BD431F5-5C96-4263-B3A4-0F2DA151352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6" xr:uid="{C82887FA-7520-4912-84BA-312131CEB11C}"/>
    <cellStyle name="Normal 2 4 2 5 2 3 2 3" xfId="11878" xr:uid="{2EFB7114-51E4-4A1A-A543-5E8032CE349E}"/>
    <cellStyle name="Normal 2 4 2 5 2 3 3" xfId="5515" xr:uid="{00000000-0005-0000-0000-00008F0F0000}"/>
    <cellStyle name="Normal 2 4 2 5 2 3 3 2" xfId="13951" xr:uid="{D87FFFA5-B636-4B53-883B-00F9CFD93CA4}"/>
    <cellStyle name="Normal 2 4 2 5 2 3 4" xfId="9733" xr:uid="{0937AA80-483D-4A87-8A3B-AAE307DFFDAA}"/>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09" xr:uid="{592BDBB7-94AE-470B-8421-8E6401618022}"/>
    <cellStyle name="Normal 2 4 2 5 2 4 2 3" xfId="12291" xr:uid="{B242B7E2-A668-49EB-B637-E62F182C79BC}"/>
    <cellStyle name="Normal 2 4 2 5 2 4 3" xfId="5928" xr:uid="{00000000-0005-0000-0000-0000930F0000}"/>
    <cellStyle name="Normal 2 4 2 5 2 4 3 2" xfId="14364" xr:uid="{5D046DE3-07D6-4303-AA99-2D42D6CD8CB7}"/>
    <cellStyle name="Normal 2 4 2 5 2 4 4" xfId="10146" xr:uid="{67E003EA-71A3-48C5-BF64-E6F4263AD75C}"/>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2" xr:uid="{0D38ADD2-0555-4C45-8DF0-3C0C1ED92DA9}"/>
    <cellStyle name="Normal 2 4 2 5 2 5 2 3" xfId="12704" xr:uid="{6F9CA3E7-A3EC-4A0F-B9DF-15A8D94CD4EF}"/>
    <cellStyle name="Normal 2 4 2 5 2 5 3" xfId="6341" xr:uid="{00000000-0005-0000-0000-0000970F0000}"/>
    <cellStyle name="Normal 2 4 2 5 2 5 3 2" xfId="14777" xr:uid="{0B6AAAB5-9AFF-45F7-ACE2-93B04D119F04}"/>
    <cellStyle name="Normal 2 4 2 5 2 5 4" xfId="10559" xr:uid="{66A0F2EB-60D3-418B-A1F4-B3BD20B66A5F}"/>
    <cellStyle name="Normal 2 4 2 5 2 6" xfId="2470" xr:uid="{00000000-0005-0000-0000-0000980F0000}"/>
    <cellStyle name="Normal 2 4 2 5 2 6 2" xfId="6754" xr:uid="{00000000-0005-0000-0000-0000990F0000}"/>
    <cellStyle name="Normal 2 4 2 5 2 6 2 2" xfId="15190" xr:uid="{57BC1370-C535-4939-884C-FF106EF7AEC2}"/>
    <cellStyle name="Normal 2 4 2 5 2 6 3" xfId="10972" xr:uid="{66F6E3AB-1E2A-4F06-A417-65DA911DFEAF}"/>
    <cellStyle name="Normal 2 4 2 5 2 7" xfId="4688" xr:uid="{00000000-0005-0000-0000-00009A0F0000}"/>
    <cellStyle name="Normal 2 4 2 5 2 7 2" xfId="13124" xr:uid="{5D9B45E6-3354-4BF5-A39B-4D08D1746B2B}"/>
    <cellStyle name="Normal 2 4 2 5 2 8" xfId="8906" xr:uid="{496CD07D-2658-49A4-AA68-F81871A24806}"/>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2" xr:uid="{3D85CFA6-3B6F-47AD-BB00-9B49486571CF}"/>
    <cellStyle name="Normal 2 4 2 5 3 2 3" xfId="11464" xr:uid="{FA93F69B-1031-4814-BE1C-B079B1791661}"/>
    <cellStyle name="Normal 2 4 2 5 3 3" xfId="5101" xr:uid="{00000000-0005-0000-0000-00009E0F0000}"/>
    <cellStyle name="Normal 2 4 2 5 3 3 2" xfId="13537" xr:uid="{D2EAD7CC-7F9D-4169-B6A5-D2E2F5EA5C5B}"/>
    <cellStyle name="Normal 2 4 2 5 3 4" xfId="9319" xr:uid="{6ECCFB0E-E8FA-4EF8-A238-3DCC7B8C295B}"/>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5" xr:uid="{D6B83316-4ED7-4A2A-B8D5-B22DF00715E3}"/>
    <cellStyle name="Normal 2 4 2 5 4 2 3" xfId="11877" xr:uid="{DAAA487F-DAFA-440A-8F01-1220C398E5A0}"/>
    <cellStyle name="Normal 2 4 2 5 4 3" xfId="5514" xr:uid="{00000000-0005-0000-0000-0000A20F0000}"/>
    <cellStyle name="Normal 2 4 2 5 4 3 2" xfId="13950" xr:uid="{0F951F42-2652-4C26-A5F4-760332CD2751}"/>
    <cellStyle name="Normal 2 4 2 5 4 4" xfId="9732" xr:uid="{C6F512D6-D85D-4307-BF15-3FE798793B7B}"/>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08" xr:uid="{384423AC-DA0E-45E5-9B8C-4CC147177587}"/>
    <cellStyle name="Normal 2 4 2 5 5 2 3" xfId="12290" xr:uid="{155EBF27-8F88-4032-8AF9-6DD36E99C12D}"/>
    <cellStyle name="Normal 2 4 2 5 5 3" xfId="5927" xr:uid="{00000000-0005-0000-0000-0000A60F0000}"/>
    <cellStyle name="Normal 2 4 2 5 5 3 2" xfId="14363" xr:uid="{09D69CDD-CF6F-4D2D-B01A-27FDE7D355ED}"/>
    <cellStyle name="Normal 2 4 2 5 5 4" xfId="10145" xr:uid="{63CCB4F9-2E0D-44EF-8F72-7DE6FC652173}"/>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1" xr:uid="{F12FFB12-7C3F-460E-A7AE-73543227CBB3}"/>
    <cellStyle name="Normal 2 4 2 5 6 2 3" xfId="12703" xr:uid="{2DF7BB76-6ED7-414D-B48C-BC21997951BA}"/>
    <cellStyle name="Normal 2 4 2 5 6 3" xfId="6340" xr:uid="{00000000-0005-0000-0000-0000AA0F0000}"/>
    <cellStyle name="Normal 2 4 2 5 6 3 2" xfId="14776" xr:uid="{5B5BB6FA-D333-4EAD-BF1E-2704D2FB6F1B}"/>
    <cellStyle name="Normal 2 4 2 5 6 4" xfId="10558" xr:uid="{5DB1D534-DA7E-4806-B916-31105C6AF94A}"/>
    <cellStyle name="Normal 2 4 2 5 7" xfId="2469" xr:uid="{00000000-0005-0000-0000-0000AB0F0000}"/>
    <cellStyle name="Normal 2 4 2 5 7 2" xfId="6753" xr:uid="{00000000-0005-0000-0000-0000AC0F0000}"/>
    <cellStyle name="Normal 2 4 2 5 7 2 2" xfId="15189" xr:uid="{F98DF387-26D3-4D2B-B8C5-5B0A400ADC0A}"/>
    <cellStyle name="Normal 2 4 2 5 7 3" xfId="10971" xr:uid="{021A9D29-1F5C-4774-84AE-E06DFA7652FA}"/>
    <cellStyle name="Normal 2 4 2 5 8" xfId="4687" xr:uid="{00000000-0005-0000-0000-0000AD0F0000}"/>
    <cellStyle name="Normal 2 4 2 5 8 2" xfId="13123" xr:uid="{DC17416D-3649-4F8F-AB70-1AF55CF2FA79}"/>
    <cellStyle name="Normal 2 4 2 5 9" xfId="8905" xr:uid="{F4ADE56B-E7E3-4798-90D2-CA0467948061}"/>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4" xr:uid="{3AE22300-FA2D-423D-A0A9-DD2F106EAC54}"/>
    <cellStyle name="Normal 2 4 2 6 2 2 3" xfId="11466" xr:uid="{F68BD85D-B52A-4742-9C43-CDEF210043E0}"/>
    <cellStyle name="Normal 2 4 2 6 2 3" xfId="5103" xr:uid="{00000000-0005-0000-0000-0000B20F0000}"/>
    <cellStyle name="Normal 2 4 2 6 2 3 2" xfId="13539" xr:uid="{3ED2622B-62D7-4ACA-8FD8-E3FB45812BAA}"/>
    <cellStyle name="Normal 2 4 2 6 2 4" xfId="9321" xr:uid="{1BDE36B6-E332-4378-ACC9-CE595CAB4971}"/>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097" xr:uid="{BB5D03CE-C714-4A18-8212-3402ACBB86DD}"/>
    <cellStyle name="Normal 2 4 2 6 3 2 3" xfId="11879" xr:uid="{AD90554B-2D49-47FD-BCED-7E7C0DE11043}"/>
    <cellStyle name="Normal 2 4 2 6 3 3" xfId="5516" xr:uid="{00000000-0005-0000-0000-0000B60F0000}"/>
    <cellStyle name="Normal 2 4 2 6 3 3 2" xfId="13952" xr:uid="{5118F3E8-C7EB-4C01-8E22-E818C00BDCB5}"/>
    <cellStyle name="Normal 2 4 2 6 3 4" xfId="9734" xr:uid="{D80E82D5-4524-43C8-91CB-C958AB72EE67}"/>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0" xr:uid="{7B1829DD-14EB-437B-8374-176EEC92C0D3}"/>
    <cellStyle name="Normal 2 4 2 6 4 2 3" xfId="12292" xr:uid="{66976B54-909D-428A-87DD-41A14EAE5FBD}"/>
    <cellStyle name="Normal 2 4 2 6 4 3" xfId="5929" xr:uid="{00000000-0005-0000-0000-0000BA0F0000}"/>
    <cellStyle name="Normal 2 4 2 6 4 3 2" xfId="14365" xr:uid="{957CBF4C-2CCA-41A1-AAC2-4AEAB9DBC571}"/>
    <cellStyle name="Normal 2 4 2 6 4 4" xfId="10147" xr:uid="{17BE662B-017A-45CC-9931-F731FC4ED0AF}"/>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3" xr:uid="{82020F86-FC79-42B1-BE82-29D8A253F69A}"/>
    <cellStyle name="Normal 2 4 2 6 5 2 3" xfId="12705" xr:uid="{F366ABE7-1750-4F3C-BCE5-1DF0115D6196}"/>
    <cellStyle name="Normal 2 4 2 6 5 3" xfId="6342" xr:uid="{00000000-0005-0000-0000-0000BE0F0000}"/>
    <cellStyle name="Normal 2 4 2 6 5 3 2" xfId="14778" xr:uid="{DF900A33-A74E-44C8-A647-4E5DD5C30E07}"/>
    <cellStyle name="Normal 2 4 2 6 5 4" xfId="10560" xr:uid="{82034E27-C094-4BE4-B051-251BBBF150B5}"/>
    <cellStyle name="Normal 2 4 2 6 6" xfId="2471" xr:uid="{00000000-0005-0000-0000-0000BF0F0000}"/>
    <cellStyle name="Normal 2 4 2 6 6 2" xfId="6755" xr:uid="{00000000-0005-0000-0000-0000C00F0000}"/>
    <cellStyle name="Normal 2 4 2 6 6 2 2" xfId="15191" xr:uid="{D7DB6938-34F7-4804-B055-59931C142AF3}"/>
    <cellStyle name="Normal 2 4 2 6 6 3" xfId="10973" xr:uid="{0A658953-64E1-43FA-874B-9AF8EAB76718}"/>
    <cellStyle name="Normal 2 4 2 6 7" xfId="4689" xr:uid="{00000000-0005-0000-0000-0000C10F0000}"/>
    <cellStyle name="Normal 2 4 2 6 7 2" xfId="13125" xr:uid="{897AA6A9-DDE4-4099-A47E-03A704D8107E}"/>
    <cellStyle name="Normal 2 4 2 6 8" xfId="8907" xr:uid="{F8D31A54-BD7D-4444-B913-7F73F4A712C0}"/>
    <cellStyle name="Normal 2 4 2 7" xfId="771" xr:uid="{00000000-0005-0000-0000-0000C20F0000}"/>
    <cellStyle name="Normal 2 4 2 7 2" xfId="3010" xr:uid="{00000000-0005-0000-0000-0000C30F0000}"/>
    <cellStyle name="Normal 2 4 2 7 2 2" xfId="7233" xr:uid="{00000000-0005-0000-0000-0000C40F0000}"/>
    <cellStyle name="Normal 2 4 2 7 2 2 2" xfId="15669" xr:uid="{B35DCB84-6415-4B72-A6EF-B4B87AF2B199}"/>
    <cellStyle name="Normal 2 4 2 7 2 3" xfId="11451" xr:uid="{52D27F73-AA19-41C2-98C3-73B4B2DE7E45}"/>
    <cellStyle name="Normal 2 4 2 7 3" xfId="5088" xr:uid="{00000000-0005-0000-0000-0000C50F0000}"/>
    <cellStyle name="Normal 2 4 2 7 3 2" xfId="13524" xr:uid="{ABE421AE-232E-48F0-91C6-0941C435DA2F}"/>
    <cellStyle name="Normal 2 4 2 7 4" xfId="9306" xr:uid="{63DD824A-7736-4529-B9F4-6DD2B3373C53}"/>
    <cellStyle name="Normal 2 4 2 8" xfId="1193" xr:uid="{00000000-0005-0000-0000-0000C60F0000}"/>
    <cellStyle name="Normal 2 4 2 8 2" xfId="3423" xr:uid="{00000000-0005-0000-0000-0000C70F0000}"/>
    <cellStyle name="Normal 2 4 2 8 2 2" xfId="7646" xr:uid="{00000000-0005-0000-0000-0000C80F0000}"/>
    <cellStyle name="Normal 2 4 2 8 2 2 2" xfId="16082" xr:uid="{9876DF54-EF8A-431F-85C3-DF2AD2960BB1}"/>
    <cellStyle name="Normal 2 4 2 8 2 3" xfId="11864" xr:uid="{BB1E94DE-2B25-452A-8BCB-14E428D602FD}"/>
    <cellStyle name="Normal 2 4 2 8 3" xfId="5501" xr:uid="{00000000-0005-0000-0000-0000C90F0000}"/>
    <cellStyle name="Normal 2 4 2 8 3 2" xfId="13937" xr:uid="{8E91E9E5-80CA-46CA-A6F8-218FFFCBABCE}"/>
    <cellStyle name="Normal 2 4 2 8 4" xfId="9719" xr:uid="{E974E00E-EE44-452D-BA35-702F79A6679B}"/>
    <cellStyle name="Normal 2 4 2 9" xfId="1606" xr:uid="{00000000-0005-0000-0000-0000CA0F0000}"/>
    <cellStyle name="Normal 2 4 2 9 2" xfId="3836" xr:uid="{00000000-0005-0000-0000-0000CB0F0000}"/>
    <cellStyle name="Normal 2 4 2 9 2 2" xfId="8059" xr:uid="{00000000-0005-0000-0000-0000CC0F0000}"/>
    <cellStyle name="Normal 2 4 2 9 2 2 2" xfId="16495" xr:uid="{967D331E-2629-43D3-B3B8-36C648F6D8D7}"/>
    <cellStyle name="Normal 2 4 2 9 2 3" xfId="12277" xr:uid="{3B2D5A31-A71F-4386-B2FD-B8F3213F5F71}"/>
    <cellStyle name="Normal 2 4 2 9 3" xfId="5914" xr:uid="{00000000-0005-0000-0000-0000CD0F0000}"/>
    <cellStyle name="Normal 2 4 2 9 3 2" xfId="14350" xr:uid="{E05055CF-6D0A-4B32-A654-82185A3E028C}"/>
    <cellStyle name="Normal 2 4 2 9 4" xfId="10132" xr:uid="{5FEE6E6D-E5C1-4EED-9317-344DDB3C4550}"/>
    <cellStyle name="Normal 2 4 3" xfId="296" xr:uid="{00000000-0005-0000-0000-0000CE0F0000}"/>
    <cellStyle name="Normal 2 4 3 10" xfId="8908" xr:uid="{71EACEFB-0026-4AA3-81D8-71B9A84A6743}"/>
    <cellStyle name="Normal 2 4 3 2" xfId="297" xr:uid="{00000000-0005-0000-0000-0000CF0F0000}"/>
    <cellStyle name="Normal 2 4 3 3" xfId="298" xr:uid="{00000000-0005-0000-0000-0000D00F0000}"/>
    <cellStyle name="Normal 2 4 3 3 10" xfId="8909" xr:uid="{43AD044F-6BC9-44DF-96B3-BD4F2EFB4E2A}"/>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88" xr:uid="{56F19DC3-34C8-4CA8-BA48-97C6F66535BA}"/>
    <cellStyle name="Normal 2 4 3 3 2 2 2 2 3" xfId="11470" xr:uid="{D93CBC67-C410-4FB1-87E0-02436FA5D01F}"/>
    <cellStyle name="Normal 2 4 3 3 2 2 2 3" xfId="5107" xr:uid="{00000000-0005-0000-0000-0000D60F0000}"/>
    <cellStyle name="Normal 2 4 3 3 2 2 2 3 2" xfId="13543" xr:uid="{37745F97-0467-4920-A98C-930549DDEEA7}"/>
    <cellStyle name="Normal 2 4 3 3 2 2 2 4" xfId="9325" xr:uid="{C07A0090-0A3A-4E26-8877-54C398DEC5DF}"/>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1" xr:uid="{4D2017AE-6F5B-4896-80B4-3C13E3FDE84F}"/>
    <cellStyle name="Normal 2 4 3 3 2 2 3 2 3" xfId="11883" xr:uid="{D6D68D43-81D2-4749-B31D-D7A7C4801A32}"/>
    <cellStyle name="Normal 2 4 3 3 2 2 3 3" xfId="5520" xr:uid="{00000000-0005-0000-0000-0000DA0F0000}"/>
    <cellStyle name="Normal 2 4 3 3 2 2 3 3 2" xfId="13956" xr:uid="{BC36D045-59A9-40B6-8D00-3797D1960796}"/>
    <cellStyle name="Normal 2 4 3 3 2 2 3 4" xfId="9738" xr:uid="{9AB43C19-D092-43E6-8C23-C76353573B49}"/>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4" xr:uid="{A0000F4F-5F15-4A8B-A633-737A28B328D1}"/>
    <cellStyle name="Normal 2 4 3 3 2 2 4 2 3" xfId="12296" xr:uid="{873D2FC6-FDC8-45F6-9C60-5CC107BFD8C0}"/>
    <cellStyle name="Normal 2 4 3 3 2 2 4 3" xfId="5933" xr:uid="{00000000-0005-0000-0000-0000DE0F0000}"/>
    <cellStyle name="Normal 2 4 3 3 2 2 4 3 2" xfId="14369" xr:uid="{A01F5C88-87DF-4DAF-AD56-1FF88AE54982}"/>
    <cellStyle name="Normal 2 4 3 3 2 2 4 4" xfId="10151" xr:uid="{251E81F3-C646-49F6-8862-2FEE65326354}"/>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27" xr:uid="{1E24CB83-6E99-4DB8-8327-FE5D3E86F9B2}"/>
    <cellStyle name="Normal 2 4 3 3 2 2 5 2 3" xfId="12709" xr:uid="{68CAE8B3-E6B6-4930-BFC5-C6762EE10B3F}"/>
    <cellStyle name="Normal 2 4 3 3 2 2 5 3" xfId="6346" xr:uid="{00000000-0005-0000-0000-0000E20F0000}"/>
    <cellStyle name="Normal 2 4 3 3 2 2 5 3 2" xfId="14782" xr:uid="{15DF1A73-13BE-47D7-B3CF-07A1F97FDAE2}"/>
    <cellStyle name="Normal 2 4 3 3 2 2 5 4" xfId="10564" xr:uid="{60E7C390-A933-425E-95D9-68458E7CA31E}"/>
    <cellStyle name="Normal 2 4 3 3 2 2 6" xfId="2475" xr:uid="{00000000-0005-0000-0000-0000E30F0000}"/>
    <cellStyle name="Normal 2 4 3 3 2 2 6 2" xfId="6759" xr:uid="{00000000-0005-0000-0000-0000E40F0000}"/>
    <cellStyle name="Normal 2 4 3 3 2 2 6 2 2" xfId="15195" xr:uid="{94B7E6D0-6ADD-4BC6-A859-6C1D2914B76B}"/>
    <cellStyle name="Normal 2 4 3 3 2 2 6 3" xfId="10977" xr:uid="{A6541E37-A0A0-4C1A-9E3E-CC07FABCFF04}"/>
    <cellStyle name="Normal 2 4 3 3 2 2 7" xfId="4693" xr:uid="{00000000-0005-0000-0000-0000E50F0000}"/>
    <cellStyle name="Normal 2 4 3 3 2 2 7 2" xfId="13129" xr:uid="{F99803EC-76C7-4727-A6DB-EE2C15774666}"/>
    <cellStyle name="Normal 2 4 3 3 2 2 8" xfId="8911" xr:uid="{61F81CA3-0242-40A0-896D-D507EA030311}"/>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87" xr:uid="{E38BAC2A-A708-4878-A3FB-301D7BA07229}"/>
    <cellStyle name="Normal 2 4 3 3 2 3 2 3" xfId="11469" xr:uid="{A2EC5697-E0B1-418E-AA5A-092038879DD4}"/>
    <cellStyle name="Normal 2 4 3 3 2 3 3" xfId="5106" xr:uid="{00000000-0005-0000-0000-0000E90F0000}"/>
    <cellStyle name="Normal 2 4 3 3 2 3 3 2" xfId="13542" xr:uid="{ACCBF74F-C28D-4C4B-B75D-9318E38D2D84}"/>
    <cellStyle name="Normal 2 4 3 3 2 3 4" xfId="9324" xr:uid="{53D3BBC9-36A5-4F3F-BAE7-E0AB81A92D11}"/>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0" xr:uid="{D21FAE08-1D75-425E-8E40-8911B2A052AC}"/>
    <cellStyle name="Normal 2 4 3 3 2 4 2 3" xfId="11882" xr:uid="{9A091107-0DD0-466B-8F50-11B9DFB013DE}"/>
    <cellStyle name="Normal 2 4 3 3 2 4 3" xfId="5519" xr:uid="{00000000-0005-0000-0000-0000ED0F0000}"/>
    <cellStyle name="Normal 2 4 3 3 2 4 3 2" xfId="13955" xr:uid="{C60D7C18-773E-4A1E-9BEA-742F6C57D1F8}"/>
    <cellStyle name="Normal 2 4 3 3 2 4 4" xfId="9737" xr:uid="{62212080-1521-4E7F-B01A-BE5E32AF481B}"/>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3" xr:uid="{DB81E501-DC0C-4E1A-A737-7579BDE3CE57}"/>
    <cellStyle name="Normal 2 4 3 3 2 5 2 3" xfId="12295" xr:uid="{B18F0560-35A8-4336-ADA2-0A755E816CD1}"/>
    <cellStyle name="Normal 2 4 3 3 2 5 3" xfId="5932" xr:uid="{00000000-0005-0000-0000-0000F10F0000}"/>
    <cellStyle name="Normal 2 4 3 3 2 5 3 2" xfId="14368" xr:uid="{8BB23161-A85B-436E-A8EE-8AF38AB12412}"/>
    <cellStyle name="Normal 2 4 3 3 2 5 4" xfId="10150" xr:uid="{D42D1F83-C00C-4E8F-89C4-93A948F60CA1}"/>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6" xr:uid="{A8A11D62-7A64-43F4-A279-9048992FCF00}"/>
    <cellStyle name="Normal 2 4 3 3 2 6 2 3" xfId="12708" xr:uid="{4246F283-A225-4B3D-AA03-426DA0FBAE2A}"/>
    <cellStyle name="Normal 2 4 3 3 2 6 3" xfId="6345" xr:uid="{00000000-0005-0000-0000-0000F50F0000}"/>
    <cellStyle name="Normal 2 4 3 3 2 6 3 2" xfId="14781" xr:uid="{9B51F239-9DE4-4471-B4B4-4A3B29A789A4}"/>
    <cellStyle name="Normal 2 4 3 3 2 6 4" xfId="10563" xr:uid="{16C86943-0F0B-48C4-AB0D-2011328BFA06}"/>
    <cellStyle name="Normal 2 4 3 3 2 7" xfId="2474" xr:uid="{00000000-0005-0000-0000-0000F60F0000}"/>
    <cellStyle name="Normal 2 4 3 3 2 7 2" xfId="6758" xr:uid="{00000000-0005-0000-0000-0000F70F0000}"/>
    <cellStyle name="Normal 2 4 3 3 2 7 2 2" xfId="15194" xr:uid="{EB0911EB-9A10-4672-9CCA-E536F8E1EB56}"/>
    <cellStyle name="Normal 2 4 3 3 2 7 3" xfId="10976" xr:uid="{541B3234-11D0-4867-AD44-231C4062F9D9}"/>
    <cellStyle name="Normal 2 4 3 3 2 8" xfId="4692" xr:uid="{00000000-0005-0000-0000-0000F80F0000}"/>
    <cellStyle name="Normal 2 4 3 3 2 8 2" xfId="13128" xr:uid="{0147706D-AAC9-4E63-8D28-1B8A771CD807}"/>
    <cellStyle name="Normal 2 4 3 3 2 9" xfId="8910" xr:uid="{3A776C35-33CB-4A51-8CD4-338E4636D1E2}"/>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89" xr:uid="{C819907A-0610-4460-BB26-29B309E8345C}"/>
    <cellStyle name="Normal 2 4 3 3 3 2 2 3" xfId="11471" xr:uid="{0F56A9E8-8EEB-43CC-BC7A-5AB1355C107D}"/>
    <cellStyle name="Normal 2 4 3 3 3 2 3" xfId="5108" xr:uid="{00000000-0005-0000-0000-0000FD0F0000}"/>
    <cellStyle name="Normal 2 4 3 3 3 2 3 2" xfId="13544" xr:uid="{8CF636A3-158D-4699-AA2A-A384CC814E5D}"/>
    <cellStyle name="Normal 2 4 3 3 3 2 4" xfId="9326" xr:uid="{1BE8E096-2877-4BA5-B122-FA3BD028A74F}"/>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2" xr:uid="{63001F0D-60AA-41E1-A2DD-1C2D2339C316}"/>
    <cellStyle name="Normal 2 4 3 3 3 3 2 3" xfId="11884" xr:uid="{5325A958-3259-4C44-8C6E-4792C7F5D585}"/>
    <cellStyle name="Normal 2 4 3 3 3 3 3" xfId="5521" xr:uid="{00000000-0005-0000-0000-000001100000}"/>
    <cellStyle name="Normal 2 4 3 3 3 3 3 2" xfId="13957" xr:uid="{89DA1EEF-641E-499B-9D11-F62BDD050E63}"/>
    <cellStyle name="Normal 2 4 3 3 3 3 4" xfId="9739" xr:uid="{833D81BF-B1E6-4298-BCA1-DA5CBD5207D8}"/>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5" xr:uid="{ED844E23-3F6A-49A3-BF3C-5C147CC41600}"/>
    <cellStyle name="Normal 2 4 3 3 3 4 2 3" xfId="12297" xr:uid="{8A213C45-ACB8-43DE-BCC7-CC2AEE57DF48}"/>
    <cellStyle name="Normal 2 4 3 3 3 4 3" xfId="5934" xr:uid="{00000000-0005-0000-0000-000005100000}"/>
    <cellStyle name="Normal 2 4 3 3 3 4 3 2" xfId="14370" xr:uid="{54B0A0C0-E655-40D8-9893-54AC7F98EA40}"/>
    <cellStyle name="Normal 2 4 3 3 3 4 4" xfId="10152" xr:uid="{B3593490-3196-4AC8-A6F1-800BA37E80D3}"/>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28" xr:uid="{D5F64F0A-E947-49A5-9A86-92B41ED239AC}"/>
    <cellStyle name="Normal 2 4 3 3 3 5 2 3" xfId="12710" xr:uid="{9B2FFC2B-5D47-472A-AF90-7CF2D0470549}"/>
    <cellStyle name="Normal 2 4 3 3 3 5 3" xfId="6347" xr:uid="{00000000-0005-0000-0000-000009100000}"/>
    <cellStyle name="Normal 2 4 3 3 3 5 3 2" xfId="14783" xr:uid="{2AFD37B6-8BEE-4BCC-B0A4-68B1CB270B87}"/>
    <cellStyle name="Normal 2 4 3 3 3 5 4" xfId="10565" xr:uid="{200FB027-F152-4F13-A9F6-77F925EF1386}"/>
    <cellStyle name="Normal 2 4 3 3 3 6" xfId="2476" xr:uid="{00000000-0005-0000-0000-00000A100000}"/>
    <cellStyle name="Normal 2 4 3 3 3 6 2" xfId="6760" xr:uid="{00000000-0005-0000-0000-00000B100000}"/>
    <cellStyle name="Normal 2 4 3 3 3 6 2 2" xfId="15196" xr:uid="{665B44E1-3ADD-4FB5-BA49-FF63CC7E3538}"/>
    <cellStyle name="Normal 2 4 3 3 3 6 3" xfId="10978" xr:uid="{800340A5-24E7-4879-82C8-462D0AD8DB78}"/>
    <cellStyle name="Normal 2 4 3 3 3 7" xfId="4694" xr:uid="{00000000-0005-0000-0000-00000C100000}"/>
    <cellStyle name="Normal 2 4 3 3 3 7 2" xfId="13130" xr:uid="{02B071BD-2D38-41F9-A2B2-201905794413}"/>
    <cellStyle name="Normal 2 4 3 3 3 8" xfId="8912" xr:uid="{A3F5E56D-231C-4A49-B98B-D282CC1DE8C3}"/>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6" xr:uid="{DA20A33D-7259-494C-AE37-56E5F6663791}"/>
    <cellStyle name="Normal 2 4 3 3 4 2 3" xfId="11468" xr:uid="{6DB94DDA-C9D9-46EA-A4F6-84187740D5F9}"/>
    <cellStyle name="Normal 2 4 3 3 4 3" xfId="5105" xr:uid="{00000000-0005-0000-0000-000010100000}"/>
    <cellStyle name="Normal 2 4 3 3 4 3 2" xfId="13541" xr:uid="{777FC374-BF0B-41B4-93E1-42845F8D080A}"/>
    <cellStyle name="Normal 2 4 3 3 4 4" xfId="9323" xr:uid="{B7B77BDE-5914-49DB-948E-2BDD01FAB718}"/>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099" xr:uid="{161E9C55-7607-4C78-92E1-B35DB875298A}"/>
    <cellStyle name="Normal 2 4 3 3 5 2 3" xfId="11881" xr:uid="{87D5201B-585F-49FC-B6AD-5F03D3188C94}"/>
    <cellStyle name="Normal 2 4 3 3 5 3" xfId="5518" xr:uid="{00000000-0005-0000-0000-000014100000}"/>
    <cellStyle name="Normal 2 4 3 3 5 3 2" xfId="13954" xr:uid="{22FF7762-56B9-4A23-8F19-BEBB7A5F3529}"/>
    <cellStyle name="Normal 2 4 3 3 5 4" xfId="9736" xr:uid="{F29CF081-F44C-4FDD-BAFE-FEA4DDB5F1B8}"/>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2" xr:uid="{B2B48755-0399-46C6-97EC-A32AC3A7C2E1}"/>
    <cellStyle name="Normal 2 4 3 3 6 2 3" xfId="12294" xr:uid="{74E6B923-5AE7-40D0-9B7D-5634C9F4AD0A}"/>
    <cellStyle name="Normal 2 4 3 3 6 3" xfId="5931" xr:uid="{00000000-0005-0000-0000-000018100000}"/>
    <cellStyle name="Normal 2 4 3 3 6 3 2" xfId="14367" xr:uid="{C5E1F0F5-EF5E-4170-962F-73A4BF3EBD7E}"/>
    <cellStyle name="Normal 2 4 3 3 6 4" xfId="10149" xr:uid="{3EE291FE-44CC-4A49-BC4A-55A4364E73AB}"/>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5" xr:uid="{5A025287-324D-40AD-8454-ABF67AC81FCE}"/>
    <cellStyle name="Normal 2 4 3 3 7 2 3" xfId="12707" xr:uid="{F3B22211-4133-4935-9F5D-18810C9CD6AA}"/>
    <cellStyle name="Normal 2 4 3 3 7 3" xfId="6344" xr:uid="{00000000-0005-0000-0000-00001C100000}"/>
    <cellStyle name="Normal 2 4 3 3 7 3 2" xfId="14780" xr:uid="{D58B6E1B-EC12-4BB2-9105-0A0F57CFB4D4}"/>
    <cellStyle name="Normal 2 4 3 3 7 4" xfId="10562" xr:uid="{6823684D-EC39-46FF-BC70-3ED834DF6290}"/>
    <cellStyle name="Normal 2 4 3 3 8" xfId="2473" xr:uid="{00000000-0005-0000-0000-00001D100000}"/>
    <cellStyle name="Normal 2 4 3 3 8 2" xfId="6757" xr:uid="{00000000-0005-0000-0000-00001E100000}"/>
    <cellStyle name="Normal 2 4 3 3 8 2 2" xfId="15193" xr:uid="{F4B8F429-D46F-4440-860E-22EC918D68CC}"/>
    <cellStyle name="Normal 2 4 3 3 8 3" xfId="10975" xr:uid="{53952FEC-A055-4E7B-8439-215843047C9E}"/>
    <cellStyle name="Normal 2 4 3 3 9" xfId="4691" xr:uid="{00000000-0005-0000-0000-00001F100000}"/>
    <cellStyle name="Normal 2 4 3 3 9 2" xfId="13127" xr:uid="{3EB0D743-4160-4F7B-AEF0-FFE5FC1C26A3}"/>
    <cellStyle name="Normal 2 4 3 4" xfId="787" xr:uid="{00000000-0005-0000-0000-000020100000}"/>
    <cellStyle name="Normal 2 4 3 4 2" xfId="3026" xr:uid="{00000000-0005-0000-0000-000021100000}"/>
    <cellStyle name="Normal 2 4 3 4 2 2" xfId="7249" xr:uid="{00000000-0005-0000-0000-000022100000}"/>
    <cellStyle name="Normal 2 4 3 4 2 2 2" xfId="15685" xr:uid="{8311E9E3-19AD-4222-9159-38F1C6860A7F}"/>
    <cellStyle name="Normal 2 4 3 4 2 3" xfId="11467" xr:uid="{53BEA4D5-3504-4A96-B979-EDB13D30129E}"/>
    <cellStyle name="Normal 2 4 3 4 3" xfId="5104" xr:uid="{00000000-0005-0000-0000-000023100000}"/>
    <cellStyle name="Normal 2 4 3 4 3 2" xfId="13540" xr:uid="{3DD3F842-3527-491C-9FE6-7492CBE9E498}"/>
    <cellStyle name="Normal 2 4 3 4 4" xfId="9322" xr:uid="{7075F64C-562B-4DB4-9D1F-F6A4178197C8}"/>
    <cellStyle name="Normal 2 4 3 5" xfId="1209" xr:uid="{00000000-0005-0000-0000-000024100000}"/>
    <cellStyle name="Normal 2 4 3 5 2" xfId="3439" xr:uid="{00000000-0005-0000-0000-000025100000}"/>
    <cellStyle name="Normal 2 4 3 5 2 2" xfId="7662" xr:uid="{00000000-0005-0000-0000-000026100000}"/>
    <cellStyle name="Normal 2 4 3 5 2 2 2" xfId="16098" xr:uid="{0A9E81DB-BF29-4217-828F-EED52DAD3D11}"/>
    <cellStyle name="Normal 2 4 3 5 2 3" xfId="11880" xr:uid="{507744AB-9563-4473-A7DD-EFC0670E3BFF}"/>
    <cellStyle name="Normal 2 4 3 5 3" xfId="5517" xr:uid="{00000000-0005-0000-0000-000027100000}"/>
    <cellStyle name="Normal 2 4 3 5 3 2" xfId="13953" xr:uid="{647CA2F2-ECA5-401A-863D-0491BC1AEBBB}"/>
    <cellStyle name="Normal 2 4 3 5 4" xfId="9735" xr:uid="{8AF39B14-2687-482F-BD73-6FA48FED910B}"/>
    <cellStyle name="Normal 2 4 3 6" xfId="1622" xr:uid="{00000000-0005-0000-0000-000028100000}"/>
    <cellStyle name="Normal 2 4 3 6 2" xfId="3852" xr:uid="{00000000-0005-0000-0000-000029100000}"/>
    <cellStyle name="Normal 2 4 3 6 2 2" xfId="8075" xr:uid="{00000000-0005-0000-0000-00002A100000}"/>
    <cellStyle name="Normal 2 4 3 6 2 2 2" xfId="16511" xr:uid="{773B1521-D528-4C69-AC67-0F0DAF45EE8F}"/>
    <cellStyle name="Normal 2 4 3 6 2 3" xfId="12293" xr:uid="{81D5615F-5740-441F-B0C9-6E3E8DD21ACA}"/>
    <cellStyle name="Normal 2 4 3 6 3" xfId="5930" xr:uid="{00000000-0005-0000-0000-00002B100000}"/>
    <cellStyle name="Normal 2 4 3 6 3 2" xfId="14366" xr:uid="{FF66E0FA-8FB9-4F7D-AE37-BE5FD187B654}"/>
    <cellStyle name="Normal 2 4 3 6 4" xfId="10148" xr:uid="{7EAC0872-58B3-4D5A-9AD9-9A725AB9C31E}"/>
    <cellStyle name="Normal 2 4 3 7" xfId="2036" xr:uid="{00000000-0005-0000-0000-00002C100000}"/>
    <cellStyle name="Normal 2 4 3 7 2" xfId="4265" xr:uid="{00000000-0005-0000-0000-00002D100000}"/>
    <cellStyle name="Normal 2 4 3 7 2 2" xfId="8488" xr:uid="{00000000-0005-0000-0000-00002E100000}"/>
    <cellStyle name="Normal 2 4 3 7 2 2 2" xfId="16924" xr:uid="{326E5AF4-4271-4073-B71E-4CC408CAF91E}"/>
    <cellStyle name="Normal 2 4 3 7 2 3" xfId="12706" xr:uid="{76026F5D-6D18-423D-89A9-BCDAEFFD9B34}"/>
    <cellStyle name="Normal 2 4 3 7 3" xfId="6343" xr:uid="{00000000-0005-0000-0000-00002F100000}"/>
    <cellStyle name="Normal 2 4 3 7 3 2" xfId="14779" xr:uid="{D9C6F52E-FC38-4E23-8B4D-9142905814B5}"/>
    <cellStyle name="Normal 2 4 3 7 4" xfId="10561" xr:uid="{BAB666BF-293D-4BEB-8C31-820E96093498}"/>
    <cellStyle name="Normal 2 4 3 8" xfId="2472" xr:uid="{00000000-0005-0000-0000-000030100000}"/>
    <cellStyle name="Normal 2 4 3 8 2" xfId="6756" xr:uid="{00000000-0005-0000-0000-000031100000}"/>
    <cellStyle name="Normal 2 4 3 8 2 2" xfId="15192" xr:uid="{1888B4C3-3153-418F-B5F9-F54C4198E16C}"/>
    <cellStyle name="Normal 2 4 3 8 3" xfId="10974" xr:uid="{D984B484-2049-40F7-AE94-B4BE5254B783}"/>
    <cellStyle name="Normal 2 4 3 9" xfId="4690" xr:uid="{00000000-0005-0000-0000-000032100000}"/>
    <cellStyle name="Normal 2 4 3 9 2" xfId="13126" xr:uid="{C1476297-0E88-436C-9C2A-946F81EED0E8}"/>
    <cellStyle name="Normal 2 4 4" xfId="302" xr:uid="{00000000-0005-0000-0000-000033100000}"/>
    <cellStyle name="Normal 2 4 5" xfId="303" xr:uid="{00000000-0005-0000-0000-000034100000}"/>
    <cellStyle name="Normal 2 4 5 10" xfId="4695" xr:uid="{00000000-0005-0000-0000-000035100000}"/>
    <cellStyle name="Normal 2 4 5 10 2" xfId="13131" xr:uid="{6A4B0708-8CF4-443A-AFA4-10C0FFAC6CAC}"/>
    <cellStyle name="Normal 2 4 5 11" xfId="8913" xr:uid="{E8D151E5-3FB2-4A98-8FA3-EBD706F86BB7}"/>
    <cellStyle name="Normal 2 4 5 2" xfId="304" xr:uid="{00000000-0005-0000-0000-000036100000}"/>
    <cellStyle name="Normal 2 4 5 2 10" xfId="8914" xr:uid="{169D86B5-97C5-445B-BFDE-298F125BB066}"/>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3" xr:uid="{7C9E4F60-5D37-455D-A73F-D04FC0C44891}"/>
    <cellStyle name="Normal 2 4 5 2 2 2 2 2 3" xfId="11475" xr:uid="{AAB2DB67-A7A0-4A74-8452-44D05F79D181}"/>
    <cellStyle name="Normal 2 4 5 2 2 2 2 3" xfId="5112" xr:uid="{00000000-0005-0000-0000-00003C100000}"/>
    <cellStyle name="Normal 2 4 5 2 2 2 2 3 2" xfId="13548" xr:uid="{B893E71F-6A31-4705-BDD6-1B1DBBB4C160}"/>
    <cellStyle name="Normal 2 4 5 2 2 2 2 4" xfId="9330" xr:uid="{135D6779-F38F-45E0-BE8E-90BD81845998}"/>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6" xr:uid="{62A202A5-2EEE-48B4-9DA9-58F569DE55EF}"/>
    <cellStyle name="Normal 2 4 5 2 2 2 3 2 3" xfId="11888" xr:uid="{39FFE8D2-533D-4E4F-93E0-C5C887727083}"/>
    <cellStyle name="Normal 2 4 5 2 2 2 3 3" xfId="5525" xr:uid="{00000000-0005-0000-0000-000040100000}"/>
    <cellStyle name="Normal 2 4 5 2 2 2 3 3 2" xfId="13961" xr:uid="{163D3932-619A-441D-9F47-9542C9617A77}"/>
    <cellStyle name="Normal 2 4 5 2 2 2 3 4" xfId="9743" xr:uid="{FC0BFC25-4A0D-4AF5-BFA5-8FC069EBE62F}"/>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19" xr:uid="{3AF8868E-A39B-40BA-89C5-CCE0A4E76D73}"/>
    <cellStyle name="Normal 2 4 5 2 2 2 4 2 3" xfId="12301" xr:uid="{C058FC17-08BF-4DCF-8669-A91FA51468E6}"/>
    <cellStyle name="Normal 2 4 5 2 2 2 4 3" xfId="5938" xr:uid="{00000000-0005-0000-0000-000044100000}"/>
    <cellStyle name="Normal 2 4 5 2 2 2 4 3 2" xfId="14374" xr:uid="{7ED1CD70-E40F-4E88-996C-ABE8000DC713}"/>
    <cellStyle name="Normal 2 4 5 2 2 2 4 4" xfId="10156" xr:uid="{EDF7FED9-0F53-4303-BF80-02841A86225F}"/>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2" xr:uid="{2E3608C2-CD03-4A62-AE26-E8E7C2B4228F}"/>
    <cellStyle name="Normal 2 4 5 2 2 2 5 2 3" xfId="12714" xr:uid="{D1376FC4-35A6-4163-B925-5ADB9A1C55B7}"/>
    <cellStyle name="Normal 2 4 5 2 2 2 5 3" xfId="6351" xr:uid="{00000000-0005-0000-0000-000048100000}"/>
    <cellStyle name="Normal 2 4 5 2 2 2 5 3 2" xfId="14787" xr:uid="{D4BBC06B-31DA-4EDE-949F-F0BE433AFB06}"/>
    <cellStyle name="Normal 2 4 5 2 2 2 5 4" xfId="10569" xr:uid="{E1D5CABE-12B7-42E5-8663-F04B76FB41A9}"/>
    <cellStyle name="Normal 2 4 5 2 2 2 6" xfId="2480" xr:uid="{00000000-0005-0000-0000-000049100000}"/>
    <cellStyle name="Normal 2 4 5 2 2 2 6 2" xfId="6764" xr:uid="{00000000-0005-0000-0000-00004A100000}"/>
    <cellStyle name="Normal 2 4 5 2 2 2 6 2 2" xfId="15200" xr:uid="{F0BB96A9-FB36-4A59-A419-88ABEE2EEA34}"/>
    <cellStyle name="Normal 2 4 5 2 2 2 6 3" xfId="10982" xr:uid="{2383C5D1-2DD2-4260-BBE1-6875A7089FE2}"/>
    <cellStyle name="Normal 2 4 5 2 2 2 7" xfId="4698" xr:uid="{00000000-0005-0000-0000-00004B100000}"/>
    <cellStyle name="Normal 2 4 5 2 2 2 7 2" xfId="13134" xr:uid="{069834A6-99FA-4486-A614-6A0A3E8DDC26}"/>
    <cellStyle name="Normal 2 4 5 2 2 2 8" xfId="8916" xr:uid="{01F94AA5-8621-4739-801D-B2A08CD74A42}"/>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2" xr:uid="{F3F7B4A3-9ABE-4DC3-AFC0-0B951487EC77}"/>
    <cellStyle name="Normal 2 4 5 2 2 3 2 3" xfId="11474" xr:uid="{0AF6576E-F9B8-4B3E-86CD-307F8A971757}"/>
    <cellStyle name="Normal 2 4 5 2 2 3 3" xfId="5111" xr:uid="{00000000-0005-0000-0000-00004F100000}"/>
    <cellStyle name="Normal 2 4 5 2 2 3 3 2" xfId="13547" xr:uid="{C044AEC6-C380-4B66-954C-F27B5A66889F}"/>
    <cellStyle name="Normal 2 4 5 2 2 3 4" xfId="9329" xr:uid="{6880D981-36EF-4A02-AA5B-AC32A042A948}"/>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5" xr:uid="{A205129F-57C4-498B-8537-3F1F2A70812E}"/>
    <cellStyle name="Normal 2 4 5 2 2 4 2 3" xfId="11887" xr:uid="{4A53DF36-35DF-4BB7-980F-B1CB2D3A90F6}"/>
    <cellStyle name="Normal 2 4 5 2 2 4 3" xfId="5524" xr:uid="{00000000-0005-0000-0000-000053100000}"/>
    <cellStyle name="Normal 2 4 5 2 2 4 3 2" xfId="13960" xr:uid="{D021F0C7-EBF3-4E3A-A967-D8AD160A33D3}"/>
    <cellStyle name="Normal 2 4 5 2 2 4 4" xfId="9742" xr:uid="{B8784F83-A209-4329-A6E9-5DC58BBA71F1}"/>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18" xr:uid="{6F535183-6097-47CC-A8CC-D834424E214B}"/>
    <cellStyle name="Normal 2 4 5 2 2 5 2 3" xfId="12300" xr:uid="{5699AB7E-A9EE-4395-A365-A91A0602B575}"/>
    <cellStyle name="Normal 2 4 5 2 2 5 3" xfId="5937" xr:uid="{00000000-0005-0000-0000-000057100000}"/>
    <cellStyle name="Normal 2 4 5 2 2 5 3 2" xfId="14373" xr:uid="{3F9A6C37-E867-402A-9026-CE769D12BF84}"/>
    <cellStyle name="Normal 2 4 5 2 2 5 4" xfId="10155" xr:uid="{5C1607A2-D949-4197-9E67-37869AC1D32D}"/>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1" xr:uid="{C7DE0F9C-DA7D-4901-8108-6B63314A8156}"/>
    <cellStyle name="Normal 2 4 5 2 2 6 2 3" xfId="12713" xr:uid="{95C2A003-48AF-4704-A691-7DF7252C55F8}"/>
    <cellStyle name="Normal 2 4 5 2 2 6 3" xfId="6350" xr:uid="{00000000-0005-0000-0000-00005B100000}"/>
    <cellStyle name="Normal 2 4 5 2 2 6 3 2" xfId="14786" xr:uid="{A69A3186-725C-4C32-A1F0-B3F1934194E8}"/>
    <cellStyle name="Normal 2 4 5 2 2 6 4" xfId="10568" xr:uid="{07200C92-D75A-49F5-AB36-07B6D75E7137}"/>
    <cellStyle name="Normal 2 4 5 2 2 7" xfId="2479" xr:uid="{00000000-0005-0000-0000-00005C100000}"/>
    <cellStyle name="Normal 2 4 5 2 2 7 2" xfId="6763" xr:uid="{00000000-0005-0000-0000-00005D100000}"/>
    <cellStyle name="Normal 2 4 5 2 2 7 2 2" xfId="15199" xr:uid="{7137A442-1F16-46B7-A710-D97C2244D3D0}"/>
    <cellStyle name="Normal 2 4 5 2 2 7 3" xfId="10981" xr:uid="{B23F8BF8-6C25-4074-9BD0-CA0DBB3458C9}"/>
    <cellStyle name="Normal 2 4 5 2 2 8" xfId="4697" xr:uid="{00000000-0005-0000-0000-00005E100000}"/>
    <cellStyle name="Normal 2 4 5 2 2 8 2" xfId="13133" xr:uid="{E72CB2D9-5E7A-4CFC-9B79-0212D6B51EB5}"/>
    <cellStyle name="Normal 2 4 5 2 2 9" xfId="8915" xr:uid="{8EFB784B-E2AA-4889-B0E8-5F6C399A20AE}"/>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4" xr:uid="{2124B98B-35CE-4039-B500-4254E816B0EF}"/>
    <cellStyle name="Normal 2 4 5 2 3 2 2 3" xfId="11476" xr:uid="{AC3A7A5E-E0E0-4AC7-B76C-105103106FA2}"/>
    <cellStyle name="Normal 2 4 5 2 3 2 3" xfId="5113" xr:uid="{00000000-0005-0000-0000-000063100000}"/>
    <cellStyle name="Normal 2 4 5 2 3 2 3 2" xfId="13549" xr:uid="{BECE27F8-57D6-4CEC-8EE9-EAB1EEAA2CDA}"/>
    <cellStyle name="Normal 2 4 5 2 3 2 4" xfId="9331" xr:uid="{60C3ED99-951C-4745-BA4C-085380445172}"/>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07" xr:uid="{F434D807-4506-4D49-A6B7-0A5C9068C913}"/>
    <cellStyle name="Normal 2 4 5 2 3 3 2 3" xfId="11889" xr:uid="{AABF0406-322B-40C0-A671-37A69DE1273D}"/>
    <cellStyle name="Normal 2 4 5 2 3 3 3" xfId="5526" xr:uid="{00000000-0005-0000-0000-000067100000}"/>
    <cellStyle name="Normal 2 4 5 2 3 3 3 2" xfId="13962" xr:uid="{B22BE97D-43DA-4C38-AABF-31C313038529}"/>
    <cellStyle name="Normal 2 4 5 2 3 3 4" xfId="9744" xr:uid="{D00EF99A-AF5C-440F-8FAB-D128F7509CC7}"/>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0" xr:uid="{B3E2F843-1CB9-4433-9F45-82F7E7CAC239}"/>
    <cellStyle name="Normal 2 4 5 2 3 4 2 3" xfId="12302" xr:uid="{3A78CA15-949E-4731-95D2-2B5A3653EA11}"/>
    <cellStyle name="Normal 2 4 5 2 3 4 3" xfId="5939" xr:uid="{00000000-0005-0000-0000-00006B100000}"/>
    <cellStyle name="Normal 2 4 5 2 3 4 3 2" xfId="14375" xr:uid="{B214D822-EBE5-446E-BC1E-C08A6AD8FF75}"/>
    <cellStyle name="Normal 2 4 5 2 3 4 4" xfId="10157" xr:uid="{1DCB2F12-6B09-4881-8B5E-C2EA4252736D}"/>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3" xr:uid="{BC9C965C-1862-463D-99D7-57919D42F6E7}"/>
    <cellStyle name="Normal 2 4 5 2 3 5 2 3" xfId="12715" xr:uid="{88B419A9-B484-44D2-8EFE-4B25DF24D56B}"/>
    <cellStyle name="Normal 2 4 5 2 3 5 3" xfId="6352" xr:uid="{00000000-0005-0000-0000-00006F100000}"/>
    <cellStyle name="Normal 2 4 5 2 3 5 3 2" xfId="14788" xr:uid="{DAC7D940-8BFA-48B4-B9D5-C5B68069775E}"/>
    <cellStyle name="Normal 2 4 5 2 3 5 4" xfId="10570" xr:uid="{6FA36FD7-4F31-45A6-980B-98417F6FC1F1}"/>
    <cellStyle name="Normal 2 4 5 2 3 6" xfId="2481" xr:uid="{00000000-0005-0000-0000-000070100000}"/>
    <cellStyle name="Normal 2 4 5 2 3 6 2" xfId="6765" xr:uid="{00000000-0005-0000-0000-000071100000}"/>
    <cellStyle name="Normal 2 4 5 2 3 6 2 2" xfId="15201" xr:uid="{7CD6823B-B949-4B9F-8C47-99828EAAA5F1}"/>
    <cellStyle name="Normal 2 4 5 2 3 6 3" xfId="10983" xr:uid="{B295C913-20D4-41A7-AF0A-5B23711082D5}"/>
    <cellStyle name="Normal 2 4 5 2 3 7" xfId="4699" xr:uid="{00000000-0005-0000-0000-000072100000}"/>
    <cellStyle name="Normal 2 4 5 2 3 7 2" xfId="13135" xr:uid="{D2F40A2D-BF20-4AFB-9B63-ADCD79BEE80D}"/>
    <cellStyle name="Normal 2 4 5 2 3 8" xfId="8917" xr:uid="{C327B2E6-7753-412F-928F-27F84D7981B3}"/>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1" xr:uid="{72A3B345-FB6A-4709-8165-2C75EB40768E}"/>
    <cellStyle name="Normal 2 4 5 2 4 2 3" xfId="11473" xr:uid="{C199C209-2F27-42FF-B845-3C98466C7F92}"/>
    <cellStyle name="Normal 2 4 5 2 4 3" xfId="5110" xr:uid="{00000000-0005-0000-0000-000076100000}"/>
    <cellStyle name="Normal 2 4 5 2 4 3 2" xfId="13546" xr:uid="{64570652-2C15-40F5-9C0B-8277A46450FF}"/>
    <cellStyle name="Normal 2 4 5 2 4 4" xfId="9328" xr:uid="{03B896D1-311A-496C-BE66-AE0416B16E62}"/>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4" xr:uid="{1815B022-C6F5-49D5-A2E3-2DD074B33DC9}"/>
    <cellStyle name="Normal 2 4 5 2 5 2 3" xfId="11886" xr:uid="{5EEC6DFD-36EA-46FF-90DA-C91E47F16BA0}"/>
    <cellStyle name="Normal 2 4 5 2 5 3" xfId="5523" xr:uid="{00000000-0005-0000-0000-00007A100000}"/>
    <cellStyle name="Normal 2 4 5 2 5 3 2" xfId="13959" xr:uid="{1B8C3494-2F6C-42DB-BDD2-7DDFB237ACD7}"/>
    <cellStyle name="Normal 2 4 5 2 5 4" xfId="9741" xr:uid="{D6535A86-A280-4BC0-83E7-B1665A9BC27D}"/>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17" xr:uid="{B911837E-FCE5-4075-B0D8-AC75AA2D7A5A}"/>
    <cellStyle name="Normal 2 4 5 2 6 2 3" xfId="12299" xr:uid="{2D3833AD-8790-47D4-A845-A2E16DBACC97}"/>
    <cellStyle name="Normal 2 4 5 2 6 3" xfId="5936" xr:uid="{00000000-0005-0000-0000-00007E100000}"/>
    <cellStyle name="Normal 2 4 5 2 6 3 2" xfId="14372" xr:uid="{B1C5678B-0378-41B2-ABAD-87E805FB63A6}"/>
    <cellStyle name="Normal 2 4 5 2 6 4" xfId="10154" xr:uid="{922E7AE1-7636-473A-A790-5346DA25073B}"/>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0" xr:uid="{FB0ED693-EDA8-4AA2-B573-36C5DE9356CD}"/>
    <cellStyle name="Normal 2 4 5 2 7 2 3" xfId="12712" xr:uid="{FF2D782A-C85B-41BD-9DA8-BE1E5DB95177}"/>
    <cellStyle name="Normal 2 4 5 2 7 3" xfId="6349" xr:uid="{00000000-0005-0000-0000-000082100000}"/>
    <cellStyle name="Normal 2 4 5 2 7 3 2" xfId="14785" xr:uid="{EDEAD716-4743-40F7-A191-5F7D6A3A09B4}"/>
    <cellStyle name="Normal 2 4 5 2 7 4" xfId="10567" xr:uid="{12FD55C3-993F-436E-AE32-BBBF7632AF53}"/>
    <cellStyle name="Normal 2 4 5 2 8" xfId="2478" xr:uid="{00000000-0005-0000-0000-000083100000}"/>
    <cellStyle name="Normal 2 4 5 2 8 2" xfId="6762" xr:uid="{00000000-0005-0000-0000-000084100000}"/>
    <cellStyle name="Normal 2 4 5 2 8 2 2" xfId="15198" xr:uid="{7135B45A-5F17-4A37-91A0-F7B1BDAF20DD}"/>
    <cellStyle name="Normal 2 4 5 2 8 3" xfId="10980" xr:uid="{12989282-878A-487B-9C7A-1AAA72294FF6}"/>
    <cellStyle name="Normal 2 4 5 2 9" xfId="4696" xr:uid="{00000000-0005-0000-0000-000085100000}"/>
    <cellStyle name="Normal 2 4 5 2 9 2" xfId="13132" xr:uid="{6D05DA0A-89DD-4C62-B1BB-E93F2A8A877E}"/>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6" xr:uid="{211BE10C-50F1-4493-8815-E36CBBD2E113}"/>
    <cellStyle name="Normal 2 4 5 3 2 2 2 3" xfId="11478" xr:uid="{18BF8BC6-4B96-4D20-AC7F-E8F82945B5AB}"/>
    <cellStyle name="Normal 2 4 5 3 2 2 3" xfId="5115" xr:uid="{00000000-0005-0000-0000-00008B100000}"/>
    <cellStyle name="Normal 2 4 5 3 2 2 3 2" xfId="13551" xr:uid="{284BEF4B-8FA3-4172-8F39-B1CBB374F8BB}"/>
    <cellStyle name="Normal 2 4 5 3 2 2 4" xfId="9333" xr:uid="{AE2305BC-BF22-478C-847B-47A363327D4E}"/>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09" xr:uid="{DC8E2E2A-C85C-4E4C-BB55-5C3F10702214}"/>
    <cellStyle name="Normal 2 4 5 3 2 3 2 3" xfId="11891" xr:uid="{38E46D94-5F9F-40A5-8867-0E7EB98B55E3}"/>
    <cellStyle name="Normal 2 4 5 3 2 3 3" xfId="5528" xr:uid="{00000000-0005-0000-0000-00008F100000}"/>
    <cellStyle name="Normal 2 4 5 3 2 3 3 2" xfId="13964" xr:uid="{2DAF5555-394E-456F-87A9-C99137EBA00A}"/>
    <cellStyle name="Normal 2 4 5 3 2 3 4" xfId="9746" xr:uid="{97794559-F048-4AC5-809F-490242A3DD1C}"/>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2" xr:uid="{C762AC13-0874-4C8B-AC13-328936E5AFB8}"/>
    <cellStyle name="Normal 2 4 5 3 2 4 2 3" xfId="12304" xr:uid="{9B8282B2-5F84-4EB2-AAE2-2185FD2D9B00}"/>
    <cellStyle name="Normal 2 4 5 3 2 4 3" xfId="5941" xr:uid="{00000000-0005-0000-0000-000093100000}"/>
    <cellStyle name="Normal 2 4 5 3 2 4 3 2" xfId="14377" xr:uid="{7E314201-44E7-4D66-AB36-9BBD460EC947}"/>
    <cellStyle name="Normal 2 4 5 3 2 4 4" xfId="10159" xr:uid="{8D4D128B-9E75-4BAF-9159-2EECB34FB681}"/>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5" xr:uid="{AA9C2D6A-571D-4A24-BC6E-D491143F7A4D}"/>
    <cellStyle name="Normal 2 4 5 3 2 5 2 3" xfId="12717" xr:uid="{05A3C074-5A5D-4D4E-8CA2-B5676AF5A933}"/>
    <cellStyle name="Normal 2 4 5 3 2 5 3" xfId="6354" xr:uid="{00000000-0005-0000-0000-000097100000}"/>
    <cellStyle name="Normal 2 4 5 3 2 5 3 2" xfId="14790" xr:uid="{A3AE3989-C1AA-413D-BA9F-531663298440}"/>
    <cellStyle name="Normal 2 4 5 3 2 5 4" xfId="10572" xr:uid="{739286D1-DF52-4C37-ACA5-C50AC7F60E17}"/>
    <cellStyle name="Normal 2 4 5 3 2 6" xfId="2483" xr:uid="{00000000-0005-0000-0000-000098100000}"/>
    <cellStyle name="Normal 2 4 5 3 2 6 2" xfId="6767" xr:uid="{00000000-0005-0000-0000-000099100000}"/>
    <cellStyle name="Normal 2 4 5 3 2 6 2 2" xfId="15203" xr:uid="{8441B133-3BB4-404D-B960-78C5948CB933}"/>
    <cellStyle name="Normal 2 4 5 3 2 6 3" xfId="10985" xr:uid="{6B7B8F38-FD18-4550-B469-703B16369697}"/>
    <cellStyle name="Normal 2 4 5 3 2 7" xfId="4701" xr:uid="{00000000-0005-0000-0000-00009A100000}"/>
    <cellStyle name="Normal 2 4 5 3 2 7 2" xfId="13137" xr:uid="{A902152A-4BCB-4637-83B2-6843EDE084DD}"/>
    <cellStyle name="Normal 2 4 5 3 2 8" xfId="8919" xr:uid="{492E3103-7355-455B-B328-9CA2412EC62D}"/>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5" xr:uid="{4C3E1759-24D7-435B-B75F-89B5CD3F4DCF}"/>
    <cellStyle name="Normal 2 4 5 3 3 2 3" xfId="11477" xr:uid="{4EB3C60E-4D26-4374-B7DF-BFAB85FFF5D6}"/>
    <cellStyle name="Normal 2 4 5 3 3 3" xfId="5114" xr:uid="{00000000-0005-0000-0000-00009E100000}"/>
    <cellStyle name="Normal 2 4 5 3 3 3 2" xfId="13550" xr:uid="{E7FB5833-F9A0-48B5-BFD4-BE2CC4A6F883}"/>
    <cellStyle name="Normal 2 4 5 3 3 4" xfId="9332" xr:uid="{FDFFDB96-1B18-4EA8-A8A9-CE9D310D05B4}"/>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08" xr:uid="{52C5C823-35C4-456B-B06E-F503051AE4C2}"/>
    <cellStyle name="Normal 2 4 5 3 4 2 3" xfId="11890" xr:uid="{3466A44E-4872-4268-AA4A-AFAE8D23FF51}"/>
    <cellStyle name="Normal 2 4 5 3 4 3" xfId="5527" xr:uid="{00000000-0005-0000-0000-0000A2100000}"/>
    <cellStyle name="Normal 2 4 5 3 4 3 2" xfId="13963" xr:uid="{9E625812-F154-4C4F-BE6F-611D6E7EC249}"/>
    <cellStyle name="Normal 2 4 5 3 4 4" xfId="9745" xr:uid="{425B2D0D-C0C2-45BB-BE3C-24AB4F6C4C47}"/>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1" xr:uid="{4EB303D3-B345-4BF5-A74E-6B91AB78F15D}"/>
    <cellStyle name="Normal 2 4 5 3 5 2 3" xfId="12303" xr:uid="{4A5240A1-14D0-4AA2-9D47-F8963F22727E}"/>
    <cellStyle name="Normal 2 4 5 3 5 3" xfId="5940" xr:uid="{00000000-0005-0000-0000-0000A6100000}"/>
    <cellStyle name="Normal 2 4 5 3 5 3 2" xfId="14376" xr:uid="{6068502F-75A6-405F-A767-2E661BE7DB94}"/>
    <cellStyle name="Normal 2 4 5 3 5 4" xfId="10158" xr:uid="{F38E517C-178E-45A2-9EA0-D97E85892AD4}"/>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4" xr:uid="{513132B3-F8BD-4A81-868E-0E20B708FDDD}"/>
    <cellStyle name="Normal 2 4 5 3 6 2 3" xfId="12716" xr:uid="{5E82A218-EA9B-4F72-BD1A-B4D62119B2EE}"/>
    <cellStyle name="Normal 2 4 5 3 6 3" xfId="6353" xr:uid="{00000000-0005-0000-0000-0000AA100000}"/>
    <cellStyle name="Normal 2 4 5 3 6 3 2" xfId="14789" xr:uid="{2B877CEA-DACA-46C9-92A8-CCED2755F460}"/>
    <cellStyle name="Normal 2 4 5 3 6 4" xfId="10571" xr:uid="{AC6DE078-E73C-459C-93C8-ABFCA83A83AD}"/>
    <cellStyle name="Normal 2 4 5 3 7" xfId="2482" xr:uid="{00000000-0005-0000-0000-0000AB100000}"/>
    <cellStyle name="Normal 2 4 5 3 7 2" xfId="6766" xr:uid="{00000000-0005-0000-0000-0000AC100000}"/>
    <cellStyle name="Normal 2 4 5 3 7 2 2" xfId="15202" xr:uid="{96D29334-DCD8-470D-9F37-F9807C07EA18}"/>
    <cellStyle name="Normal 2 4 5 3 7 3" xfId="10984" xr:uid="{DE3B5CD2-80BB-4626-92C5-DA9053E4CE61}"/>
    <cellStyle name="Normal 2 4 5 3 8" xfId="4700" xr:uid="{00000000-0005-0000-0000-0000AD100000}"/>
    <cellStyle name="Normal 2 4 5 3 8 2" xfId="13136" xr:uid="{5B876CD2-3027-4660-88DA-41C8AFCCA53C}"/>
    <cellStyle name="Normal 2 4 5 3 9" xfId="8918" xr:uid="{DF0E60D9-6E65-4DF2-80E6-E77AE0E3A3D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697" xr:uid="{519360A2-CECB-4006-A9A2-D8A423BDC271}"/>
    <cellStyle name="Normal 2 4 5 4 2 2 3" xfId="11479" xr:uid="{11B3C216-AE11-42F4-800F-114B6A452F1F}"/>
    <cellStyle name="Normal 2 4 5 4 2 3" xfId="5116" xr:uid="{00000000-0005-0000-0000-0000B2100000}"/>
    <cellStyle name="Normal 2 4 5 4 2 3 2" xfId="13552" xr:uid="{810DA3D5-FCCF-4744-946D-83FE4113CA6E}"/>
    <cellStyle name="Normal 2 4 5 4 2 4" xfId="9334" xr:uid="{A3756AA8-4274-4FF4-8BD1-5F01C1D66FB5}"/>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0" xr:uid="{1C68DD13-29FF-4FB7-91E2-1A394C35B227}"/>
    <cellStyle name="Normal 2 4 5 4 3 2 3" xfId="11892" xr:uid="{BC0C4AAF-E901-4B75-8C43-3004C06738E1}"/>
    <cellStyle name="Normal 2 4 5 4 3 3" xfId="5529" xr:uid="{00000000-0005-0000-0000-0000B6100000}"/>
    <cellStyle name="Normal 2 4 5 4 3 3 2" xfId="13965" xr:uid="{0D30EA37-56FE-48D7-A245-98039F3986A2}"/>
    <cellStyle name="Normal 2 4 5 4 3 4" xfId="9747" xr:uid="{53E848D0-5A47-4E69-AF4B-2318F7F7472A}"/>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3" xr:uid="{F7B09C51-F1BF-4A60-9968-0981756BC4B4}"/>
    <cellStyle name="Normal 2 4 5 4 4 2 3" xfId="12305" xr:uid="{D56ECF6A-7931-4760-A35C-B088F94B4CDE}"/>
    <cellStyle name="Normal 2 4 5 4 4 3" xfId="5942" xr:uid="{00000000-0005-0000-0000-0000BA100000}"/>
    <cellStyle name="Normal 2 4 5 4 4 3 2" xfId="14378" xr:uid="{FA504297-3A9A-404E-96CB-65E764F69F29}"/>
    <cellStyle name="Normal 2 4 5 4 4 4" xfId="10160" xr:uid="{8C755B91-361F-4D70-B2F6-D73D86FACD3B}"/>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6" xr:uid="{088FEAF5-03BA-41EC-90B1-33FECAEA5FCC}"/>
    <cellStyle name="Normal 2 4 5 4 5 2 3" xfId="12718" xr:uid="{6F3AA93F-71E8-4BFA-9825-E73FF00AC431}"/>
    <cellStyle name="Normal 2 4 5 4 5 3" xfId="6355" xr:uid="{00000000-0005-0000-0000-0000BE100000}"/>
    <cellStyle name="Normal 2 4 5 4 5 3 2" xfId="14791" xr:uid="{83082677-8AC2-4035-AD14-9107C12AB166}"/>
    <cellStyle name="Normal 2 4 5 4 5 4" xfId="10573" xr:uid="{9FC96C82-A4F8-402E-83A7-1283B0E56C31}"/>
    <cellStyle name="Normal 2 4 5 4 6" xfId="2484" xr:uid="{00000000-0005-0000-0000-0000BF100000}"/>
    <cellStyle name="Normal 2 4 5 4 6 2" xfId="6768" xr:uid="{00000000-0005-0000-0000-0000C0100000}"/>
    <cellStyle name="Normal 2 4 5 4 6 2 2" xfId="15204" xr:uid="{0892D592-795B-4951-9A19-F64EF1CE46DE}"/>
    <cellStyle name="Normal 2 4 5 4 6 3" xfId="10986" xr:uid="{F9CFE4A0-0820-4D02-9B24-D401D45C6812}"/>
    <cellStyle name="Normal 2 4 5 4 7" xfId="4702" xr:uid="{00000000-0005-0000-0000-0000C1100000}"/>
    <cellStyle name="Normal 2 4 5 4 7 2" xfId="13138" xr:uid="{B922D6FE-1CFA-40E5-9B22-2DE0D3C548D4}"/>
    <cellStyle name="Normal 2 4 5 4 8" xfId="8920" xr:uid="{A7F857E7-0B1A-4306-A5E3-39431B7A01DA}"/>
    <cellStyle name="Normal 2 4 5 5" xfId="792" xr:uid="{00000000-0005-0000-0000-0000C2100000}"/>
    <cellStyle name="Normal 2 4 5 5 2" xfId="3031" xr:uid="{00000000-0005-0000-0000-0000C3100000}"/>
    <cellStyle name="Normal 2 4 5 5 2 2" xfId="7254" xr:uid="{00000000-0005-0000-0000-0000C4100000}"/>
    <cellStyle name="Normal 2 4 5 5 2 2 2" xfId="15690" xr:uid="{BA628D05-EF89-4EC0-A815-E079E1198936}"/>
    <cellStyle name="Normal 2 4 5 5 2 3" xfId="11472" xr:uid="{BE75C722-2936-4C57-90A6-25BF5E043027}"/>
    <cellStyle name="Normal 2 4 5 5 3" xfId="5109" xr:uid="{00000000-0005-0000-0000-0000C5100000}"/>
    <cellStyle name="Normal 2 4 5 5 3 2" xfId="13545" xr:uid="{1038F973-E288-49F3-BDFE-B8BE3604CFB3}"/>
    <cellStyle name="Normal 2 4 5 5 4" xfId="9327" xr:uid="{7D2D54EB-F7C3-46BC-BC4D-92EDADFF674A}"/>
    <cellStyle name="Normal 2 4 5 6" xfId="1214" xr:uid="{00000000-0005-0000-0000-0000C6100000}"/>
    <cellStyle name="Normal 2 4 5 6 2" xfId="3444" xr:uid="{00000000-0005-0000-0000-0000C7100000}"/>
    <cellStyle name="Normal 2 4 5 6 2 2" xfId="7667" xr:uid="{00000000-0005-0000-0000-0000C8100000}"/>
    <cellStyle name="Normal 2 4 5 6 2 2 2" xfId="16103" xr:uid="{C091CE8C-89E0-45AD-A2D1-098FBA6964E0}"/>
    <cellStyle name="Normal 2 4 5 6 2 3" xfId="11885" xr:uid="{F49D2812-5C37-43A6-B709-54CAAA43A983}"/>
    <cellStyle name="Normal 2 4 5 6 3" xfId="5522" xr:uid="{00000000-0005-0000-0000-0000C9100000}"/>
    <cellStyle name="Normal 2 4 5 6 3 2" xfId="13958" xr:uid="{28172BEA-D95C-4F0F-8029-1CBE85404132}"/>
    <cellStyle name="Normal 2 4 5 6 4" xfId="9740" xr:uid="{2FFBE2BF-6BDE-4D31-B3DD-099B1A56E032}"/>
    <cellStyle name="Normal 2 4 5 7" xfId="1627" xr:uid="{00000000-0005-0000-0000-0000CA100000}"/>
    <cellStyle name="Normal 2 4 5 7 2" xfId="3857" xr:uid="{00000000-0005-0000-0000-0000CB100000}"/>
    <cellStyle name="Normal 2 4 5 7 2 2" xfId="8080" xr:uid="{00000000-0005-0000-0000-0000CC100000}"/>
    <cellStyle name="Normal 2 4 5 7 2 2 2" xfId="16516" xr:uid="{9CD15D4A-EA3A-48D4-A618-5FBE8E52DFDC}"/>
    <cellStyle name="Normal 2 4 5 7 2 3" xfId="12298" xr:uid="{0080AF1E-212D-43F8-ABA0-C32F6A6DE1F3}"/>
    <cellStyle name="Normal 2 4 5 7 3" xfId="5935" xr:uid="{00000000-0005-0000-0000-0000CD100000}"/>
    <cellStyle name="Normal 2 4 5 7 3 2" xfId="14371" xr:uid="{6A3151E9-1B0E-4031-9BF6-DA70689640BC}"/>
    <cellStyle name="Normal 2 4 5 7 4" xfId="10153" xr:uid="{A90B97A5-90E1-4505-B79F-1A2E8C9EBD04}"/>
    <cellStyle name="Normal 2 4 5 8" xfId="2041" xr:uid="{00000000-0005-0000-0000-0000CE100000}"/>
    <cellStyle name="Normal 2 4 5 8 2" xfId="4270" xr:uid="{00000000-0005-0000-0000-0000CF100000}"/>
    <cellStyle name="Normal 2 4 5 8 2 2" xfId="8493" xr:uid="{00000000-0005-0000-0000-0000D0100000}"/>
    <cellStyle name="Normal 2 4 5 8 2 2 2" xfId="16929" xr:uid="{D964A38C-0E6F-438B-9891-752B56BE1F87}"/>
    <cellStyle name="Normal 2 4 5 8 2 3" xfId="12711" xr:uid="{071D72BD-9BCD-4E07-BC3E-95D10B23BEF3}"/>
    <cellStyle name="Normal 2 4 5 8 3" xfId="6348" xr:uid="{00000000-0005-0000-0000-0000D1100000}"/>
    <cellStyle name="Normal 2 4 5 8 3 2" xfId="14784" xr:uid="{23728CD9-E29E-4F68-835D-D6451F415BA1}"/>
    <cellStyle name="Normal 2 4 5 8 4" xfId="10566" xr:uid="{EBC25E79-2E53-4829-81A2-67ADDD04B5B9}"/>
    <cellStyle name="Normal 2 4 5 9" xfId="2477" xr:uid="{00000000-0005-0000-0000-0000D2100000}"/>
    <cellStyle name="Normal 2 4 5 9 2" xfId="6761" xr:uid="{00000000-0005-0000-0000-0000D3100000}"/>
    <cellStyle name="Normal 2 4 5 9 2 2" xfId="15197" xr:uid="{52960AF0-85AE-48B8-A139-6F4FA65217ED}"/>
    <cellStyle name="Normal 2 4 5 9 3" xfId="10979" xr:uid="{EDD9F5A6-E9EE-4655-A47C-994B6D75FD7A}"/>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699" xr:uid="{208BCCC5-4A3F-4692-B2B3-86A4FAA881E3}"/>
    <cellStyle name="Normal 2 4 7 2 2 2 3" xfId="11481" xr:uid="{C93E7FB2-993D-4318-A9A4-9FE65ED91D61}"/>
    <cellStyle name="Normal 2 4 7 2 2 3" xfId="5118" xr:uid="{00000000-0005-0000-0000-0000DA100000}"/>
    <cellStyle name="Normal 2 4 7 2 2 3 2" xfId="13554" xr:uid="{A5A7C7D0-C664-412E-8151-6F8B2E340247}"/>
    <cellStyle name="Normal 2 4 7 2 2 4" xfId="9336" xr:uid="{5311653D-266E-409D-91BC-B949025DF575}"/>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2" xr:uid="{5F5592AF-9307-4F04-A592-C2D9FB3C5917}"/>
    <cellStyle name="Normal 2 4 7 2 3 2 3" xfId="11894" xr:uid="{1FB0769C-E480-442F-8AA2-F466BEA8CAA8}"/>
    <cellStyle name="Normal 2 4 7 2 3 3" xfId="5531" xr:uid="{00000000-0005-0000-0000-0000DE100000}"/>
    <cellStyle name="Normal 2 4 7 2 3 3 2" xfId="13967" xr:uid="{51D180DC-7452-49B7-9E12-7DB6690E06D8}"/>
    <cellStyle name="Normal 2 4 7 2 3 4" xfId="9749" xr:uid="{7C33C382-6177-42E4-99F2-69B35C40DA59}"/>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5" xr:uid="{11B18F15-B91D-47C3-919B-57536DDC97E1}"/>
    <cellStyle name="Normal 2 4 7 2 4 2 3" xfId="12307" xr:uid="{0BC25347-D911-435E-A3A0-3DB8809A6177}"/>
    <cellStyle name="Normal 2 4 7 2 4 3" xfId="5944" xr:uid="{00000000-0005-0000-0000-0000E2100000}"/>
    <cellStyle name="Normal 2 4 7 2 4 3 2" xfId="14380" xr:uid="{C6CECF4E-BCE2-400B-8FD4-0C8C841FC2F4}"/>
    <cellStyle name="Normal 2 4 7 2 4 4" xfId="10162" xr:uid="{89A9377D-2270-4FDB-A18D-AA17FCD04863}"/>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38" xr:uid="{4510700D-D302-4094-B712-E451E65E4473}"/>
    <cellStyle name="Normal 2 4 7 2 5 2 3" xfId="12720" xr:uid="{7BB45951-2B58-4A52-98D2-1634F665284E}"/>
    <cellStyle name="Normal 2 4 7 2 5 3" xfId="6357" xr:uid="{00000000-0005-0000-0000-0000E6100000}"/>
    <cellStyle name="Normal 2 4 7 2 5 3 2" xfId="14793" xr:uid="{C5003E94-49B3-4C1F-A74B-D0BD8FCB0996}"/>
    <cellStyle name="Normal 2 4 7 2 5 4" xfId="10575" xr:uid="{D231FBFA-6185-44BC-9C79-C26EE0FE9ABD}"/>
    <cellStyle name="Normal 2 4 7 2 6" xfId="2486" xr:uid="{00000000-0005-0000-0000-0000E7100000}"/>
    <cellStyle name="Normal 2 4 7 2 6 2" xfId="6770" xr:uid="{00000000-0005-0000-0000-0000E8100000}"/>
    <cellStyle name="Normal 2 4 7 2 6 2 2" xfId="15206" xr:uid="{F26241DB-319C-45F5-9886-FCD41AA2B2B2}"/>
    <cellStyle name="Normal 2 4 7 2 6 3" xfId="10988" xr:uid="{A085FA47-E27A-4532-9DC3-6A838ED62407}"/>
    <cellStyle name="Normal 2 4 7 2 7" xfId="4704" xr:uid="{00000000-0005-0000-0000-0000E9100000}"/>
    <cellStyle name="Normal 2 4 7 2 7 2" xfId="13140" xr:uid="{D31FF47D-CD2B-4EF5-89EF-0CC29C568DF0}"/>
    <cellStyle name="Normal 2 4 7 2 8" xfId="8922" xr:uid="{1BD35BB5-DC65-48FF-B1B9-E861ABA17240}"/>
    <cellStyle name="Normal 2 4 7 3" xfId="800" xr:uid="{00000000-0005-0000-0000-0000EA100000}"/>
    <cellStyle name="Normal 2 4 7 3 2" xfId="3039" xr:uid="{00000000-0005-0000-0000-0000EB100000}"/>
    <cellStyle name="Normal 2 4 7 3 2 2" xfId="7262" xr:uid="{00000000-0005-0000-0000-0000EC100000}"/>
    <cellStyle name="Normal 2 4 7 3 2 2 2" xfId="15698" xr:uid="{14DC716D-9387-41CD-9CB4-F95D565B1DA7}"/>
    <cellStyle name="Normal 2 4 7 3 2 3" xfId="11480" xr:uid="{AE39BAFF-D7EC-456E-9AC7-C2D0E135BA05}"/>
    <cellStyle name="Normal 2 4 7 3 3" xfId="5117" xr:uid="{00000000-0005-0000-0000-0000ED100000}"/>
    <cellStyle name="Normal 2 4 7 3 3 2" xfId="13553" xr:uid="{A0CBE9C9-182E-4BE8-AF21-7B0C07711DB0}"/>
    <cellStyle name="Normal 2 4 7 3 4" xfId="9335" xr:uid="{5C92BCF0-BF3C-45C1-AA91-C7699CD4C888}"/>
    <cellStyle name="Normal 2 4 7 4" xfId="1222" xr:uid="{00000000-0005-0000-0000-0000EE100000}"/>
    <cellStyle name="Normal 2 4 7 4 2" xfId="3452" xr:uid="{00000000-0005-0000-0000-0000EF100000}"/>
    <cellStyle name="Normal 2 4 7 4 2 2" xfId="7675" xr:uid="{00000000-0005-0000-0000-0000F0100000}"/>
    <cellStyle name="Normal 2 4 7 4 2 2 2" xfId="16111" xr:uid="{E5CDF851-A78C-4B06-BF57-45D5CF70E5A9}"/>
    <cellStyle name="Normal 2 4 7 4 2 3" xfId="11893" xr:uid="{A1B70318-6C2D-4E31-97A5-00F63C39D717}"/>
    <cellStyle name="Normal 2 4 7 4 3" xfId="5530" xr:uid="{00000000-0005-0000-0000-0000F1100000}"/>
    <cellStyle name="Normal 2 4 7 4 3 2" xfId="13966" xr:uid="{95F15F85-E400-465E-95C9-2D1F9CB22BFA}"/>
    <cellStyle name="Normal 2 4 7 4 4" xfId="9748" xr:uid="{48F1A637-2D75-4E6A-85F3-57EBF8642F33}"/>
    <cellStyle name="Normal 2 4 7 5" xfId="1635" xr:uid="{00000000-0005-0000-0000-0000F2100000}"/>
    <cellStyle name="Normal 2 4 7 5 2" xfId="3865" xr:uid="{00000000-0005-0000-0000-0000F3100000}"/>
    <cellStyle name="Normal 2 4 7 5 2 2" xfId="8088" xr:uid="{00000000-0005-0000-0000-0000F4100000}"/>
    <cellStyle name="Normal 2 4 7 5 2 2 2" xfId="16524" xr:uid="{31204FC0-F2AD-4D1A-A124-6E6710E4C32C}"/>
    <cellStyle name="Normal 2 4 7 5 2 3" xfId="12306" xr:uid="{6FF45ED7-491D-436B-9F54-CDB6641F5EEB}"/>
    <cellStyle name="Normal 2 4 7 5 3" xfId="5943" xr:uid="{00000000-0005-0000-0000-0000F5100000}"/>
    <cellStyle name="Normal 2 4 7 5 3 2" xfId="14379" xr:uid="{147C0011-8145-4E3D-9625-D76A11152DE1}"/>
    <cellStyle name="Normal 2 4 7 5 4" xfId="10161" xr:uid="{F37FBACA-FEB5-4368-B6AB-A51FDB4DB19E}"/>
    <cellStyle name="Normal 2 4 7 6" xfId="2049" xr:uid="{00000000-0005-0000-0000-0000F6100000}"/>
    <cellStyle name="Normal 2 4 7 6 2" xfId="4278" xr:uid="{00000000-0005-0000-0000-0000F7100000}"/>
    <cellStyle name="Normal 2 4 7 6 2 2" xfId="8501" xr:uid="{00000000-0005-0000-0000-0000F8100000}"/>
    <cellStyle name="Normal 2 4 7 6 2 2 2" xfId="16937" xr:uid="{5B569BBD-479B-412D-A261-7A9D476E2FAA}"/>
    <cellStyle name="Normal 2 4 7 6 2 3" xfId="12719" xr:uid="{A01B4391-E40B-48F6-BB1D-8D6E3EB0D27E}"/>
    <cellStyle name="Normal 2 4 7 6 3" xfId="6356" xr:uid="{00000000-0005-0000-0000-0000F9100000}"/>
    <cellStyle name="Normal 2 4 7 6 3 2" xfId="14792" xr:uid="{BFFF5B3C-1F5F-4719-A203-0B83128DCC3F}"/>
    <cellStyle name="Normal 2 4 7 6 4" xfId="10574" xr:uid="{AE4E37BA-CC41-4D1F-B421-015175187DDD}"/>
    <cellStyle name="Normal 2 4 7 7" xfId="2485" xr:uid="{00000000-0005-0000-0000-0000FA100000}"/>
    <cellStyle name="Normal 2 4 7 7 2" xfId="6769" xr:uid="{00000000-0005-0000-0000-0000FB100000}"/>
    <cellStyle name="Normal 2 4 7 7 2 2" xfId="15205" xr:uid="{F7040DA2-5721-4C41-9265-32048B098262}"/>
    <cellStyle name="Normal 2 4 7 7 3" xfId="10987" xr:uid="{6D87585F-8ACF-4DF1-BCB1-CC799171C79F}"/>
    <cellStyle name="Normal 2 4 7 8" xfId="4703" xr:uid="{00000000-0005-0000-0000-0000FC100000}"/>
    <cellStyle name="Normal 2 4 7 8 2" xfId="13139" xr:uid="{92BF059B-183B-43D2-B786-E12CD29D508F}"/>
    <cellStyle name="Normal 2 4 7 9" xfId="8921" xr:uid="{6A94B8DB-4051-43ED-A426-AE6A17D0D3EB}"/>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0" xr:uid="{7BE427CB-E193-4ECF-8D25-0308C5D314EF}"/>
    <cellStyle name="Normal 2 4 8 2 2 3" xfId="11482" xr:uid="{2F643D84-3778-4CAE-AC0E-E2BD04959103}"/>
    <cellStyle name="Normal 2 4 8 2 3" xfId="5119" xr:uid="{00000000-0005-0000-0000-000001110000}"/>
    <cellStyle name="Normal 2 4 8 2 3 2" xfId="13555" xr:uid="{48E2B532-AD5D-41C6-B943-8281CD3E74C4}"/>
    <cellStyle name="Normal 2 4 8 2 4" xfId="9337" xr:uid="{EF46C711-45BE-443C-8A5A-915B220C228D}"/>
    <cellStyle name="Normal 2 4 8 3" xfId="1224" xr:uid="{00000000-0005-0000-0000-000002110000}"/>
    <cellStyle name="Normal 2 4 8 3 2" xfId="3454" xr:uid="{00000000-0005-0000-0000-000003110000}"/>
    <cellStyle name="Normal 2 4 8 3 2 2" xfId="7677" xr:uid="{00000000-0005-0000-0000-000004110000}"/>
    <cellStyle name="Normal 2 4 8 3 2 2 2" xfId="16113" xr:uid="{D8BD84B1-D78D-424E-94FB-F84B450C65E2}"/>
    <cellStyle name="Normal 2 4 8 3 2 3" xfId="11895" xr:uid="{893AF7C0-BEB7-4D70-9113-44AF1F829485}"/>
    <cellStyle name="Normal 2 4 8 3 3" xfId="5532" xr:uid="{00000000-0005-0000-0000-000005110000}"/>
    <cellStyle name="Normal 2 4 8 3 3 2" xfId="13968" xr:uid="{8D91E35F-BEA2-4CBF-ACA2-CE5C696F77D8}"/>
    <cellStyle name="Normal 2 4 8 3 4" xfId="9750" xr:uid="{39B04A05-C770-484F-B80D-4D1A29E470A8}"/>
    <cellStyle name="Normal 2 4 8 4" xfId="1637" xr:uid="{00000000-0005-0000-0000-000006110000}"/>
    <cellStyle name="Normal 2 4 8 4 2" xfId="3867" xr:uid="{00000000-0005-0000-0000-000007110000}"/>
    <cellStyle name="Normal 2 4 8 4 2 2" xfId="8090" xr:uid="{00000000-0005-0000-0000-000008110000}"/>
    <cellStyle name="Normal 2 4 8 4 2 2 2" xfId="16526" xr:uid="{03A2A0B4-302F-4DBB-8347-5E5DC95C7106}"/>
    <cellStyle name="Normal 2 4 8 4 2 3" xfId="12308" xr:uid="{DFEE4CF9-F0EA-4644-A284-419A87413D8A}"/>
    <cellStyle name="Normal 2 4 8 4 3" xfId="5945" xr:uid="{00000000-0005-0000-0000-000009110000}"/>
    <cellStyle name="Normal 2 4 8 4 3 2" xfId="14381" xr:uid="{8013B75E-08C3-43EA-8E30-A8C6EA44C7DA}"/>
    <cellStyle name="Normal 2 4 8 4 4" xfId="10163" xr:uid="{ACACEE11-79A5-423C-A9C5-0B0D2A196710}"/>
    <cellStyle name="Normal 2 4 8 5" xfId="2051" xr:uid="{00000000-0005-0000-0000-00000A110000}"/>
    <cellStyle name="Normal 2 4 8 5 2" xfId="4280" xr:uid="{00000000-0005-0000-0000-00000B110000}"/>
    <cellStyle name="Normal 2 4 8 5 2 2" xfId="8503" xr:uid="{00000000-0005-0000-0000-00000C110000}"/>
    <cellStyle name="Normal 2 4 8 5 2 2 2" xfId="16939" xr:uid="{ABBBF4F3-EA9F-494F-99AF-98CA6F6999D0}"/>
    <cellStyle name="Normal 2 4 8 5 2 3" xfId="12721" xr:uid="{84DF1F5C-82A7-449D-B1A7-F4139092E4D4}"/>
    <cellStyle name="Normal 2 4 8 5 3" xfId="6358" xr:uid="{00000000-0005-0000-0000-00000D110000}"/>
    <cellStyle name="Normal 2 4 8 5 3 2" xfId="14794" xr:uid="{3CC1B58F-CB38-4ABE-B708-9017129098CD}"/>
    <cellStyle name="Normal 2 4 8 5 4" xfId="10576" xr:uid="{9C214710-C194-47DB-A907-CEF7E0DEA712}"/>
    <cellStyle name="Normal 2 4 8 6" xfId="2487" xr:uid="{00000000-0005-0000-0000-00000E110000}"/>
    <cellStyle name="Normal 2 4 8 6 2" xfId="6771" xr:uid="{00000000-0005-0000-0000-00000F110000}"/>
    <cellStyle name="Normal 2 4 8 6 2 2" xfId="15207" xr:uid="{12A3A6F7-FC92-4300-8282-2A8F0DA12F89}"/>
    <cellStyle name="Normal 2 4 8 6 3" xfId="10989" xr:uid="{545AC80F-78B9-4650-AAB9-8A6184506320}"/>
    <cellStyle name="Normal 2 4 8 7" xfId="4705" xr:uid="{00000000-0005-0000-0000-000010110000}"/>
    <cellStyle name="Normal 2 4 8 7 2" xfId="13141" xr:uid="{707DA670-7ED5-4CA1-87CF-60C52CD62B4E}"/>
    <cellStyle name="Normal 2 4 8 8" xfId="8923" xr:uid="{3DCD9AE5-FBD4-4785-914E-D7E7576B6703}"/>
    <cellStyle name="Normal 2 5" xfId="315" xr:uid="{00000000-0005-0000-0000-000011110000}"/>
    <cellStyle name="Normal 2 5 10" xfId="4706" xr:uid="{00000000-0005-0000-0000-000012110000}"/>
    <cellStyle name="Normal 2 5 10 2" xfId="13142" xr:uid="{0C7705B9-0349-4189-83EB-15516000969C}"/>
    <cellStyle name="Normal 2 5 11" xfId="8924" xr:uid="{443A2847-CDF5-4F5B-AA08-F13352F1F2CA}"/>
    <cellStyle name="Normal 2 5 2" xfId="316" xr:uid="{00000000-0005-0000-0000-000013110000}"/>
    <cellStyle name="Normal 2 5 3" xfId="317" xr:uid="{00000000-0005-0000-0000-000014110000}"/>
    <cellStyle name="Normal 2 5 4" xfId="318" xr:uid="{00000000-0005-0000-0000-000015110000}"/>
    <cellStyle name="Normal 2 5 4 10" xfId="8925" xr:uid="{9D9ECA97-CEA2-4717-8E16-F7C0E1C47AE9}"/>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4" xr:uid="{8A0ABC6C-E84A-41F5-8380-6BBD7E4769A8}"/>
    <cellStyle name="Normal 2 5 4 2 2 2 2 3" xfId="11486" xr:uid="{48DAEE96-5DF0-4E1B-9F5C-BF00A2805048}"/>
    <cellStyle name="Normal 2 5 4 2 2 2 3" xfId="5123" xr:uid="{00000000-0005-0000-0000-00001B110000}"/>
    <cellStyle name="Normal 2 5 4 2 2 2 3 2" xfId="13559" xr:uid="{9E881B9C-2F7E-428F-B401-242D8E947F10}"/>
    <cellStyle name="Normal 2 5 4 2 2 2 4" xfId="9341" xr:uid="{12924050-906B-456B-85E4-9B2FBF0C34BC}"/>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17" xr:uid="{30677B77-83BA-47F3-9B5F-3CA5FE8B83DA}"/>
    <cellStyle name="Normal 2 5 4 2 2 3 2 3" xfId="11899" xr:uid="{585DC2DC-8A98-44B0-AAFD-ED241936E176}"/>
    <cellStyle name="Normal 2 5 4 2 2 3 3" xfId="5536" xr:uid="{00000000-0005-0000-0000-00001F110000}"/>
    <cellStyle name="Normal 2 5 4 2 2 3 3 2" xfId="13972" xr:uid="{88776C83-92D1-43E5-AF26-11D819FBB5C4}"/>
    <cellStyle name="Normal 2 5 4 2 2 3 4" xfId="9754" xr:uid="{7FB28BB7-F33C-4884-A1BA-E9F98212196B}"/>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0" xr:uid="{787C9722-5CCA-4105-A6C5-02DC0B1AF838}"/>
    <cellStyle name="Normal 2 5 4 2 2 4 2 3" xfId="12312" xr:uid="{8A3707F5-DCE5-48F5-866B-CFDFB948AD23}"/>
    <cellStyle name="Normal 2 5 4 2 2 4 3" xfId="5949" xr:uid="{00000000-0005-0000-0000-000023110000}"/>
    <cellStyle name="Normal 2 5 4 2 2 4 3 2" xfId="14385" xr:uid="{2EECBCEB-C547-4C8E-AB58-AC560CF27FCF}"/>
    <cellStyle name="Normal 2 5 4 2 2 4 4" xfId="10167" xr:uid="{D71E3523-CD9E-4865-A4FD-FDED665BDB01}"/>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3" xr:uid="{279BDE98-EB18-4AA2-B746-CA5376FF575B}"/>
    <cellStyle name="Normal 2 5 4 2 2 5 2 3" xfId="12725" xr:uid="{E27239BB-F3E8-418C-B2CC-DC9FD0F7F3F1}"/>
    <cellStyle name="Normal 2 5 4 2 2 5 3" xfId="6362" xr:uid="{00000000-0005-0000-0000-000027110000}"/>
    <cellStyle name="Normal 2 5 4 2 2 5 3 2" xfId="14798" xr:uid="{4808F433-FADC-4DA3-ACB1-6010DD046AC6}"/>
    <cellStyle name="Normal 2 5 4 2 2 5 4" xfId="10580" xr:uid="{85EEA387-991B-4411-B0C9-C03AC574CF95}"/>
    <cellStyle name="Normal 2 5 4 2 2 6" xfId="2491" xr:uid="{00000000-0005-0000-0000-000028110000}"/>
    <cellStyle name="Normal 2 5 4 2 2 6 2" xfId="6775" xr:uid="{00000000-0005-0000-0000-000029110000}"/>
    <cellStyle name="Normal 2 5 4 2 2 6 2 2" xfId="15211" xr:uid="{7154E3CD-5D47-43A7-8DD5-E032E3166B1E}"/>
    <cellStyle name="Normal 2 5 4 2 2 6 3" xfId="10993" xr:uid="{27FCCF2A-81CB-45A4-B251-E08B75F24AA6}"/>
    <cellStyle name="Normal 2 5 4 2 2 7" xfId="4709" xr:uid="{00000000-0005-0000-0000-00002A110000}"/>
    <cellStyle name="Normal 2 5 4 2 2 7 2" xfId="13145" xr:uid="{B0F49EFA-BB61-4B22-93AB-24544A74C525}"/>
    <cellStyle name="Normal 2 5 4 2 2 8" xfId="8927" xr:uid="{61DBEF56-9EFA-45E9-A644-814D895B485F}"/>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3" xr:uid="{FD3CD483-509A-4B7E-8F72-9B5B46B63B1E}"/>
    <cellStyle name="Normal 2 5 4 2 3 2 3" xfId="11485" xr:uid="{427A1908-D285-4C58-A1F1-6A8146064612}"/>
    <cellStyle name="Normal 2 5 4 2 3 3" xfId="5122" xr:uid="{00000000-0005-0000-0000-00002E110000}"/>
    <cellStyle name="Normal 2 5 4 2 3 3 2" xfId="13558" xr:uid="{6BB3A741-787A-428F-9E00-D7492E090FEE}"/>
    <cellStyle name="Normal 2 5 4 2 3 4" xfId="9340" xr:uid="{BE17EF9F-07A0-4C70-AC0D-5AE9744D6B4F}"/>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6" xr:uid="{6629307C-3613-462A-AF6D-D81B3C71CB33}"/>
    <cellStyle name="Normal 2 5 4 2 4 2 3" xfId="11898" xr:uid="{3EBD32F2-5338-4348-BC2B-4536D8E5784B}"/>
    <cellStyle name="Normal 2 5 4 2 4 3" xfId="5535" xr:uid="{00000000-0005-0000-0000-000032110000}"/>
    <cellStyle name="Normal 2 5 4 2 4 3 2" xfId="13971" xr:uid="{DF1FA198-EA4C-4824-8ABB-D9133926D1E2}"/>
    <cellStyle name="Normal 2 5 4 2 4 4" xfId="9753" xr:uid="{4BFAC187-C81D-42CE-B4E9-7E7C67183F15}"/>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29" xr:uid="{C40DBC67-C662-4DBF-BC26-86807305AB01}"/>
    <cellStyle name="Normal 2 5 4 2 5 2 3" xfId="12311" xr:uid="{3A6A35A7-BFA4-4FBD-B564-49F6AA417F75}"/>
    <cellStyle name="Normal 2 5 4 2 5 3" xfId="5948" xr:uid="{00000000-0005-0000-0000-000036110000}"/>
    <cellStyle name="Normal 2 5 4 2 5 3 2" xfId="14384" xr:uid="{4827137D-F11E-41FC-B9B0-3C01A72B3BCA}"/>
    <cellStyle name="Normal 2 5 4 2 5 4" xfId="10166" xr:uid="{394ECFEB-FFAE-46B0-8CB9-C726E12EF035}"/>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2" xr:uid="{F214945A-3C1C-4E92-BF20-52478A13CF4A}"/>
    <cellStyle name="Normal 2 5 4 2 6 2 3" xfId="12724" xr:uid="{84AC8938-BCF3-471A-95F5-F5315788FED4}"/>
    <cellStyle name="Normal 2 5 4 2 6 3" xfId="6361" xr:uid="{00000000-0005-0000-0000-00003A110000}"/>
    <cellStyle name="Normal 2 5 4 2 6 3 2" xfId="14797" xr:uid="{54DEBE06-9E81-447B-83D2-76642C276742}"/>
    <cellStyle name="Normal 2 5 4 2 6 4" xfId="10579" xr:uid="{EC966486-464E-4F40-90A5-455B60F31CED}"/>
    <cellStyle name="Normal 2 5 4 2 7" xfId="2490" xr:uid="{00000000-0005-0000-0000-00003B110000}"/>
    <cellStyle name="Normal 2 5 4 2 7 2" xfId="6774" xr:uid="{00000000-0005-0000-0000-00003C110000}"/>
    <cellStyle name="Normal 2 5 4 2 7 2 2" xfId="15210" xr:uid="{6EBA87D0-D468-4C37-959A-6C9A1BABAF78}"/>
    <cellStyle name="Normal 2 5 4 2 7 3" xfId="10992" xr:uid="{C956E450-4253-4AC7-8E64-AFB036F5F728}"/>
    <cellStyle name="Normal 2 5 4 2 8" xfId="4708" xr:uid="{00000000-0005-0000-0000-00003D110000}"/>
    <cellStyle name="Normal 2 5 4 2 8 2" xfId="13144" xr:uid="{FF7635DD-D5C0-4110-925B-0814E4553C15}"/>
    <cellStyle name="Normal 2 5 4 2 9" xfId="8926" xr:uid="{A79E92A5-4500-4624-9577-AFB76BC4EE99}"/>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5" xr:uid="{E7C56D63-C74C-42E1-894B-6B56553CFF71}"/>
    <cellStyle name="Normal 2 5 4 3 2 2 3" xfId="11487" xr:uid="{CB8EFD08-19E6-44D6-8780-D5F11450ECE3}"/>
    <cellStyle name="Normal 2 5 4 3 2 3" xfId="5124" xr:uid="{00000000-0005-0000-0000-000042110000}"/>
    <cellStyle name="Normal 2 5 4 3 2 3 2" xfId="13560" xr:uid="{A7CEA1AB-8DC5-49E9-BB76-1FEAEF7770E6}"/>
    <cellStyle name="Normal 2 5 4 3 2 4" xfId="9342" xr:uid="{F44C4D16-4A60-4F9C-BD93-A1F234CC0201}"/>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18" xr:uid="{83B3D3AE-AA32-42B5-B14D-B6EF683BCFB9}"/>
    <cellStyle name="Normal 2 5 4 3 3 2 3" xfId="11900" xr:uid="{D5D6066D-8364-4935-BA98-17B1C2EDD0A1}"/>
    <cellStyle name="Normal 2 5 4 3 3 3" xfId="5537" xr:uid="{00000000-0005-0000-0000-000046110000}"/>
    <cellStyle name="Normal 2 5 4 3 3 3 2" xfId="13973" xr:uid="{B1430B2B-581F-411B-965F-97F05DDBC40F}"/>
    <cellStyle name="Normal 2 5 4 3 3 4" xfId="9755" xr:uid="{0991CC12-F5D2-4843-893A-3A1EED58112E}"/>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1" xr:uid="{5540D41C-9587-4749-A377-33B0C3564AD0}"/>
    <cellStyle name="Normal 2 5 4 3 4 2 3" xfId="12313" xr:uid="{C2EBEA60-42F6-4D6D-8C6E-4B2E613DFE56}"/>
    <cellStyle name="Normal 2 5 4 3 4 3" xfId="5950" xr:uid="{00000000-0005-0000-0000-00004A110000}"/>
    <cellStyle name="Normal 2 5 4 3 4 3 2" xfId="14386" xr:uid="{C3AD399F-D668-49DD-8381-088F1789AE86}"/>
    <cellStyle name="Normal 2 5 4 3 4 4" xfId="10168" xr:uid="{04F8E06C-5F0A-472E-A5C6-2D6A3C73DA7E}"/>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4" xr:uid="{AC4F6C30-F0A2-4F3E-A09C-ED766BAE61A7}"/>
    <cellStyle name="Normal 2 5 4 3 5 2 3" xfId="12726" xr:uid="{BBB626A3-C7BA-44FF-9C2B-D8E623C98D79}"/>
    <cellStyle name="Normal 2 5 4 3 5 3" xfId="6363" xr:uid="{00000000-0005-0000-0000-00004E110000}"/>
    <cellStyle name="Normal 2 5 4 3 5 3 2" xfId="14799" xr:uid="{16CA3050-B669-4ED8-9B08-4267BC52D0FB}"/>
    <cellStyle name="Normal 2 5 4 3 5 4" xfId="10581" xr:uid="{F567918B-941C-4B21-AD37-435D903B4F8B}"/>
    <cellStyle name="Normal 2 5 4 3 6" xfId="2492" xr:uid="{00000000-0005-0000-0000-00004F110000}"/>
    <cellStyle name="Normal 2 5 4 3 6 2" xfId="6776" xr:uid="{00000000-0005-0000-0000-000050110000}"/>
    <cellStyle name="Normal 2 5 4 3 6 2 2" xfId="15212" xr:uid="{7C78F745-6BDB-4A3F-9FA3-ADF053053327}"/>
    <cellStyle name="Normal 2 5 4 3 6 3" xfId="10994" xr:uid="{8BD540C4-4CEC-4F45-8307-0121A74F6065}"/>
    <cellStyle name="Normal 2 5 4 3 7" xfId="4710" xr:uid="{00000000-0005-0000-0000-000051110000}"/>
    <cellStyle name="Normal 2 5 4 3 7 2" xfId="13146" xr:uid="{13F0D0EC-874A-4AC0-995F-80578406CADC}"/>
    <cellStyle name="Normal 2 5 4 3 8" xfId="8928" xr:uid="{1D19D01C-CD88-42C4-9DBC-F06029DF4BE8}"/>
    <cellStyle name="Normal 2 5 4 4" xfId="804" xr:uid="{00000000-0005-0000-0000-000052110000}"/>
    <cellStyle name="Normal 2 5 4 4 2" xfId="3043" xr:uid="{00000000-0005-0000-0000-000053110000}"/>
    <cellStyle name="Normal 2 5 4 4 2 2" xfId="7266" xr:uid="{00000000-0005-0000-0000-000054110000}"/>
    <cellStyle name="Normal 2 5 4 4 2 2 2" xfId="15702" xr:uid="{838BCB5C-8680-4ED9-9711-3A6E0612FE44}"/>
    <cellStyle name="Normal 2 5 4 4 2 3" xfId="11484" xr:uid="{47AFA156-BB62-4308-8972-71083C9B55CF}"/>
    <cellStyle name="Normal 2 5 4 4 3" xfId="5121" xr:uid="{00000000-0005-0000-0000-000055110000}"/>
    <cellStyle name="Normal 2 5 4 4 3 2" xfId="13557" xr:uid="{9172DA8C-C823-43A1-8B0B-BB020D9E4EF1}"/>
    <cellStyle name="Normal 2 5 4 4 4" xfId="9339" xr:uid="{D907FB45-D877-4C9B-ABA7-70FB07C4462D}"/>
    <cellStyle name="Normal 2 5 4 5" xfId="1226" xr:uid="{00000000-0005-0000-0000-000056110000}"/>
    <cellStyle name="Normal 2 5 4 5 2" xfId="3456" xr:uid="{00000000-0005-0000-0000-000057110000}"/>
    <cellStyle name="Normal 2 5 4 5 2 2" xfId="7679" xr:uid="{00000000-0005-0000-0000-000058110000}"/>
    <cellStyle name="Normal 2 5 4 5 2 2 2" xfId="16115" xr:uid="{5C15D7DF-4CD1-45E9-A2B7-6C9516951F5E}"/>
    <cellStyle name="Normal 2 5 4 5 2 3" xfId="11897" xr:uid="{8B1FE571-3348-43E8-B28E-7EE547E69723}"/>
    <cellStyle name="Normal 2 5 4 5 3" xfId="5534" xr:uid="{00000000-0005-0000-0000-000059110000}"/>
    <cellStyle name="Normal 2 5 4 5 3 2" xfId="13970" xr:uid="{BD396F7F-0C1E-40B1-A5E3-63E6725DF2D7}"/>
    <cellStyle name="Normal 2 5 4 5 4" xfId="9752" xr:uid="{75D0ACDD-C01A-493F-AEC4-81C9D989E8D0}"/>
    <cellStyle name="Normal 2 5 4 6" xfId="1639" xr:uid="{00000000-0005-0000-0000-00005A110000}"/>
    <cellStyle name="Normal 2 5 4 6 2" xfId="3869" xr:uid="{00000000-0005-0000-0000-00005B110000}"/>
    <cellStyle name="Normal 2 5 4 6 2 2" xfId="8092" xr:uid="{00000000-0005-0000-0000-00005C110000}"/>
    <cellStyle name="Normal 2 5 4 6 2 2 2" xfId="16528" xr:uid="{AB8193F9-4BA6-4B13-A57E-FD28236FEBEE}"/>
    <cellStyle name="Normal 2 5 4 6 2 3" xfId="12310" xr:uid="{361CA723-C0C4-4119-B480-45C3AE0B756F}"/>
    <cellStyle name="Normal 2 5 4 6 3" xfId="5947" xr:uid="{00000000-0005-0000-0000-00005D110000}"/>
    <cellStyle name="Normal 2 5 4 6 3 2" xfId="14383" xr:uid="{7E3D662C-E3C7-4753-A85E-625A0784CE67}"/>
    <cellStyle name="Normal 2 5 4 6 4" xfId="10165" xr:uid="{30F677E1-62AE-40FF-86CF-810485E2098B}"/>
    <cellStyle name="Normal 2 5 4 7" xfId="2053" xr:uid="{00000000-0005-0000-0000-00005E110000}"/>
    <cellStyle name="Normal 2 5 4 7 2" xfId="4282" xr:uid="{00000000-0005-0000-0000-00005F110000}"/>
    <cellStyle name="Normal 2 5 4 7 2 2" xfId="8505" xr:uid="{00000000-0005-0000-0000-000060110000}"/>
    <cellStyle name="Normal 2 5 4 7 2 2 2" xfId="16941" xr:uid="{C02C93DB-5944-44EC-9D5A-BD7A0FD83A9A}"/>
    <cellStyle name="Normal 2 5 4 7 2 3" xfId="12723" xr:uid="{01AAFA93-4C57-4265-A942-886ED0D677D6}"/>
    <cellStyle name="Normal 2 5 4 7 3" xfId="6360" xr:uid="{00000000-0005-0000-0000-000061110000}"/>
    <cellStyle name="Normal 2 5 4 7 3 2" xfId="14796" xr:uid="{2B8D46BC-E9E0-4478-AD46-73437090DD0A}"/>
    <cellStyle name="Normal 2 5 4 7 4" xfId="10578" xr:uid="{A8CFE638-24C6-4D58-A6F0-4A578A2820AF}"/>
    <cellStyle name="Normal 2 5 4 8" xfId="2489" xr:uid="{00000000-0005-0000-0000-000062110000}"/>
    <cellStyle name="Normal 2 5 4 8 2" xfId="6773" xr:uid="{00000000-0005-0000-0000-000063110000}"/>
    <cellStyle name="Normal 2 5 4 8 2 2" xfId="15209" xr:uid="{6F04C0A0-02FE-49AB-A275-D4651BE35613}"/>
    <cellStyle name="Normal 2 5 4 8 3" xfId="10991" xr:uid="{B2AD23EB-23A5-4AF7-88BC-B97DAA7E60CC}"/>
    <cellStyle name="Normal 2 5 4 9" xfId="4707" xr:uid="{00000000-0005-0000-0000-000064110000}"/>
    <cellStyle name="Normal 2 5 4 9 2" xfId="13143" xr:uid="{2DB919D8-56AA-4927-9085-5151BAB0D7FF}"/>
    <cellStyle name="Normal 2 5 5" xfId="803" xr:uid="{00000000-0005-0000-0000-000065110000}"/>
    <cellStyle name="Normal 2 5 5 2" xfId="3042" xr:uid="{00000000-0005-0000-0000-000066110000}"/>
    <cellStyle name="Normal 2 5 5 2 2" xfId="7265" xr:uid="{00000000-0005-0000-0000-000067110000}"/>
    <cellStyle name="Normal 2 5 5 2 2 2" xfId="15701" xr:uid="{446ACD15-3656-41B7-B07B-FAF433C509B9}"/>
    <cellStyle name="Normal 2 5 5 2 3" xfId="11483" xr:uid="{D8406106-17EB-445F-BE9D-D43A390BD1AC}"/>
    <cellStyle name="Normal 2 5 5 3" xfId="5120" xr:uid="{00000000-0005-0000-0000-000068110000}"/>
    <cellStyle name="Normal 2 5 5 3 2" xfId="13556" xr:uid="{10D4ADAF-8676-4097-A3FC-60D11747958A}"/>
    <cellStyle name="Normal 2 5 5 4" xfId="9338" xr:uid="{0ADA3E60-D43E-4246-B4F7-8D06CC104028}"/>
    <cellStyle name="Normal 2 5 6" xfId="1225" xr:uid="{00000000-0005-0000-0000-000069110000}"/>
    <cellStyle name="Normal 2 5 6 2" xfId="3455" xr:uid="{00000000-0005-0000-0000-00006A110000}"/>
    <cellStyle name="Normal 2 5 6 2 2" xfId="7678" xr:uid="{00000000-0005-0000-0000-00006B110000}"/>
    <cellStyle name="Normal 2 5 6 2 2 2" xfId="16114" xr:uid="{E15CE031-2FEA-4290-8CA7-254BA09E3844}"/>
    <cellStyle name="Normal 2 5 6 2 3" xfId="11896" xr:uid="{3D4E6F18-00D6-4690-9240-CD7132876BB1}"/>
    <cellStyle name="Normal 2 5 6 3" xfId="5533" xr:uid="{00000000-0005-0000-0000-00006C110000}"/>
    <cellStyle name="Normal 2 5 6 3 2" xfId="13969" xr:uid="{0577F680-5065-4F3B-BED0-7E6C751F2BA1}"/>
    <cellStyle name="Normal 2 5 6 4" xfId="9751" xr:uid="{5E36A089-5B2E-4BBA-9134-4CF3C00D3F9D}"/>
    <cellStyle name="Normal 2 5 7" xfId="1638" xr:uid="{00000000-0005-0000-0000-00006D110000}"/>
    <cellStyle name="Normal 2 5 7 2" xfId="3868" xr:uid="{00000000-0005-0000-0000-00006E110000}"/>
    <cellStyle name="Normal 2 5 7 2 2" xfId="8091" xr:uid="{00000000-0005-0000-0000-00006F110000}"/>
    <cellStyle name="Normal 2 5 7 2 2 2" xfId="16527" xr:uid="{14CDE793-68AF-451E-8E0C-2364A2C332CC}"/>
    <cellStyle name="Normal 2 5 7 2 3" xfId="12309" xr:uid="{442075EE-427E-4104-8986-45EBFF30DDB9}"/>
    <cellStyle name="Normal 2 5 7 3" xfId="5946" xr:uid="{00000000-0005-0000-0000-000070110000}"/>
    <cellStyle name="Normal 2 5 7 3 2" xfId="14382" xr:uid="{12A13C55-4FA2-4991-9A63-923F2A892C3B}"/>
    <cellStyle name="Normal 2 5 7 4" xfId="10164" xr:uid="{5D8C7215-49F3-46A6-AAF8-5AB3A7A563DB}"/>
    <cellStyle name="Normal 2 5 8" xfId="2052" xr:uid="{00000000-0005-0000-0000-000071110000}"/>
    <cellStyle name="Normal 2 5 8 2" xfId="4281" xr:uid="{00000000-0005-0000-0000-000072110000}"/>
    <cellStyle name="Normal 2 5 8 2 2" xfId="8504" xr:uid="{00000000-0005-0000-0000-000073110000}"/>
    <cellStyle name="Normal 2 5 8 2 2 2" xfId="16940" xr:uid="{7E65A856-5DF0-42E2-BBC4-A9A135982534}"/>
    <cellStyle name="Normal 2 5 8 2 3" xfId="12722" xr:uid="{6A326897-6734-4335-B19C-9A3ACCE1D02A}"/>
    <cellStyle name="Normal 2 5 8 3" xfId="6359" xr:uid="{00000000-0005-0000-0000-000074110000}"/>
    <cellStyle name="Normal 2 5 8 3 2" xfId="14795" xr:uid="{9353EED3-D278-4CD9-AFF0-C872B07E7D91}"/>
    <cellStyle name="Normal 2 5 8 4" xfId="10577" xr:uid="{CFA965F8-62FB-4F4B-A4F8-3CE01A6CE865}"/>
    <cellStyle name="Normal 2 5 9" xfId="2488" xr:uid="{00000000-0005-0000-0000-000075110000}"/>
    <cellStyle name="Normal 2 5 9 2" xfId="6772" xr:uid="{00000000-0005-0000-0000-000076110000}"/>
    <cellStyle name="Normal 2 5 9 2 2" xfId="15208" xr:uid="{F980F398-70A2-421A-8351-C8202A763FC9}"/>
    <cellStyle name="Normal 2 5 9 3" xfId="10990" xr:uid="{DAEFA429-E038-4A5C-BF84-785BBB4E950A}"/>
    <cellStyle name="Normal 2 6" xfId="322" xr:uid="{00000000-0005-0000-0000-000077110000}"/>
    <cellStyle name="Normal 2 7" xfId="769" xr:uid="{00000000-0005-0000-0000-000078110000}"/>
    <cellStyle name="Normal 2 8" xfId="4495" xr:uid="{00000000-0005-0000-0000-000079110000}"/>
    <cellStyle name="Normal 2 8 2" xfId="12934" xr:uid="{1582E84B-9DE2-4308-BB27-FC363308AD38}"/>
    <cellStyle name="Normal 3" xfId="323" xr:uid="{00000000-0005-0000-0000-00007A110000}"/>
    <cellStyle name="Normal 3 2" xfId="324" xr:uid="{00000000-0005-0000-0000-00007B110000}"/>
    <cellStyle name="Normal 3 2 10" xfId="8929" xr:uid="{154B1341-0A11-428F-BF8B-673EE9FCE4E8}"/>
    <cellStyle name="Normal 3 2 2" xfId="325" xr:uid="{00000000-0005-0000-0000-00007C110000}"/>
    <cellStyle name="Normal 3 2 2 2" xfId="810" xr:uid="{00000000-0005-0000-0000-00007D110000}"/>
    <cellStyle name="Normal 3 2 3" xfId="326" xr:uid="{00000000-0005-0000-0000-00007E110000}"/>
    <cellStyle name="Normal 3 2 3 10" xfId="8930" xr:uid="{DCC12011-2950-4231-BF1D-696348BCE0F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09" xr:uid="{10F8FF72-3AB4-4E34-8398-89786E35A04C}"/>
    <cellStyle name="Normal 3 2 3 2 2 2 2 3" xfId="11491" xr:uid="{26D13A63-148C-4ABC-9602-B80D0E543E33}"/>
    <cellStyle name="Normal 3 2 3 2 2 2 3" xfId="5128" xr:uid="{00000000-0005-0000-0000-000084110000}"/>
    <cellStyle name="Normal 3 2 3 2 2 2 3 2" xfId="13564" xr:uid="{3C04E971-08F5-4329-8083-1567BE762DAE}"/>
    <cellStyle name="Normal 3 2 3 2 2 2 4" xfId="9346" xr:uid="{73789691-F8D8-4E2E-A0C7-999B49403C6F}"/>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2" xr:uid="{44ADEBD1-A1C9-4F53-A2D6-ED5FDCDA7BF2}"/>
    <cellStyle name="Normal 3 2 3 2 2 3 2 3" xfId="11904" xr:uid="{5DA565C5-295E-4EBF-A775-DA3E351F11DC}"/>
    <cellStyle name="Normal 3 2 3 2 2 3 3" xfId="5541" xr:uid="{00000000-0005-0000-0000-000088110000}"/>
    <cellStyle name="Normal 3 2 3 2 2 3 3 2" xfId="13977" xr:uid="{51FBF076-C50C-42C9-A63F-DCA980020AC0}"/>
    <cellStyle name="Normal 3 2 3 2 2 3 4" xfId="9759" xr:uid="{19E949C0-F8E3-4DB3-B3C9-EB7D14B8060E}"/>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5" xr:uid="{C7B83572-E3CB-4406-B549-026B06E69125}"/>
    <cellStyle name="Normal 3 2 3 2 2 4 2 3" xfId="12317" xr:uid="{94F0182B-EF5B-4BE4-A80C-14B8E265DDA0}"/>
    <cellStyle name="Normal 3 2 3 2 2 4 3" xfId="5954" xr:uid="{00000000-0005-0000-0000-00008C110000}"/>
    <cellStyle name="Normal 3 2 3 2 2 4 3 2" xfId="14390" xr:uid="{97543EC1-0ED2-4CE8-AAD4-41143E11DDBC}"/>
    <cellStyle name="Normal 3 2 3 2 2 4 4" xfId="10172" xr:uid="{36AC5BD2-FE91-4602-A112-1AD3499F4487}"/>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48" xr:uid="{D8A3BF6C-D6E5-4CAA-A5ED-397E89D4553B}"/>
    <cellStyle name="Normal 3 2 3 2 2 5 2 3" xfId="12730" xr:uid="{B94C29CF-4448-4124-8924-A3C4855EF6CF}"/>
    <cellStyle name="Normal 3 2 3 2 2 5 3" xfId="6367" xr:uid="{00000000-0005-0000-0000-000090110000}"/>
    <cellStyle name="Normal 3 2 3 2 2 5 3 2" xfId="14803" xr:uid="{8A3641C0-6AF2-4C76-A955-4C0D6963A736}"/>
    <cellStyle name="Normal 3 2 3 2 2 5 4" xfId="10585" xr:uid="{7E3ED240-D51C-4E23-8202-B01F62973EF8}"/>
    <cellStyle name="Normal 3 2 3 2 2 6" xfId="2496" xr:uid="{00000000-0005-0000-0000-000091110000}"/>
    <cellStyle name="Normal 3 2 3 2 2 6 2" xfId="6780" xr:uid="{00000000-0005-0000-0000-000092110000}"/>
    <cellStyle name="Normal 3 2 3 2 2 6 2 2" xfId="15216" xr:uid="{2E5B8726-27BD-4A72-BE35-B5E844E2BDCF}"/>
    <cellStyle name="Normal 3 2 3 2 2 6 3" xfId="10998" xr:uid="{E27A7F1D-D787-4294-8BF7-8230F4CE5834}"/>
    <cellStyle name="Normal 3 2 3 2 2 7" xfId="4714" xr:uid="{00000000-0005-0000-0000-000093110000}"/>
    <cellStyle name="Normal 3 2 3 2 2 7 2" xfId="13150" xr:uid="{6C96C001-8711-44AC-8F0D-1DE6105953BB}"/>
    <cellStyle name="Normal 3 2 3 2 2 8" xfId="8932" xr:uid="{5F78842D-F769-4DBC-8406-5C5A55CF91C3}"/>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08" xr:uid="{C7D36B60-214C-4B0E-8370-71C7704DDAE0}"/>
    <cellStyle name="Normal 3 2 3 2 3 2 3" xfId="11490" xr:uid="{6323FBE8-AAB9-4C1E-AA4E-A796780DAC8C}"/>
    <cellStyle name="Normal 3 2 3 2 3 3" xfId="5127" xr:uid="{00000000-0005-0000-0000-000097110000}"/>
    <cellStyle name="Normal 3 2 3 2 3 3 2" xfId="13563" xr:uid="{0E2278AB-7B6D-4F5A-9092-F9BFE4139039}"/>
    <cellStyle name="Normal 3 2 3 2 3 4" xfId="9345" xr:uid="{D3B7F36C-3B4D-4D03-B7C9-F63E27438E98}"/>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1" xr:uid="{817715F0-0235-4F8B-96CF-FE97A2F400D0}"/>
    <cellStyle name="Normal 3 2 3 2 4 2 3" xfId="11903" xr:uid="{E070A163-BC9F-4AC3-A9F3-422EA9EFE965}"/>
    <cellStyle name="Normal 3 2 3 2 4 3" xfId="5540" xr:uid="{00000000-0005-0000-0000-00009B110000}"/>
    <cellStyle name="Normal 3 2 3 2 4 3 2" xfId="13976" xr:uid="{89A57269-5BFF-4471-855C-60076B412C69}"/>
    <cellStyle name="Normal 3 2 3 2 4 4" xfId="9758" xr:uid="{233CF785-C1B9-4E0D-992E-C3D46A093943}"/>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4" xr:uid="{8635894A-810E-441F-8C11-1AE7F0EABB2C}"/>
    <cellStyle name="Normal 3 2 3 2 5 2 3" xfId="12316" xr:uid="{0CB5D2A4-1315-44F2-B333-83C55023C94D}"/>
    <cellStyle name="Normal 3 2 3 2 5 3" xfId="5953" xr:uid="{00000000-0005-0000-0000-00009F110000}"/>
    <cellStyle name="Normal 3 2 3 2 5 3 2" xfId="14389" xr:uid="{49847C63-F236-4BB0-9AA9-F27B8A8A8DC9}"/>
    <cellStyle name="Normal 3 2 3 2 5 4" xfId="10171" xr:uid="{DB329B71-F6EF-49F1-A120-867480096597}"/>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47" xr:uid="{A75D03CF-BB0C-4156-8D1C-BB1AD1AFD750}"/>
    <cellStyle name="Normal 3 2 3 2 6 2 3" xfId="12729" xr:uid="{FF5B7B4B-9904-40D0-B959-D773F4F4384A}"/>
    <cellStyle name="Normal 3 2 3 2 6 3" xfId="6366" xr:uid="{00000000-0005-0000-0000-0000A3110000}"/>
    <cellStyle name="Normal 3 2 3 2 6 3 2" xfId="14802" xr:uid="{5A88FC8E-422C-4126-8C9D-60BB2A3EF46D}"/>
    <cellStyle name="Normal 3 2 3 2 6 4" xfId="10584" xr:uid="{1D112FE2-D927-453C-BB4D-8913C4A6C6AC}"/>
    <cellStyle name="Normal 3 2 3 2 7" xfId="2495" xr:uid="{00000000-0005-0000-0000-0000A4110000}"/>
    <cellStyle name="Normal 3 2 3 2 7 2" xfId="6779" xr:uid="{00000000-0005-0000-0000-0000A5110000}"/>
    <cellStyle name="Normal 3 2 3 2 7 2 2" xfId="15215" xr:uid="{9C74A76B-DCF1-4353-8908-A6B58CCE37A4}"/>
    <cellStyle name="Normal 3 2 3 2 7 3" xfId="10997" xr:uid="{0BA9EE9A-5E31-439C-AD38-92D6C8188AD7}"/>
    <cellStyle name="Normal 3 2 3 2 8" xfId="4713" xr:uid="{00000000-0005-0000-0000-0000A6110000}"/>
    <cellStyle name="Normal 3 2 3 2 8 2" xfId="13149" xr:uid="{738F9FEB-08EE-48FF-A649-25296E155840}"/>
    <cellStyle name="Normal 3 2 3 2 9" xfId="8931" xr:uid="{C728E514-EDAF-469F-AAC2-BF1E0185A26A}"/>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0" xr:uid="{79A4CF36-ECC3-42BB-8A27-936E42746DF6}"/>
    <cellStyle name="Normal 3 2 3 3 2 2 3" xfId="11492" xr:uid="{E4A66D23-D483-454B-B4A4-18E80B71BFD1}"/>
    <cellStyle name="Normal 3 2 3 3 2 3" xfId="5129" xr:uid="{00000000-0005-0000-0000-0000AB110000}"/>
    <cellStyle name="Normal 3 2 3 3 2 3 2" xfId="13565" xr:uid="{20F15126-8181-4626-BB0F-2BFAE46A2A5C}"/>
    <cellStyle name="Normal 3 2 3 3 2 4" xfId="9347" xr:uid="{77AB337F-1297-4EFF-90A2-E150C96F791A}"/>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3" xr:uid="{7CCE574B-09F4-49D8-B717-76848618DC34}"/>
    <cellStyle name="Normal 3 2 3 3 3 2 3" xfId="11905" xr:uid="{573EFCAF-7EEB-4E81-9F90-B34CAB8C9F7C}"/>
    <cellStyle name="Normal 3 2 3 3 3 3" xfId="5542" xr:uid="{00000000-0005-0000-0000-0000AF110000}"/>
    <cellStyle name="Normal 3 2 3 3 3 3 2" xfId="13978" xr:uid="{4ADC3F45-2524-4D49-99E5-B9E165B4D289}"/>
    <cellStyle name="Normal 3 2 3 3 3 4" xfId="9760" xr:uid="{34DB3DC6-E487-4D51-B36F-BEAB5BBAA1C0}"/>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6" xr:uid="{D6028860-8AB6-482E-8F2E-1B801FA6C9E1}"/>
    <cellStyle name="Normal 3 2 3 3 4 2 3" xfId="12318" xr:uid="{B918D50D-FF10-461D-94D2-C63AEBE94123}"/>
    <cellStyle name="Normal 3 2 3 3 4 3" xfId="5955" xr:uid="{00000000-0005-0000-0000-0000B3110000}"/>
    <cellStyle name="Normal 3 2 3 3 4 3 2" xfId="14391" xr:uid="{AEA61CD5-5E74-43DE-9D75-6A1E724859D5}"/>
    <cellStyle name="Normal 3 2 3 3 4 4" xfId="10173" xr:uid="{DEE8D62B-1D0B-4A23-B5AF-C8DC4D7222D3}"/>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49" xr:uid="{E9DFCC9C-495B-4AF1-A41A-A808149C53C0}"/>
    <cellStyle name="Normal 3 2 3 3 5 2 3" xfId="12731" xr:uid="{2DFC590E-39DB-4E1C-8B3F-C78A3215ED76}"/>
    <cellStyle name="Normal 3 2 3 3 5 3" xfId="6368" xr:uid="{00000000-0005-0000-0000-0000B7110000}"/>
    <cellStyle name="Normal 3 2 3 3 5 3 2" xfId="14804" xr:uid="{32B73EE4-3259-45A1-8D90-145B2A9A58A0}"/>
    <cellStyle name="Normal 3 2 3 3 5 4" xfId="10586" xr:uid="{DBD171DC-E3D0-4427-BC28-D28DDB7F2D97}"/>
    <cellStyle name="Normal 3 2 3 3 6" xfId="2497" xr:uid="{00000000-0005-0000-0000-0000B8110000}"/>
    <cellStyle name="Normal 3 2 3 3 6 2" xfId="6781" xr:uid="{00000000-0005-0000-0000-0000B9110000}"/>
    <cellStyle name="Normal 3 2 3 3 6 2 2" xfId="15217" xr:uid="{972E6C19-A40A-4C38-92F5-549820D28B2F}"/>
    <cellStyle name="Normal 3 2 3 3 6 3" xfId="10999" xr:uid="{EE030373-68EE-42B0-A9D1-0588A67875B7}"/>
    <cellStyle name="Normal 3 2 3 3 7" xfId="4715" xr:uid="{00000000-0005-0000-0000-0000BA110000}"/>
    <cellStyle name="Normal 3 2 3 3 7 2" xfId="13151" xr:uid="{B4E7A39E-7456-4564-A0EE-BCB6011AEBAA}"/>
    <cellStyle name="Normal 3 2 3 3 8" xfId="8933" xr:uid="{F0CFDD64-B15A-4986-BFF9-CB83532B659B}"/>
    <cellStyle name="Normal 3 2 3 4" xfId="811" xr:uid="{00000000-0005-0000-0000-0000BB110000}"/>
    <cellStyle name="Normal 3 2 3 4 2" xfId="3048" xr:uid="{00000000-0005-0000-0000-0000BC110000}"/>
    <cellStyle name="Normal 3 2 3 4 2 2" xfId="7271" xr:uid="{00000000-0005-0000-0000-0000BD110000}"/>
    <cellStyle name="Normal 3 2 3 4 2 2 2" xfId="15707" xr:uid="{CB18B204-ABC4-48CD-A22D-668E735B771D}"/>
    <cellStyle name="Normal 3 2 3 4 2 3" xfId="11489" xr:uid="{B1563733-E324-4A9F-B014-60BFC2487621}"/>
    <cellStyle name="Normal 3 2 3 4 3" xfId="5126" xr:uid="{00000000-0005-0000-0000-0000BE110000}"/>
    <cellStyle name="Normal 3 2 3 4 3 2" xfId="13562" xr:uid="{E1B2ADBE-A1E2-4212-B07F-98A4AA1CFC9A}"/>
    <cellStyle name="Normal 3 2 3 4 4" xfId="9344" xr:uid="{056AD909-8CDF-44FD-B6B7-42CE31C8B581}"/>
    <cellStyle name="Normal 3 2 3 5" xfId="1231" xr:uid="{00000000-0005-0000-0000-0000BF110000}"/>
    <cellStyle name="Normal 3 2 3 5 2" xfId="3461" xr:uid="{00000000-0005-0000-0000-0000C0110000}"/>
    <cellStyle name="Normal 3 2 3 5 2 2" xfId="7684" xr:uid="{00000000-0005-0000-0000-0000C1110000}"/>
    <cellStyle name="Normal 3 2 3 5 2 2 2" xfId="16120" xr:uid="{15787CFA-4BE1-4852-AB87-5749363FBE1E}"/>
    <cellStyle name="Normal 3 2 3 5 2 3" xfId="11902" xr:uid="{CF731FDC-A794-468D-8F4E-106B3C2BE18F}"/>
    <cellStyle name="Normal 3 2 3 5 3" xfId="5539" xr:uid="{00000000-0005-0000-0000-0000C2110000}"/>
    <cellStyle name="Normal 3 2 3 5 3 2" xfId="13975" xr:uid="{6F4116BE-1A81-4A27-994D-A9E9EE23AD5C}"/>
    <cellStyle name="Normal 3 2 3 5 4" xfId="9757" xr:uid="{F2CAA0FD-E7DA-4E1E-B931-90EDF2BE9AD7}"/>
    <cellStyle name="Normal 3 2 3 6" xfId="1644" xr:uid="{00000000-0005-0000-0000-0000C3110000}"/>
    <cellStyle name="Normal 3 2 3 6 2" xfId="3874" xr:uid="{00000000-0005-0000-0000-0000C4110000}"/>
    <cellStyle name="Normal 3 2 3 6 2 2" xfId="8097" xr:uid="{00000000-0005-0000-0000-0000C5110000}"/>
    <cellStyle name="Normal 3 2 3 6 2 2 2" xfId="16533" xr:uid="{56025464-E8B2-4B5F-9695-1D0D30E1AADF}"/>
    <cellStyle name="Normal 3 2 3 6 2 3" xfId="12315" xr:uid="{443890D4-4732-40B2-9361-38633E54565E}"/>
    <cellStyle name="Normal 3 2 3 6 3" xfId="5952" xr:uid="{00000000-0005-0000-0000-0000C6110000}"/>
    <cellStyle name="Normal 3 2 3 6 3 2" xfId="14388" xr:uid="{AF9B851E-96FC-4D72-AE4D-31859803068B}"/>
    <cellStyle name="Normal 3 2 3 6 4" xfId="10170" xr:uid="{0A80F8C2-5239-4C28-B653-3C2946FE9481}"/>
    <cellStyle name="Normal 3 2 3 7" xfId="2058" xr:uid="{00000000-0005-0000-0000-0000C7110000}"/>
    <cellStyle name="Normal 3 2 3 7 2" xfId="4287" xr:uid="{00000000-0005-0000-0000-0000C8110000}"/>
    <cellStyle name="Normal 3 2 3 7 2 2" xfId="8510" xr:uid="{00000000-0005-0000-0000-0000C9110000}"/>
    <cellStyle name="Normal 3 2 3 7 2 2 2" xfId="16946" xr:uid="{F6959D08-B0C4-410F-BD9B-A6A02C59317A}"/>
    <cellStyle name="Normal 3 2 3 7 2 3" xfId="12728" xr:uid="{C20C5B8E-180F-4E82-874E-120DB0D0DC5C}"/>
    <cellStyle name="Normal 3 2 3 7 3" xfId="6365" xr:uid="{00000000-0005-0000-0000-0000CA110000}"/>
    <cellStyle name="Normal 3 2 3 7 3 2" xfId="14801" xr:uid="{8D2E12E5-8F55-48E3-A2C7-0AA0B91B52F9}"/>
    <cellStyle name="Normal 3 2 3 7 4" xfId="10583" xr:uid="{ACEE91FB-36DC-4893-A8AD-795E0B200EF8}"/>
    <cellStyle name="Normal 3 2 3 8" xfId="2494" xr:uid="{00000000-0005-0000-0000-0000CB110000}"/>
    <cellStyle name="Normal 3 2 3 8 2" xfId="6778" xr:uid="{00000000-0005-0000-0000-0000CC110000}"/>
    <cellStyle name="Normal 3 2 3 8 2 2" xfId="15214" xr:uid="{B5DB8452-FBFE-415C-9553-19ABF9D1747C}"/>
    <cellStyle name="Normal 3 2 3 8 3" xfId="10996" xr:uid="{29AF1BED-8E54-4EF4-91C6-1278B8B455A0}"/>
    <cellStyle name="Normal 3 2 3 9" xfId="4712" xr:uid="{00000000-0005-0000-0000-0000CD110000}"/>
    <cellStyle name="Normal 3 2 3 9 2" xfId="13148" xr:uid="{C6242583-FCC1-4654-A390-0C77B075C383}"/>
    <cellStyle name="Normal 3 2 4" xfId="809" xr:uid="{00000000-0005-0000-0000-0000CE110000}"/>
    <cellStyle name="Normal 3 2 4 2" xfId="3047" xr:uid="{00000000-0005-0000-0000-0000CF110000}"/>
    <cellStyle name="Normal 3 2 4 2 2" xfId="7270" xr:uid="{00000000-0005-0000-0000-0000D0110000}"/>
    <cellStyle name="Normal 3 2 4 2 2 2" xfId="15706" xr:uid="{C7BB195E-77ED-4D52-970B-90BA8996BC3C}"/>
    <cellStyle name="Normal 3 2 4 2 3" xfId="11488" xr:uid="{33625728-14F4-47DD-B546-65AD2E40AC9A}"/>
    <cellStyle name="Normal 3 2 4 3" xfId="5125" xr:uid="{00000000-0005-0000-0000-0000D1110000}"/>
    <cellStyle name="Normal 3 2 4 3 2" xfId="13561" xr:uid="{433E3E59-C757-4747-9FC0-DBE0F4F9F4B2}"/>
    <cellStyle name="Normal 3 2 4 4" xfId="9343" xr:uid="{C4A483DA-BD71-4906-AE80-E5D529678934}"/>
    <cellStyle name="Normal 3 2 5" xfId="1230" xr:uid="{00000000-0005-0000-0000-0000D2110000}"/>
    <cellStyle name="Normal 3 2 5 2" xfId="3460" xr:uid="{00000000-0005-0000-0000-0000D3110000}"/>
    <cellStyle name="Normal 3 2 5 2 2" xfId="7683" xr:uid="{00000000-0005-0000-0000-0000D4110000}"/>
    <cellStyle name="Normal 3 2 5 2 2 2" xfId="16119" xr:uid="{08B400E2-E283-4DF8-9126-E2B580CEBF28}"/>
    <cellStyle name="Normal 3 2 5 2 3" xfId="11901" xr:uid="{CFA9E918-654F-4A37-9786-23C2D7340A44}"/>
    <cellStyle name="Normal 3 2 5 3" xfId="5538" xr:uid="{00000000-0005-0000-0000-0000D5110000}"/>
    <cellStyle name="Normal 3 2 5 3 2" xfId="13974" xr:uid="{7DBCCAA1-D0C6-4BBF-9EC0-99E8C21F756B}"/>
    <cellStyle name="Normal 3 2 5 4" xfId="9756" xr:uid="{563FC17C-8C20-4AC1-B203-EDFA0B626DB9}"/>
    <cellStyle name="Normal 3 2 6" xfId="1643" xr:uid="{00000000-0005-0000-0000-0000D6110000}"/>
    <cellStyle name="Normal 3 2 6 2" xfId="3873" xr:uid="{00000000-0005-0000-0000-0000D7110000}"/>
    <cellStyle name="Normal 3 2 6 2 2" xfId="8096" xr:uid="{00000000-0005-0000-0000-0000D8110000}"/>
    <cellStyle name="Normal 3 2 6 2 2 2" xfId="16532" xr:uid="{E5238757-0A74-4086-8C0D-010D22F71E82}"/>
    <cellStyle name="Normal 3 2 6 2 3" xfId="12314" xr:uid="{292731EA-67D8-4F20-BECC-10729252710B}"/>
    <cellStyle name="Normal 3 2 6 3" xfId="5951" xr:uid="{00000000-0005-0000-0000-0000D9110000}"/>
    <cellStyle name="Normal 3 2 6 3 2" xfId="14387" xr:uid="{50E9AACF-DDFF-4BA6-BC03-0C0694191639}"/>
    <cellStyle name="Normal 3 2 6 4" xfId="10169" xr:uid="{D7A3E276-12C9-4F66-9DF8-0170AB351D09}"/>
    <cellStyle name="Normal 3 2 7" xfId="2057" xr:uid="{00000000-0005-0000-0000-0000DA110000}"/>
    <cellStyle name="Normal 3 2 7 2" xfId="4286" xr:uid="{00000000-0005-0000-0000-0000DB110000}"/>
    <cellStyle name="Normal 3 2 7 2 2" xfId="8509" xr:uid="{00000000-0005-0000-0000-0000DC110000}"/>
    <cellStyle name="Normal 3 2 7 2 2 2" xfId="16945" xr:uid="{89637E11-38EB-4758-8F30-A02F9B1ABA5B}"/>
    <cellStyle name="Normal 3 2 7 2 3" xfId="12727" xr:uid="{AF16AC5A-7CCE-4CA9-A5BA-D11C0DD30447}"/>
    <cellStyle name="Normal 3 2 7 3" xfId="6364" xr:uid="{00000000-0005-0000-0000-0000DD110000}"/>
    <cellStyle name="Normal 3 2 7 3 2" xfId="14800" xr:uid="{22002200-FB69-4B4C-9ABB-FDEFF107B152}"/>
    <cellStyle name="Normal 3 2 7 4" xfId="10582" xr:uid="{E159CB54-6F6C-405B-94F2-0F0281F24F7D}"/>
    <cellStyle name="Normal 3 2 8" xfId="2493" xr:uid="{00000000-0005-0000-0000-0000DE110000}"/>
    <cellStyle name="Normal 3 2 8 2" xfId="6777" xr:uid="{00000000-0005-0000-0000-0000DF110000}"/>
    <cellStyle name="Normal 3 2 8 2 2" xfId="15213" xr:uid="{D6BC6C25-5C50-4C30-95C4-FC77425D2B6E}"/>
    <cellStyle name="Normal 3 2 8 3" xfId="10995" xr:uid="{013FF8B1-8AC0-46F8-92D6-41E3E3E2A713}"/>
    <cellStyle name="Normal 3 2 9" xfId="4711" xr:uid="{00000000-0005-0000-0000-0000E0110000}"/>
    <cellStyle name="Normal 3 2 9 2" xfId="13147" xr:uid="{8F485A14-BD7E-4AF0-8659-5738643983BE}"/>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4" xr:uid="{E0C9C2F5-2C91-42B9-9792-9A0FAA2563DD}"/>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0" xr:uid="{26BF5E3F-89CB-4FC7-9749-1129A4F6E07B}"/>
    <cellStyle name="Normal 4 2 2 10 2 3" xfId="12732" xr:uid="{21AD3955-2404-4300-BD0C-2409300C1674}"/>
    <cellStyle name="Normal 4 2 2 10 3" xfId="6369" xr:uid="{00000000-0005-0000-0000-0000ED110000}"/>
    <cellStyle name="Normal 4 2 2 10 3 2" xfId="14805" xr:uid="{EE135E5E-61A3-43D8-9150-7F173BD9650C}"/>
    <cellStyle name="Normal 4 2 2 10 4" xfId="10587" xr:uid="{2791BC2A-4DD3-4422-9259-50E6BD382974}"/>
    <cellStyle name="Normal 4 2 2 11" xfId="2498" xr:uid="{00000000-0005-0000-0000-0000EE110000}"/>
    <cellStyle name="Normal 4 2 2 11 2" xfId="6782" xr:uid="{00000000-0005-0000-0000-0000EF110000}"/>
    <cellStyle name="Normal 4 2 2 11 2 2" xfId="15218" xr:uid="{D990DF24-3AC4-43DF-A667-2B9CAEA553A6}"/>
    <cellStyle name="Normal 4 2 2 11 3" xfId="11000" xr:uid="{5C514864-1A07-48D3-AA08-D72E19A104C1}"/>
    <cellStyle name="Normal 4 2 2 12" xfId="4717" xr:uid="{00000000-0005-0000-0000-0000F0110000}"/>
    <cellStyle name="Normal 4 2 2 12 2" xfId="13153" xr:uid="{E505F4C2-BD17-4D89-AD5D-FED285C23F64}"/>
    <cellStyle name="Normal 4 2 2 13" xfId="8935" xr:uid="{81D0754B-909B-4B97-B384-AA0E643DBFDD}"/>
    <cellStyle name="Normal 4 2 2 2" xfId="338" xr:uid="{00000000-0005-0000-0000-0000F1110000}"/>
    <cellStyle name="Normal 4 2 2 3" xfId="339" xr:uid="{00000000-0005-0000-0000-0000F2110000}"/>
    <cellStyle name="Normal 4 2 2 3 10" xfId="4718" xr:uid="{00000000-0005-0000-0000-0000F3110000}"/>
    <cellStyle name="Normal 4 2 2 3 10 2" xfId="13154" xr:uid="{C399104C-10EA-4F4D-8EBB-703E23528F44}"/>
    <cellStyle name="Normal 4 2 2 3 11" xfId="8936" xr:uid="{A467B4B9-51F8-4BAD-8B5D-2779A1453DB7}"/>
    <cellStyle name="Normal 4 2 2 3 2" xfId="340" xr:uid="{00000000-0005-0000-0000-0000F4110000}"/>
    <cellStyle name="Normal 4 2 2 3 2 10" xfId="8937" xr:uid="{2BE7D176-6C57-49C9-82B8-A1BC752C4215}"/>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5" xr:uid="{E31BC76A-CEC4-4F8E-B812-C7CFEF4DF607}"/>
    <cellStyle name="Normal 4 2 2 3 2 2 2 2 2 3" xfId="11497" xr:uid="{AD551265-CBA0-4D15-9C3F-6FC9706FCBBA}"/>
    <cellStyle name="Normal 4 2 2 3 2 2 2 2 3" xfId="5134" xr:uid="{00000000-0005-0000-0000-0000FA110000}"/>
    <cellStyle name="Normal 4 2 2 3 2 2 2 2 3 2" xfId="13570" xr:uid="{C5BCAA68-B7AE-47FE-8516-D53309B9E61D}"/>
    <cellStyle name="Normal 4 2 2 3 2 2 2 2 4" xfId="9352" xr:uid="{81595CF9-57B7-42CC-A73A-3C8FE586FC1D}"/>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28" xr:uid="{A5D4FA69-AE39-4256-9EA4-7116EB3D7FD8}"/>
    <cellStyle name="Normal 4 2 2 3 2 2 2 3 2 3" xfId="11910" xr:uid="{F5A64D29-8456-48F0-AF77-DADC69E0D4E7}"/>
    <cellStyle name="Normal 4 2 2 3 2 2 2 3 3" xfId="5547" xr:uid="{00000000-0005-0000-0000-0000FE110000}"/>
    <cellStyle name="Normal 4 2 2 3 2 2 2 3 3 2" xfId="13983" xr:uid="{688AE59E-B675-46F7-A40B-B939E2C3C9FC}"/>
    <cellStyle name="Normal 4 2 2 3 2 2 2 3 4" xfId="9765" xr:uid="{DC554000-FC0B-4636-A3C1-4F1888082CD3}"/>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1" xr:uid="{AAC96F47-E502-4CC1-8EC4-ED6CDC3B8960}"/>
    <cellStyle name="Normal 4 2 2 3 2 2 2 4 2 3" xfId="12323" xr:uid="{B4D4ED07-AC1B-4B01-BA3E-CA84FF5B9083}"/>
    <cellStyle name="Normal 4 2 2 3 2 2 2 4 3" xfId="5960" xr:uid="{00000000-0005-0000-0000-000002120000}"/>
    <cellStyle name="Normal 4 2 2 3 2 2 2 4 3 2" xfId="14396" xr:uid="{8BDCD6CD-977B-4FC1-BEB6-45A5574C0A63}"/>
    <cellStyle name="Normal 4 2 2 3 2 2 2 4 4" xfId="10178" xr:uid="{E8885F63-AA89-412B-AD24-AE652A27F8DC}"/>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4" xr:uid="{6F7E2B2C-ADBC-47A6-B1DF-A5B26DD66B55}"/>
    <cellStyle name="Normal 4 2 2 3 2 2 2 5 2 3" xfId="12736" xr:uid="{8F1162D9-E0BD-4919-A390-E09A66BEF634}"/>
    <cellStyle name="Normal 4 2 2 3 2 2 2 5 3" xfId="6373" xr:uid="{00000000-0005-0000-0000-000006120000}"/>
    <cellStyle name="Normal 4 2 2 3 2 2 2 5 3 2" xfId="14809" xr:uid="{9DE11E10-F8B6-4192-9394-1945B06A2319}"/>
    <cellStyle name="Normal 4 2 2 3 2 2 2 5 4" xfId="10591" xr:uid="{BC0F3B4A-6E94-42BB-991A-5B50E3D35E24}"/>
    <cellStyle name="Normal 4 2 2 3 2 2 2 6" xfId="2502" xr:uid="{00000000-0005-0000-0000-000007120000}"/>
    <cellStyle name="Normal 4 2 2 3 2 2 2 6 2" xfId="6786" xr:uid="{00000000-0005-0000-0000-000008120000}"/>
    <cellStyle name="Normal 4 2 2 3 2 2 2 6 2 2" xfId="15222" xr:uid="{FAB58D6F-59B6-4740-8581-9D651D7AAB6C}"/>
    <cellStyle name="Normal 4 2 2 3 2 2 2 6 3" xfId="11004" xr:uid="{AABDFB3D-D0BF-46F3-825F-6AD6CE0A45AB}"/>
    <cellStyle name="Normal 4 2 2 3 2 2 2 7" xfId="4721" xr:uid="{00000000-0005-0000-0000-000009120000}"/>
    <cellStyle name="Normal 4 2 2 3 2 2 2 7 2" xfId="13157" xr:uid="{3309FB47-2020-4A06-B20B-16BE423139BC}"/>
    <cellStyle name="Normal 4 2 2 3 2 2 2 8" xfId="8939" xr:uid="{CC973239-3898-42EB-A0D4-D10208B0C2FA}"/>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4" xr:uid="{16A03BF0-3A46-4353-A32B-8E8BA32671B9}"/>
    <cellStyle name="Normal 4 2 2 3 2 2 3 2 3" xfId="11496" xr:uid="{0D5CA937-7008-4C8B-9400-77BD02284B62}"/>
    <cellStyle name="Normal 4 2 2 3 2 2 3 3" xfId="5133" xr:uid="{00000000-0005-0000-0000-00000D120000}"/>
    <cellStyle name="Normal 4 2 2 3 2 2 3 3 2" xfId="13569" xr:uid="{50876998-7339-4770-A79D-CB589813EBE3}"/>
    <cellStyle name="Normal 4 2 2 3 2 2 3 4" xfId="9351" xr:uid="{C2224DCC-9FE2-4257-B7D3-5FBC84231122}"/>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27" xr:uid="{C6B3786C-C754-4B09-B88F-170439030271}"/>
    <cellStyle name="Normal 4 2 2 3 2 2 4 2 3" xfId="11909" xr:uid="{3C1ED2F0-3B8C-4834-B116-CA96B4F1812B}"/>
    <cellStyle name="Normal 4 2 2 3 2 2 4 3" xfId="5546" xr:uid="{00000000-0005-0000-0000-000011120000}"/>
    <cellStyle name="Normal 4 2 2 3 2 2 4 3 2" xfId="13982" xr:uid="{D5718AD5-59FF-4F9B-9819-F86D2ECA20BF}"/>
    <cellStyle name="Normal 4 2 2 3 2 2 4 4" xfId="9764" xr:uid="{09769AD5-DB2D-4146-BB83-19460D46E5B2}"/>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0" xr:uid="{E1814F06-EC41-40AB-9C9D-6D535849E527}"/>
    <cellStyle name="Normal 4 2 2 3 2 2 5 2 3" xfId="12322" xr:uid="{18059368-7BA8-48CA-940B-D48F6616BC4C}"/>
    <cellStyle name="Normal 4 2 2 3 2 2 5 3" xfId="5959" xr:uid="{00000000-0005-0000-0000-000015120000}"/>
    <cellStyle name="Normal 4 2 2 3 2 2 5 3 2" xfId="14395" xr:uid="{A67E2157-15AE-4700-B65A-42AFD59552B5}"/>
    <cellStyle name="Normal 4 2 2 3 2 2 5 4" xfId="10177" xr:uid="{1A56BA3D-E147-4CAC-AA99-B6368B8B4C4B}"/>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3" xr:uid="{03178DF7-2849-4BE0-8AD8-E2E1265DFB72}"/>
    <cellStyle name="Normal 4 2 2 3 2 2 6 2 3" xfId="12735" xr:uid="{6C70EE1D-39D8-4110-B406-BDAD775D4494}"/>
    <cellStyle name="Normal 4 2 2 3 2 2 6 3" xfId="6372" xr:uid="{00000000-0005-0000-0000-000019120000}"/>
    <cellStyle name="Normal 4 2 2 3 2 2 6 3 2" xfId="14808" xr:uid="{88BC3859-98C9-4BA8-B0AC-B675ACC1E3EC}"/>
    <cellStyle name="Normal 4 2 2 3 2 2 6 4" xfId="10590" xr:uid="{86D619D6-E298-4437-A106-00602FF59BE4}"/>
    <cellStyle name="Normal 4 2 2 3 2 2 7" xfId="2501" xr:uid="{00000000-0005-0000-0000-00001A120000}"/>
    <cellStyle name="Normal 4 2 2 3 2 2 7 2" xfId="6785" xr:uid="{00000000-0005-0000-0000-00001B120000}"/>
    <cellStyle name="Normal 4 2 2 3 2 2 7 2 2" xfId="15221" xr:uid="{822651D3-2CDC-4DC3-BCFF-65633C103634}"/>
    <cellStyle name="Normal 4 2 2 3 2 2 7 3" xfId="11003" xr:uid="{2A5C655A-7F4E-49E7-A290-1E5569C5F1E4}"/>
    <cellStyle name="Normal 4 2 2 3 2 2 8" xfId="4720" xr:uid="{00000000-0005-0000-0000-00001C120000}"/>
    <cellStyle name="Normal 4 2 2 3 2 2 8 2" xfId="13156" xr:uid="{E077B9FA-2A9D-4B0A-9F6F-C29FE1816B88}"/>
    <cellStyle name="Normal 4 2 2 3 2 2 9" xfId="8938" xr:uid="{459ADA9C-C825-4956-9094-8F2A8D1E3409}"/>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6" xr:uid="{04825427-C4E5-44F5-B222-B7D2DF9A5D99}"/>
    <cellStyle name="Normal 4 2 2 3 2 3 2 2 3" xfId="11498" xr:uid="{028FB4E2-DD8D-487B-AC2E-5E42A4B4B15B}"/>
    <cellStyle name="Normal 4 2 2 3 2 3 2 3" xfId="5135" xr:uid="{00000000-0005-0000-0000-000021120000}"/>
    <cellStyle name="Normal 4 2 2 3 2 3 2 3 2" xfId="13571" xr:uid="{E58E6E60-6806-4BDC-A38B-52876771D7B5}"/>
    <cellStyle name="Normal 4 2 2 3 2 3 2 4" xfId="9353" xr:uid="{365C9326-6B0B-4927-A49E-DBC049D1833D}"/>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29" xr:uid="{D1257C76-C2F3-4C36-A8A7-15E0BCC4AF5A}"/>
    <cellStyle name="Normal 4 2 2 3 2 3 3 2 3" xfId="11911" xr:uid="{DDFB3A91-79CA-4D5C-9588-ABFB2BEFA15C}"/>
    <cellStyle name="Normal 4 2 2 3 2 3 3 3" xfId="5548" xr:uid="{00000000-0005-0000-0000-000025120000}"/>
    <cellStyle name="Normal 4 2 2 3 2 3 3 3 2" xfId="13984" xr:uid="{3A638AC5-14EB-4089-AED7-D86C13A7507D}"/>
    <cellStyle name="Normal 4 2 2 3 2 3 3 4" xfId="9766" xr:uid="{FC10ED7F-E162-4FC2-B3D0-93BED85763DF}"/>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2" xr:uid="{7E015AB2-3BBB-418D-966F-7F2D6631FC2F}"/>
    <cellStyle name="Normal 4 2 2 3 2 3 4 2 3" xfId="12324" xr:uid="{7D97F761-6857-4686-8921-ABB21DC070C0}"/>
    <cellStyle name="Normal 4 2 2 3 2 3 4 3" xfId="5961" xr:uid="{00000000-0005-0000-0000-000029120000}"/>
    <cellStyle name="Normal 4 2 2 3 2 3 4 3 2" xfId="14397" xr:uid="{BCC1E35D-8723-4ABA-9CAE-D08C3F8A7231}"/>
    <cellStyle name="Normal 4 2 2 3 2 3 4 4" xfId="10179" xr:uid="{6751848A-7C8E-4746-889D-613413941AE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5" xr:uid="{2B1A584E-1D21-408A-B6FB-EEECF8F20A3E}"/>
    <cellStyle name="Normal 4 2 2 3 2 3 5 2 3" xfId="12737" xr:uid="{9B40F3F6-A3D9-4209-B518-27C381472A9D}"/>
    <cellStyle name="Normal 4 2 2 3 2 3 5 3" xfId="6374" xr:uid="{00000000-0005-0000-0000-00002D120000}"/>
    <cellStyle name="Normal 4 2 2 3 2 3 5 3 2" xfId="14810" xr:uid="{F49911EC-A9D2-4A9B-940B-DAAC5DA3180D}"/>
    <cellStyle name="Normal 4 2 2 3 2 3 5 4" xfId="10592" xr:uid="{AF763ADD-D832-4A62-BB83-A401D73980BD}"/>
    <cellStyle name="Normal 4 2 2 3 2 3 6" xfId="2503" xr:uid="{00000000-0005-0000-0000-00002E120000}"/>
    <cellStyle name="Normal 4 2 2 3 2 3 6 2" xfId="6787" xr:uid="{00000000-0005-0000-0000-00002F120000}"/>
    <cellStyle name="Normal 4 2 2 3 2 3 6 2 2" xfId="15223" xr:uid="{144382D2-D27A-4D4C-B7E0-1E826314E02C}"/>
    <cellStyle name="Normal 4 2 2 3 2 3 6 3" xfId="11005" xr:uid="{50E4ECB9-358D-4A9B-9871-996E37165984}"/>
    <cellStyle name="Normal 4 2 2 3 2 3 7" xfId="4722" xr:uid="{00000000-0005-0000-0000-000030120000}"/>
    <cellStyle name="Normal 4 2 2 3 2 3 7 2" xfId="13158" xr:uid="{18399132-56BB-4ADA-BAFD-84ABF402CB59}"/>
    <cellStyle name="Normal 4 2 2 3 2 3 8" xfId="8940" xr:uid="{31146B82-D548-4267-87A6-E49AAA6AB977}"/>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3" xr:uid="{3F67ADDE-74E8-4C48-A86E-471FA39B6386}"/>
    <cellStyle name="Normal 4 2 2 3 2 4 2 3" xfId="11495" xr:uid="{54058315-35CB-488B-A96B-C53A8F061736}"/>
    <cellStyle name="Normal 4 2 2 3 2 4 3" xfId="5132" xr:uid="{00000000-0005-0000-0000-000034120000}"/>
    <cellStyle name="Normal 4 2 2 3 2 4 3 2" xfId="13568" xr:uid="{CF332262-DF54-40C1-9BC7-A22C8F3828EA}"/>
    <cellStyle name="Normal 4 2 2 3 2 4 4" xfId="9350" xr:uid="{7D46CA92-F940-4632-B644-2C4B828537A8}"/>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6" xr:uid="{6A236825-52CF-415D-B5EA-7D29CF5FA1C9}"/>
    <cellStyle name="Normal 4 2 2 3 2 5 2 3" xfId="11908" xr:uid="{E051BBD8-3A28-4527-A8C0-2ADA89DDD8A8}"/>
    <cellStyle name="Normal 4 2 2 3 2 5 3" xfId="5545" xr:uid="{00000000-0005-0000-0000-000038120000}"/>
    <cellStyle name="Normal 4 2 2 3 2 5 3 2" xfId="13981" xr:uid="{AF15FA23-D759-4945-87C1-DB959FA2EABF}"/>
    <cellStyle name="Normal 4 2 2 3 2 5 4" xfId="9763" xr:uid="{F82EB8BC-B116-4D2D-AD9F-344531DD73E9}"/>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39" xr:uid="{1A070EAA-9F1F-49D1-84B7-0DE39B37CF09}"/>
    <cellStyle name="Normal 4 2 2 3 2 6 2 3" xfId="12321" xr:uid="{CCE22485-A279-4347-B9D9-9453E0B7EE72}"/>
    <cellStyle name="Normal 4 2 2 3 2 6 3" xfId="5958" xr:uid="{00000000-0005-0000-0000-00003C120000}"/>
    <cellStyle name="Normal 4 2 2 3 2 6 3 2" xfId="14394" xr:uid="{76B2390D-79EC-4BFB-B871-363641639D85}"/>
    <cellStyle name="Normal 4 2 2 3 2 6 4" xfId="10176" xr:uid="{371352B7-06BE-4C16-A471-6EDF9CD1A6D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2" xr:uid="{6ADBA2EE-4DD6-450A-ACA1-0A22A47B059C}"/>
    <cellStyle name="Normal 4 2 2 3 2 7 2 3" xfId="12734" xr:uid="{19842A12-9804-4D2D-A129-A101BA072001}"/>
    <cellStyle name="Normal 4 2 2 3 2 7 3" xfId="6371" xr:uid="{00000000-0005-0000-0000-000040120000}"/>
    <cellStyle name="Normal 4 2 2 3 2 7 3 2" xfId="14807" xr:uid="{4B6C025C-809D-44C2-9172-D2644F2B3B3F}"/>
    <cellStyle name="Normal 4 2 2 3 2 7 4" xfId="10589" xr:uid="{896C23E6-CC93-45A8-B073-035C49F9C705}"/>
    <cellStyle name="Normal 4 2 2 3 2 8" xfId="2500" xr:uid="{00000000-0005-0000-0000-000041120000}"/>
    <cellStyle name="Normal 4 2 2 3 2 8 2" xfId="6784" xr:uid="{00000000-0005-0000-0000-000042120000}"/>
    <cellStyle name="Normal 4 2 2 3 2 8 2 2" xfId="15220" xr:uid="{C20EFF24-6F9F-4CFF-8453-9908873073C7}"/>
    <cellStyle name="Normal 4 2 2 3 2 8 3" xfId="11002" xr:uid="{53A77411-6C94-4855-ADE0-71107EF58B47}"/>
    <cellStyle name="Normal 4 2 2 3 2 9" xfId="4719" xr:uid="{00000000-0005-0000-0000-000043120000}"/>
    <cellStyle name="Normal 4 2 2 3 2 9 2" xfId="13155" xr:uid="{3B22432F-CFA7-4D35-A25D-BAB0292B1016}"/>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18" xr:uid="{968D615A-CF5F-40D1-BFE2-8DF865C26E0D}"/>
    <cellStyle name="Normal 4 2 2 3 3 2 2 2 3" xfId="11500" xr:uid="{B4C14040-8398-4BED-839D-B82313A25811}"/>
    <cellStyle name="Normal 4 2 2 3 3 2 2 3" xfId="5137" xr:uid="{00000000-0005-0000-0000-000049120000}"/>
    <cellStyle name="Normal 4 2 2 3 3 2 2 3 2" xfId="13573" xr:uid="{2B2F845C-53BD-443B-9CB8-2B07D16C5ACD}"/>
    <cellStyle name="Normal 4 2 2 3 3 2 2 4" xfId="9355" xr:uid="{58F5A39C-642D-414A-95A8-5CD6C0844F33}"/>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1" xr:uid="{37F6B964-4AEA-4BD7-A6D6-0755746EA5B9}"/>
    <cellStyle name="Normal 4 2 2 3 3 2 3 2 3" xfId="11913" xr:uid="{24399910-B501-466F-95B4-AD095E430865}"/>
    <cellStyle name="Normal 4 2 2 3 3 2 3 3" xfId="5550" xr:uid="{00000000-0005-0000-0000-00004D120000}"/>
    <cellStyle name="Normal 4 2 2 3 3 2 3 3 2" xfId="13986" xr:uid="{05385894-8AD4-4884-9C97-146BF485EEC1}"/>
    <cellStyle name="Normal 4 2 2 3 3 2 3 4" xfId="9768" xr:uid="{24DCF9CE-93ED-4A01-9AFE-5D57D27BF33B}"/>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4" xr:uid="{496563FA-6503-4538-97DE-A48CA877F005}"/>
    <cellStyle name="Normal 4 2 2 3 3 2 4 2 3" xfId="12326" xr:uid="{71B98C19-2C74-491F-BD9E-1E03FC85840D}"/>
    <cellStyle name="Normal 4 2 2 3 3 2 4 3" xfId="5963" xr:uid="{00000000-0005-0000-0000-000051120000}"/>
    <cellStyle name="Normal 4 2 2 3 3 2 4 3 2" xfId="14399" xr:uid="{72206459-2BEF-405D-9558-6A8E62F04F19}"/>
    <cellStyle name="Normal 4 2 2 3 3 2 4 4" xfId="10181" xr:uid="{560CFCF3-A39C-4482-BD64-B36E73339FCE}"/>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57" xr:uid="{C221804E-B210-4280-AA5F-1E3F053FE043}"/>
    <cellStyle name="Normal 4 2 2 3 3 2 5 2 3" xfId="12739" xr:uid="{A337B9FD-6704-4BCB-84E1-D6722276A546}"/>
    <cellStyle name="Normal 4 2 2 3 3 2 5 3" xfId="6376" xr:uid="{00000000-0005-0000-0000-000055120000}"/>
    <cellStyle name="Normal 4 2 2 3 3 2 5 3 2" xfId="14812" xr:uid="{E1CA6359-69B4-48F3-A65D-C4CCC4A3A53F}"/>
    <cellStyle name="Normal 4 2 2 3 3 2 5 4" xfId="10594" xr:uid="{93387459-CA47-4B8D-A87E-AA0E7061A51B}"/>
    <cellStyle name="Normal 4 2 2 3 3 2 6" xfId="2505" xr:uid="{00000000-0005-0000-0000-000056120000}"/>
    <cellStyle name="Normal 4 2 2 3 3 2 6 2" xfId="6789" xr:uid="{00000000-0005-0000-0000-000057120000}"/>
    <cellStyle name="Normal 4 2 2 3 3 2 6 2 2" xfId="15225" xr:uid="{93B1CA05-EAFF-4B09-8338-24105219F12C}"/>
    <cellStyle name="Normal 4 2 2 3 3 2 6 3" xfId="11007" xr:uid="{C79FC77C-1BC3-4C4B-ACB9-5A2D199CE8EC}"/>
    <cellStyle name="Normal 4 2 2 3 3 2 7" xfId="4724" xr:uid="{00000000-0005-0000-0000-000058120000}"/>
    <cellStyle name="Normal 4 2 2 3 3 2 7 2" xfId="13160" xr:uid="{1957D490-B6D3-42CB-B420-E99EAE57BA5F}"/>
    <cellStyle name="Normal 4 2 2 3 3 2 8" xfId="8942" xr:uid="{A2CE6496-9249-43B7-B3F0-D0F97C2B54A2}"/>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17" xr:uid="{87001E54-CB59-4661-983D-E950D21A6B80}"/>
    <cellStyle name="Normal 4 2 2 3 3 3 2 3" xfId="11499" xr:uid="{6A250509-1757-467F-A7FF-B6E021B073DC}"/>
    <cellStyle name="Normal 4 2 2 3 3 3 3" xfId="5136" xr:uid="{00000000-0005-0000-0000-00005C120000}"/>
    <cellStyle name="Normal 4 2 2 3 3 3 3 2" xfId="13572" xr:uid="{6A7CC08E-8098-48D2-9C4E-7A151DEF0507}"/>
    <cellStyle name="Normal 4 2 2 3 3 3 4" xfId="9354" xr:uid="{E3A192EE-BD30-478C-BE18-9E735EBEE8D1}"/>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0" xr:uid="{26FC3292-F3DF-4274-B251-98BC9AAC2253}"/>
    <cellStyle name="Normal 4 2 2 3 3 4 2 3" xfId="11912" xr:uid="{2C82879A-53F0-4476-A4BA-2F1C3490B018}"/>
    <cellStyle name="Normal 4 2 2 3 3 4 3" xfId="5549" xr:uid="{00000000-0005-0000-0000-000060120000}"/>
    <cellStyle name="Normal 4 2 2 3 3 4 3 2" xfId="13985" xr:uid="{54F2E3C4-687A-4F07-BA77-187F9E547D05}"/>
    <cellStyle name="Normal 4 2 2 3 3 4 4" xfId="9767" xr:uid="{F8ECD165-FF3E-4D1E-8278-F170C1A50255}"/>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3" xr:uid="{A4109477-4E70-437C-94FC-E57814FF6B67}"/>
    <cellStyle name="Normal 4 2 2 3 3 5 2 3" xfId="12325" xr:uid="{214FC968-B3A4-42EF-8910-F9100D658DDF}"/>
    <cellStyle name="Normal 4 2 2 3 3 5 3" xfId="5962" xr:uid="{00000000-0005-0000-0000-000064120000}"/>
    <cellStyle name="Normal 4 2 2 3 3 5 3 2" xfId="14398" xr:uid="{A500D82E-B682-40A1-8AE8-DC11F8071CA3}"/>
    <cellStyle name="Normal 4 2 2 3 3 5 4" xfId="10180" xr:uid="{2409D670-C54F-4D48-89C4-F30CA3D090D3}"/>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6" xr:uid="{48A4706D-F63C-442C-A263-5A6488C968BA}"/>
    <cellStyle name="Normal 4 2 2 3 3 6 2 3" xfId="12738" xr:uid="{BD49FA5F-0CFC-478F-9541-2F505E2CF34B}"/>
    <cellStyle name="Normal 4 2 2 3 3 6 3" xfId="6375" xr:uid="{00000000-0005-0000-0000-000068120000}"/>
    <cellStyle name="Normal 4 2 2 3 3 6 3 2" xfId="14811" xr:uid="{ABF8C973-C344-4AC6-8469-8C4D11CB425E}"/>
    <cellStyle name="Normal 4 2 2 3 3 6 4" xfId="10593" xr:uid="{8AA334B0-A181-4256-9CD8-5BAD2702D63E}"/>
    <cellStyle name="Normal 4 2 2 3 3 7" xfId="2504" xr:uid="{00000000-0005-0000-0000-000069120000}"/>
    <cellStyle name="Normal 4 2 2 3 3 7 2" xfId="6788" xr:uid="{00000000-0005-0000-0000-00006A120000}"/>
    <cellStyle name="Normal 4 2 2 3 3 7 2 2" xfId="15224" xr:uid="{A142C192-3619-49AD-8035-CF45FD68289D}"/>
    <cellStyle name="Normal 4 2 2 3 3 7 3" xfId="11006" xr:uid="{84BA8B91-A7A2-43B2-9BAD-9A9C7B2D369B}"/>
    <cellStyle name="Normal 4 2 2 3 3 8" xfId="4723" xr:uid="{00000000-0005-0000-0000-00006B120000}"/>
    <cellStyle name="Normal 4 2 2 3 3 8 2" xfId="13159" xr:uid="{AFFEA92E-1E3B-49F7-9C07-75A57A2044BB}"/>
    <cellStyle name="Normal 4 2 2 3 3 9" xfId="8941" xr:uid="{A4BABB7A-0C59-45ED-9CF8-2F1C990CBC1F}"/>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19" xr:uid="{619902EB-6C78-4BC2-AF3D-578D884F6C7A}"/>
    <cellStyle name="Normal 4 2 2 3 4 2 2 3" xfId="11501" xr:uid="{73E43305-E769-4FBC-AB7A-914496A688C0}"/>
    <cellStyle name="Normal 4 2 2 3 4 2 3" xfId="5138" xr:uid="{00000000-0005-0000-0000-000070120000}"/>
    <cellStyle name="Normal 4 2 2 3 4 2 3 2" xfId="13574" xr:uid="{EE1C5BDB-E3B6-491E-A12C-184B9A2D4EDE}"/>
    <cellStyle name="Normal 4 2 2 3 4 2 4" xfId="9356" xr:uid="{9192D6D0-AF4E-4E0A-8F3E-630498CB6A74}"/>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2" xr:uid="{F9686A26-A05E-4DEF-8CA1-ADCC95FF064E}"/>
    <cellStyle name="Normal 4 2 2 3 4 3 2 3" xfId="11914" xr:uid="{78D01D48-9F91-4142-8ECE-17478AB4C482}"/>
    <cellStyle name="Normal 4 2 2 3 4 3 3" xfId="5551" xr:uid="{00000000-0005-0000-0000-000074120000}"/>
    <cellStyle name="Normal 4 2 2 3 4 3 3 2" xfId="13987" xr:uid="{6A459EB9-3F4B-4836-BCDC-C1BEAB91F9A2}"/>
    <cellStyle name="Normal 4 2 2 3 4 3 4" xfId="9769" xr:uid="{0BF38B5F-4D18-4EEB-ACAB-89A50547AEA3}"/>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5" xr:uid="{2F4091B5-F417-4BDD-AA2D-3409A7856EFD}"/>
    <cellStyle name="Normal 4 2 2 3 4 4 2 3" xfId="12327" xr:uid="{40B17115-F687-4D3E-B0FB-330C2AAA0C68}"/>
    <cellStyle name="Normal 4 2 2 3 4 4 3" xfId="5964" xr:uid="{00000000-0005-0000-0000-000078120000}"/>
    <cellStyle name="Normal 4 2 2 3 4 4 3 2" xfId="14400" xr:uid="{F421696E-C08D-494A-AB9F-4D850C658FFA}"/>
    <cellStyle name="Normal 4 2 2 3 4 4 4" xfId="10182" xr:uid="{9721460D-233C-403A-8C49-13E02A5F7BEF}"/>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58" xr:uid="{96472CD9-EF88-4C10-83FE-9D8644DCDE8B}"/>
    <cellStyle name="Normal 4 2 2 3 4 5 2 3" xfId="12740" xr:uid="{289A0643-5759-4594-831C-EFBC8F370235}"/>
    <cellStyle name="Normal 4 2 2 3 4 5 3" xfId="6377" xr:uid="{00000000-0005-0000-0000-00007C120000}"/>
    <cellStyle name="Normal 4 2 2 3 4 5 3 2" xfId="14813" xr:uid="{36D1F19C-75ED-4010-8EB7-ABC410076E4F}"/>
    <cellStyle name="Normal 4 2 2 3 4 5 4" xfId="10595" xr:uid="{430980AE-E506-40C0-9D65-5999D4619D56}"/>
    <cellStyle name="Normal 4 2 2 3 4 6" xfId="2506" xr:uid="{00000000-0005-0000-0000-00007D120000}"/>
    <cellStyle name="Normal 4 2 2 3 4 6 2" xfId="6790" xr:uid="{00000000-0005-0000-0000-00007E120000}"/>
    <cellStyle name="Normal 4 2 2 3 4 6 2 2" xfId="15226" xr:uid="{4EB10665-ACD7-40F5-95F2-A45386793C47}"/>
    <cellStyle name="Normal 4 2 2 3 4 6 3" xfId="11008" xr:uid="{7CF1D617-96E4-431D-884F-546A9F2408D8}"/>
    <cellStyle name="Normal 4 2 2 3 4 7" xfId="4725" xr:uid="{00000000-0005-0000-0000-00007F120000}"/>
    <cellStyle name="Normal 4 2 2 3 4 7 2" xfId="13161" xr:uid="{4B94A69B-84CF-4B8C-8260-8C0C006CD415}"/>
    <cellStyle name="Normal 4 2 2 3 4 8" xfId="8943" xr:uid="{7273364B-1AE6-480C-8351-444025FEED35}"/>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2" xr:uid="{2F211847-1684-47D8-89CF-B924795BA835}"/>
    <cellStyle name="Normal 4 2 2 3 5 2 3" xfId="11494" xr:uid="{2A83D4BD-2B17-4CE0-B0D0-0089937A55A1}"/>
    <cellStyle name="Normal 4 2 2 3 5 3" xfId="5131" xr:uid="{00000000-0005-0000-0000-000083120000}"/>
    <cellStyle name="Normal 4 2 2 3 5 3 2" xfId="13567" xr:uid="{600E7797-1830-4999-ADE6-89C633E26733}"/>
    <cellStyle name="Normal 4 2 2 3 5 4" xfId="9349" xr:uid="{20BA35F6-DBF3-4715-9B93-5FE61445805C}"/>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5" xr:uid="{07284B0D-CE06-488B-ABBB-5FD2F346314D}"/>
    <cellStyle name="Normal 4 2 2 3 6 2 3" xfId="11907" xr:uid="{CD0A2FC5-D9C4-4C19-95B6-0DA7BC859361}"/>
    <cellStyle name="Normal 4 2 2 3 6 3" xfId="5544" xr:uid="{00000000-0005-0000-0000-000087120000}"/>
    <cellStyle name="Normal 4 2 2 3 6 3 2" xfId="13980" xr:uid="{2EAE7EB0-83B7-484E-A429-F970D2D5D026}"/>
    <cellStyle name="Normal 4 2 2 3 6 4" xfId="9762" xr:uid="{FBDDCC7D-A31C-44CD-8CEF-4C37D8A4757B}"/>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38" xr:uid="{6A24BDFF-269D-4809-B69A-CE084AB9E8A3}"/>
    <cellStyle name="Normal 4 2 2 3 7 2 3" xfId="12320" xr:uid="{44CDE1B9-FDE8-452E-B9D8-FD7048541950}"/>
    <cellStyle name="Normal 4 2 2 3 7 3" xfId="5957" xr:uid="{00000000-0005-0000-0000-00008B120000}"/>
    <cellStyle name="Normal 4 2 2 3 7 3 2" xfId="14393" xr:uid="{5B2012F1-BD08-4899-AD90-24B07BFAEF83}"/>
    <cellStyle name="Normal 4 2 2 3 7 4" xfId="10175" xr:uid="{05748241-2CD4-4636-94F7-E90AA3863132}"/>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1" xr:uid="{025451D8-9763-467B-BE59-05104C702246}"/>
    <cellStyle name="Normal 4 2 2 3 8 2 3" xfId="12733" xr:uid="{79889BD3-4714-47DE-B20B-B9662129A832}"/>
    <cellStyle name="Normal 4 2 2 3 8 3" xfId="6370" xr:uid="{00000000-0005-0000-0000-00008F120000}"/>
    <cellStyle name="Normal 4 2 2 3 8 3 2" xfId="14806" xr:uid="{048A3994-66A3-478E-8DBE-832AD5AACBF9}"/>
    <cellStyle name="Normal 4 2 2 3 8 4" xfId="10588" xr:uid="{80667E8B-48D6-43C1-84C2-53585D9FE7DE}"/>
    <cellStyle name="Normal 4 2 2 3 9" xfId="2499" xr:uid="{00000000-0005-0000-0000-000090120000}"/>
    <cellStyle name="Normal 4 2 2 3 9 2" xfId="6783" xr:uid="{00000000-0005-0000-0000-000091120000}"/>
    <cellStyle name="Normal 4 2 2 3 9 2 2" xfId="15219" xr:uid="{5E11416F-4DC8-4D7F-A2C3-0192792AA970}"/>
    <cellStyle name="Normal 4 2 2 3 9 3" xfId="11001" xr:uid="{FD3291F4-5F90-4215-B846-724215620CF0}"/>
    <cellStyle name="Normal 4 2 2 4" xfId="347" xr:uid="{00000000-0005-0000-0000-000092120000}"/>
    <cellStyle name="Normal 4 2 2 4 10" xfId="8944" xr:uid="{532710AC-BA5E-4245-BD4C-7CF9A467D82F}"/>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2" xr:uid="{F2106C8D-9D83-4721-807A-574198DA9B3B}"/>
    <cellStyle name="Normal 4 2 2 4 2 2 2 2 3" xfId="11504" xr:uid="{8AF70E44-B060-4186-988B-1CE1DB6786DA}"/>
    <cellStyle name="Normal 4 2 2 4 2 2 2 3" xfId="5141" xr:uid="{00000000-0005-0000-0000-000098120000}"/>
    <cellStyle name="Normal 4 2 2 4 2 2 2 3 2" xfId="13577" xr:uid="{0850E617-5C0A-4BE5-84EE-A73383735F9B}"/>
    <cellStyle name="Normal 4 2 2 4 2 2 2 4" xfId="9359" xr:uid="{A4690D8B-B12B-48BC-B349-9DA311BC66BE}"/>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5" xr:uid="{5AD281A9-91E0-481B-AA35-1477F035D744}"/>
    <cellStyle name="Normal 4 2 2 4 2 2 3 2 3" xfId="11917" xr:uid="{ED01F427-B84E-4E56-B1D7-9863F7B6BDDE}"/>
    <cellStyle name="Normal 4 2 2 4 2 2 3 3" xfId="5554" xr:uid="{00000000-0005-0000-0000-00009C120000}"/>
    <cellStyle name="Normal 4 2 2 4 2 2 3 3 2" xfId="13990" xr:uid="{8872BF55-F52A-41AB-A301-18CC7F1591C7}"/>
    <cellStyle name="Normal 4 2 2 4 2 2 3 4" xfId="9772" xr:uid="{3A3F8C81-3811-4228-8D83-58E0ABC2E6AC}"/>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48" xr:uid="{5154CD52-9420-4C11-B6AA-996BC212CCA9}"/>
    <cellStyle name="Normal 4 2 2 4 2 2 4 2 3" xfId="12330" xr:uid="{1410BC6D-F8D2-4B83-9613-CBD4B8B1999A}"/>
    <cellStyle name="Normal 4 2 2 4 2 2 4 3" xfId="5967" xr:uid="{00000000-0005-0000-0000-0000A0120000}"/>
    <cellStyle name="Normal 4 2 2 4 2 2 4 3 2" xfId="14403" xr:uid="{BA22238C-96AC-4056-836A-3CFCAE239EE6}"/>
    <cellStyle name="Normal 4 2 2 4 2 2 4 4" xfId="10185" xr:uid="{DF77C2B3-2634-4135-9108-E26841F06C81}"/>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1" xr:uid="{5081364C-83E1-43CD-B82A-46408BE2E5B7}"/>
    <cellStyle name="Normal 4 2 2 4 2 2 5 2 3" xfId="12743" xr:uid="{A081EBD2-B69D-4128-B9FC-AAB4C21A4B3B}"/>
    <cellStyle name="Normal 4 2 2 4 2 2 5 3" xfId="6380" xr:uid="{00000000-0005-0000-0000-0000A4120000}"/>
    <cellStyle name="Normal 4 2 2 4 2 2 5 3 2" xfId="14816" xr:uid="{7A72B107-62B3-4BE1-A85F-9AA40B0486B1}"/>
    <cellStyle name="Normal 4 2 2 4 2 2 5 4" xfId="10598" xr:uid="{55751FD5-DECF-409C-95AA-463D337927FA}"/>
    <cellStyle name="Normal 4 2 2 4 2 2 6" xfId="2509" xr:uid="{00000000-0005-0000-0000-0000A5120000}"/>
    <cellStyle name="Normal 4 2 2 4 2 2 6 2" xfId="6793" xr:uid="{00000000-0005-0000-0000-0000A6120000}"/>
    <cellStyle name="Normal 4 2 2 4 2 2 6 2 2" xfId="15229" xr:uid="{7EB2DC55-07B0-46AD-8472-E0194AD7AB55}"/>
    <cellStyle name="Normal 4 2 2 4 2 2 6 3" xfId="11011" xr:uid="{DEA1E3FC-2781-4330-A754-0C2F0B3B3825}"/>
    <cellStyle name="Normal 4 2 2 4 2 2 7" xfId="4728" xr:uid="{00000000-0005-0000-0000-0000A7120000}"/>
    <cellStyle name="Normal 4 2 2 4 2 2 7 2" xfId="13164" xr:uid="{9DF6C1A1-836F-4A2A-841E-888F0F38D584}"/>
    <cellStyle name="Normal 4 2 2 4 2 2 8" xfId="8946" xr:uid="{DA54A380-7B93-4F40-8F7F-A627860153CF}"/>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1" xr:uid="{1AE09B3F-798C-4345-A17E-E2ECAE52DBA0}"/>
    <cellStyle name="Normal 4 2 2 4 2 3 2 3" xfId="11503" xr:uid="{A40DC6D2-CF01-4828-A645-D45F28340720}"/>
    <cellStyle name="Normal 4 2 2 4 2 3 3" xfId="5140" xr:uid="{00000000-0005-0000-0000-0000AB120000}"/>
    <cellStyle name="Normal 4 2 2 4 2 3 3 2" xfId="13576" xr:uid="{DCDB548F-6775-491F-AFE7-D37F8D71DDCC}"/>
    <cellStyle name="Normal 4 2 2 4 2 3 4" xfId="9358" xr:uid="{F40B32ED-7EE3-43CB-8F6A-36097C7DA5BC}"/>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4" xr:uid="{BB2FF063-89CA-4568-9080-1400BC8F8DDD}"/>
    <cellStyle name="Normal 4 2 2 4 2 4 2 3" xfId="11916" xr:uid="{A684458D-19F2-4F95-8674-61A36F21A61D}"/>
    <cellStyle name="Normal 4 2 2 4 2 4 3" xfId="5553" xr:uid="{00000000-0005-0000-0000-0000AF120000}"/>
    <cellStyle name="Normal 4 2 2 4 2 4 3 2" xfId="13989" xr:uid="{391444AA-6F7F-413F-8587-DB2CF986144E}"/>
    <cellStyle name="Normal 4 2 2 4 2 4 4" xfId="9771" xr:uid="{6C9AB6ED-CDD2-4F1C-9827-1E5DB77052E8}"/>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47" xr:uid="{59A405F2-F38D-49EE-A337-35D2B8F33FDF}"/>
    <cellStyle name="Normal 4 2 2 4 2 5 2 3" xfId="12329" xr:uid="{F626141A-DDA0-4515-9ECB-4BE11306FA8E}"/>
    <cellStyle name="Normal 4 2 2 4 2 5 3" xfId="5966" xr:uid="{00000000-0005-0000-0000-0000B3120000}"/>
    <cellStyle name="Normal 4 2 2 4 2 5 3 2" xfId="14402" xr:uid="{A11FE76E-E1D8-4FE9-9533-AB437B5D0AE5}"/>
    <cellStyle name="Normal 4 2 2 4 2 5 4" xfId="10184" xr:uid="{99FEB67F-7C65-4580-B9C0-FA36981A493F}"/>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0" xr:uid="{FA5B0247-C789-43E9-AE3E-26412B6E5E66}"/>
    <cellStyle name="Normal 4 2 2 4 2 6 2 3" xfId="12742" xr:uid="{E47DB8CC-5CB3-4432-BA5C-0963DF5A8E9A}"/>
    <cellStyle name="Normal 4 2 2 4 2 6 3" xfId="6379" xr:uid="{00000000-0005-0000-0000-0000B7120000}"/>
    <cellStyle name="Normal 4 2 2 4 2 6 3 2" xfId="14815" xr:uid="{DC26E523-C095-4141-BFEC-CAEF4BA2D89D}"/>
    <cellStyle name="Normal 4 2 2 4 2 6 4" xfId="10597" xr:uid="{EA2EF3D8-8F35-4DF8-81F1-C88378A106CF}"/>
    <cellStyle name="Normal 4 2 2 4 2 7" xfId="2508" xr:uid="{00000000-0005-0000-0000-0000B8120000}"/>
    <cellStyle name="Normal 4 2 2 4 2 7 2" xfId="6792" xr:uid="{00000000-0005-0000-0000-0000B9120000}"/>
    <cellStyle name="Normal 4 2 2 4 2 7 2 2" xfId="15228" xr:uid="{4E691EA4-7FE1-49BE-9801-66DD8048042B}"/>
    <cellStyle name="Normal 4 2 2 4 2 7 3" xfId="11010" xr:uid="{3A203765-D905-413C-81EA-6E98BEC2F5FD}"/>
    <cellStyle name="Normal 4 2 2 4 2 8" xfId="4727" xr:uid="{00000000-0005-0000-0000-0000BA120000}"/>
    <cellStyle name="Normal 4 2 2 4 2 8 2" xfId="13163" xr:uid="{08172DCD-55D8-4E50-840F-89F85061111A}"/>
    <cellStyle name="Normal 4 2 2 4 2 9" xfId="8945" xr:uid="{28ADD31C-A3DE-4EC7-A810-87B9A0458757}"/>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3" xr:uid="{B0112C59-ACD5-4C86-8179-C2CB6458CBE7}"/>
    <cellStyle name="Normal 4 2 2 4 3 2 2 3" xfId="11505" xr:uid="{11E10EEE-1C08-46B5-A58D-C72D6B6B5014}"/>
    <cellStyle name="Normal 4 2 2 4 3 2 3" xfId="5142" xr:uid="{00000000-0005-0000-0000-0000BF120000}"/>
    <cellStyle name="Normal 4 2 2 4 3 2 3 2" xfId="13578" xr:uid="{00F924E6-EE27-4C8C-91CD-32ACCDCF2C34}"/>
    <cellStyle name="Normal 4 2 2 4 3 2 4" xfId="9360" xr:uid="{AE92B9FC-84F8-4AF2-A513-F20BEB84C48E}"/>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6" xr:uid="{C435FF2F-F402-4B78-9758-0E5642F7B4D5}"/>
    <cellStyle name="Normal 4 2 2 4 3 3 2 3" xfId="11918" xr:uid="{4C69BB87-32E3-48ED-A63D-4AA008B95765}"/>
    <cellStyle name="Normal 4 2 2 4 3 3 3" xfId="5555" xr:uid="{00000000-0005-0000-0000-0000C3120000}"/>
    <cellStyle name="Normal 4 2 2 4 3 3 3 2" xfId="13991" xr:uid="{424DA9AF-4692-4963-B047-97AB23137FC2}"/>
    <cellStyle name="Normal 4 2 2 4 3 3 4" xfId="9773" xr:uid="{F4898021-EED5-47EB-8E2E-05440B27B6C5}"/>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49" xr:uid="{91922981-3421-4E4F-B13E-F99D49B68F35}"/>
    <cellStyle name="Normal 4 2 2 4 3 4 2 3" xfId="12331" xr:uid="{A4F3B19E-3AC8-4D11-820B-A76DBBA3DB14}"/>
    <cellStyle name="Normal 4 2 2 4 3 4 3" xfId="5968" xr:uid="{00000000-0005-0000-0000-0000C7120000}"/>
    <cellStyle name="Normal 4 2 2 4 3 4 3 2" xfId="14404" xr:uid="{5BD98595-246E-461E-81D0-80B4B1C7FD16}"/>
    <cellStyle name="Normal 4 2 2 4 3 4 4" xfId="10186" xr:uid="{117D390E-5817-4012-85C7-1CD94F522F4E}"/>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2" xr:uid="{8FD6EA5A-FFF7-4CBB-85E2-CB49D0A0591A}"/>
    <cellStyle name="Normal 4 2 2 4 3 5 2 3" xfId="12744" xr:uid="{22385A54-97C1-4273-90E4-019AAA5A4F6B}"/>
    <cellStyle name="Normal 4 2 2 4 3 5 3" xfId="6381" xr:uid="{00000000-0005-0000-0000-0000CB120000}"/>
    <cellStyle name="Normal 4 2 2 4 3 5 3 2" xfId="14817" xr:uid="{EB6459CB-8BD3-4C52-8156-E98B7C69AD3D}"/>
    <cellStyle name="Normal 4 2 2 4 3 5 4" xfId="10599" xr:uid="{96D50B68-4010-44A3-ACFC-E8AAD569074B}"/>
    <cellStyle name="Normal 4 2 2 4 3 6" xfId="2510" xr:uid="{00000000-0005-0000-0000-0000CC120000}"/>
    <cellStyle name="Normal 4 2 2 4 3 6 2" xfId="6794" xr:uid="{00000000-0005-0000-0000-0000CD120000}"/>
    <cellStyle name="Normal 4 2 2 4 3 6 2 2" xfId="15230" xr:uid="{DE1DBED4-8FF1-4147-B941-59A31429E8FD}"/>
    <cellStyle name="Normal 4 2 2 4 3 6 3" xfId="11012" xr:uid="{AFCE6C15-70A5-4A6E-A5B3-CC15A4EF8D5C}"/>
    <cellStyle name="Normal 4 2 2 4 3 7" xfId="4729" xr:uid="{00000000-0005-0000-0000-0000CE120000}"/>
    <cellStyle name="Normal 4 2 2 4 3 7 2" xfId="13165" xr:uid="{EA42229C-E4E2-489B-8F57-B3A35F2AC93D}"/>
    <cellStyle name="Normal 4 2 2 4 3 8" xfId="8947" xr:uid="{CB75EB86-284E-430D-A50B-43DC34E02C6F}"/>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0" xr:uid="{9F688FD5-8D33-4050-AA0E-D466CC340E8F}"/>
    <cellStyle name="Normal 4 2 2 4 4 2 3" xfId="11502" xr:uid="{3DD4DB44-5D9C-48E7-8E5A-A2A707B81B33}"/>
    <cellStyle name="Normal 4 2 2 4 4 3" xfId="5139" xr:uid="{00000000-0005-0000-0000-0000D2120000}"/>
    <cellStyle name="Normal 4 2 2 4 4 3 2" xfId="13575" xr:uid="{6A8BEA25-5D87-402A-B3E8-B2DDF12CBE26}"/>
    <cellStyle name="Normal 4 2 2 4 4 4" xfId="9357" xr:uid="{68E235BF-2344-49A7-BB57-1BE1E166BA46}"/>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3" xr:uid="{E8555FF6-0D15-4ACC-961D-979A95F186E2}"/>
    <cellStyle name="Normal 4 2 2 4 5 2 3" xfId="11915" xr:uid="{DEB6FD86-8168-4347-8903-5EE3E9216A79}"/>
    <cellStyle name="Normal 4 2 2 4 5 3" xfId="5552" xr:uid="{00000000-0005-0000-0000-0000D6120000}"/>
    <cellStyle name="Normal 4 2 2 4 5 3 2" xfId="13988" xr:uid="{0A4490D9-11AE-4D91-A786-1DDA465FC9EA}"/>
    <cellStyle name="Normal 4 2 2 4 5 4" xfId="9770" xr:uid="{7C0C913C-9ED3-4642-92D6-5F483D60F69D}"/>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6" xr:uid="{3D2F7749-75B2-48D6-9642-26D8A74F594A}"/>
    <cellStyle name="Normal 4 2 2 4 6 2 3" xfId="12328" xr:uid="{F4A37BAD-06B5-43D7-A9F9-AB8884054BF6}"/>
    <cellStyle name="Normal 4 2 2 4 6 3" xfId="5965" xr:uid="{00000000-0005-0000-0000-0000DA120000}"/>
    <cellStyle name="Normal 4 2 2 4 6 3 2" xfId="14401" xr:uid="{B5532DE7-408E-495E-A53E-21CC7A13A2F2}"/>
    <cellStyle name="Normal 4 2 2 4 6 4" xfId="10183" xr:uid="{250EB907-4506-4804-B032-5E2A1AC63185}"/>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59" xr:uid="{A98F1216-FBD7-460A-BF94-1AE812665B14}"/>
    <cellStyle name="Normal 4 2 2 4 7 2 3" xfId="12741" xr:uid="{F885CE4B-8940-439C-A397-CAFFA6B9AA43}"/>
    <cellStyle name="Normal 4 2 2 4 7 3" xfId="6378" xr:uid="{00000000-0005-0000-0000-0000DE120000}"/>
    <cellStyle name="Normal 4 2 2 4 7 3 2" xfId="14814" xr:uid="{349ED0F1-713A-4206-9F26-FFF73F186C6D}"/>
    <cellStyle name="Normal 4 2 2 4 7 4" xfId="10596" xr:uid="{0763CF30-3C7F-4350-AEAB-C60545D48D5B}"/>
    <cellStyle name="Normal 4 2 2 4 8" xfId="2507" xr:uid="{00000000-0005-0000-0000-0000DF120000}"/>
    <cellStyle name="Normal 4 2 2 4 8 2" xfId="6791" xr:uid="{00000000-0005-0000-0000-0000E0120000}"/>
    <cellStyle name="Normal 4 2 2 4 8 2 2" xfId="15227" xr:uid="{68A7C4CA-CF15-40FA-AB94-93C82AE8CF6D}"/>
    <cellStyle name="Normal 4 2 2 4 8 3" xfId="11009" xr:uid="{88171480-CCFD-424F-93DC-1CEAE8D59878}"/>
    <cellStyle name="Normal 4 2 2 4 9" xfId="4726" xr:uid="{00000000-0005-0000-0000-0000E1120000}"/>
    <cellStyle name="Normal 4 2 2 4 9 2" xfId="13162" xr:uid="{35258EEE-C4D0-4494-9C32-4F40079D6DC2}"/>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5" xr:uid="{A74D0107-8C93-438F-888E-8AC0AABFAC41}"/>
    <cellStyle name="Normal 4 2 2 5 2 2 2 3" xfId="11507" xr:uid="{955C3AC1-F71E-4FD1-9F47-249B68BFDB9C}"/>
    <cellStyle name="Normal 4 2 2 5 2 2 3" xfId="5144" xr:uid="{00000000-0005-0000-0000-0000E7120000}"/>
    <cellStyle name="Normal 4 2 2 5 2 2 3 2" xfId="13580" xr:uid="{41B34449-0985-4510-9D6B-F7621148046D}"/>
    <cellStyle name="Normal 4 2 2 5 2 2 4" xfId="9362" xr:uid="{56D13E5A-5422-4573-9DD5-646E2D9D24D8}"/>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38" xr:uid="{ACA329D8-EC05-4D70-BAF2-91423CC9F59F}"/>
    <cellStyle name="Normal 4 2 2 5 2 3 2 3" xfId="11920" xr:uid="{2E4A73B2-8062-4166-A71E-140A15910F3F}"/>
    <cellStyle name="Normal 4 2 2 5 2 3 3" xfId="5557" xr:uid="{00000000-0005-0000-0000-0000EB120000}"/>
    <cellStyle name="Normal 4 2 2 5 2 3 3 2" xfId="13993" xr:uid="{E7571B2A-CF36-460B-B259-0FC6B57E2E1F}"/>
    <cellStyle name="Normal 4 2 2 5 2 3 4" xfId="9775" xr:uid="{17D0AF97-5F86-4714-B0D5-6E8F1D967F82}"/>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1" xr:uid="{FB3D3B8C-5A54-48FF-8F40-636FB2412D42}"/>
    <cellStyle name="Normal 4 2 2 5 2 4 2 3" xfId="12333" xr:uid="{C52DA4CF-757C-4646-8784-EF809403D766}"/>
    <cellStyle name="Normal 4 2 2 5 2 4 3" xfId="5970" xr:uid="{00000000-0005-0000-0000-0000EF120000}"/>
    <cellStyle name="Normal 4 2 2 5 2 4 3 2" xfId="14406" xr:uid="{B2224290-4689-4EC8-A912-B1F8981B7262}"/>
    <cellStyle name="Normal 4 2 2 5 2 4 4" xfId="10188" xr:uid="{8F0663FC-11B0-496C-883F-D84141DFB08B}"/>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4" xr:uid="{B0247755-A296-422A-ADEB-7B8133BADCA2}"/>
    <cellStyle name="Normal 4 2 2 5 2 5 2 3" xfId="12746" xr:uid="{CD56AA20-8FC1-41C5-9EB2-077AAA7638E8}"/>
    <cellStyle name="Normal 4 2 2 5 2 5 3" xfId="6383" xr:uid="{00000000-0005-0000-0000-0000F3120000}"/>
    <cellStyle name="Normal 4 2 2 5 2 5 3 2" xfId="14819" xr:uid="{8955F41C-451F-4B88-8957-CA634616D2F8}"/>
    <cellStyle name="Normal 4 2 2 5 2 5 4" xfId="10601" xr:uid="{74F5D988-13BC-4CDA-8DD5-7626AB66FD07}"/>
    <cellStyle name="Normal 4 2 2 5 2 6" xfId="2512" xr:uid="{00000000-0005-0000-0000-0000F4120000}"/>
    <cellStyle name="Normal 4 2 2 5 2 6 2" xfId="6796" xr:uid="{00000000-0005-0000-0000-0000F5120000}"/>
    <cellStyle name="Normal 4 2 2 5 2 6 2 2" xfId="15232" xr:uid="{081B10C9-BF6D-4B2F-8562-2A9116E3E41F}"/>
    <cellStyle name="Normal 4 2 2 5 2 6 3" xfId="11014" xr:uid="{992C06B2-31F2-4578-947C-652A29B69DB5}"/>
    <cellStyle name="Normal 4 2 2 5 2 7" xfId="4731" xr:uid="{00000000-0005-0000-0000-0000F6120000}"/>
    <cellStyle name="Normal 4 2 2 5 2 7 2" xfId="13167" xr:uid="{DB10AF57-367E-455C-A8B0-39A70F67B78A}"/>
    <cellStyle name="Normal 4 2 2 5 2 8" xfId="8949" xr:uid="{79AB060E-A7E2-41DC-B104-EB77D8782293}"/>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4" xr:uid="{D1826E13-44EB-4A8A-BC0A-38A8BC489EB0}"/>
    <cellStyle name="Normal 4 2 2 5 3 2 3" xfId="11506" xr:uid="{DD55748E-B084-4291-8218-F21DF03DDA59}"/>
    <cellStyle name="Normal 4 2 2 5 3 3" xfId="5143" xr:uid="{00000000-0005-0000-0000-0000FA120000}"/>
    <cellStyle name="Normal 4 2 2 5 3 3 2" xfId="13579" xr:uid="{CD350434-77B2-446D-A145-8D7A34BC6F52}"/>
    <cellStyle name="Normal 4 2 2 5 3 4" xfId="9361" xr:uid="{F3456A74-153C-43AA-AE66-B9B443371BF5}"/>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37" xr:uid="{F3600D02-9714-4B01-B193-257608E4461E}"/>
    <cellStyle name="Normal 4 2 2 5 4 2 3" xfId="11919" xr:uid="{8A466384-A943-4D80-9BEA-55FAA3873D23}"/>
    <cellStyle name="Normal 4 2 2 5 4 3" xfId="5556" xr:uid="{00000000-0005-0000-0000-0000FE120000}"/>
    <cellStyle name="Normal 4 2 2 5 4 3 2" xfId="13992" xr:uid="{7F8BC649-50C4-4BF4-9774-D0A7206D979D}"/>
    <cellStyle name="Normal 4 2 2 5 4 4" xfId="9774" xr:uid="{4FDCD7B7-C4D9-41E7-989E-33688DFB096A}"/>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0" xr:uid="{8F7DBDEF-1D39-4E27-B409-B1BB802F62DA}"/>
    <cellStyle name="Normal 4 2 2 5 5 2 3" xfId="12332" xr:uid="{D7E59792-8BE5-462D-B264-4BEDFC1A9073}"/>
    <cellStyle name="Normal 4 2 2 5 5 3" xfId="5969" xr:uid="{00000000-0005-0000-0000-000002130000}"/>
    <cellStyle name="Normal 4 2 2 5 5 3 2" xfId="14405" xr:uid="{0F6761D8-77B8-4D94-82B8-8FCC9684989F}"/>
    <cellStyle name="Normal 4 2 2 5 5 4" xfId="10187" xr:uid="{6BFC73F3-4E15-4B0D-AD2D-F48DFE07774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3" xr:uid="{63E7957B-921B-4176-B267-676496809AC6}"/>
    <cellStyle name="Normal 4 2 2 5 6 2 3" xfId="12745" xr:uid="{33C649B3-54D0-441A-865E-BBD03CAD6433}"/>
    <cellStyle name="Normal 4 2 2 5 6 3" xfId="6382" xr:uid="{00000000-0005-0000-0000-000006130000}"/>
    <cellStyle name="Normal 4 2 2 5 6 3 2" xfId="14818" xr:uid="{67A72307-8A4C-4A4F-A2A6-BD9145BDCDF2}"/>
    <cellStyle name="Normal 4 2 2 5 6 4" xfId="10600" xr:uid="{179AD16A-471F-4651-9970-DAD45059E5AA}"/>
    <cellStyle name="Normal 4 2 2 5 7" xfId="2511" xr:uid="{00000000-0005-0000-0000-000007130000}"/>
    <cellStyle name="Normal 4 2 2 5 7 2" xfId="6795" xr:uid="{00000000-0005-0000-0000-000008130000}"/>
    <cellStyle name="Normal 4 2 2 5 7 2 2" xfId="15231" xr:uid="{2918C750-BBCB-4565-B982-C6D56A889733}"/>
    <cellStyle name="Normal 4 2 2 5 7 3" xfId="11013" xr:uid="{CE460DA1-C2CD-4690-BCC2-8FEDB94F8551}"/>
    <cellStyle name="Normal 4 2 2 5 8" xfId="4730" xr:uid="{00000000-0005-0000-0000-000009130000}"/>
    <cellStyle name="Normal 4 2 2 5 8 2" xfId="13166" xr:uid="{D0A86606-1EF5-498D-9C21-DB0EB7CE0878}"/>
    <cellStyle name="Normal 4 2 2 5 9" xfId="8948" xr:uid="{C89D6662-5CB7-4111-A3F7-01007576FC1E}"/>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6" xr:uid="{118CA1AF-8C2C-4766-922B-9B210C5CE0D9}"/>
    <cellStyle name="Normal 4 2 2 6 2 2 3" xfId="11508" xr:uid="{7A6CEC25-6FB8-4796-9270-036262F01F1F}"/>
    <cellStyle name="Normal 4 2 2 6 2 3" xfId="5145" xr:uid="{00000000-0005-0000-0000-00000E130000}"/>
    <cellStyle name="Normal 4 2 2 6 2 3 2" xfId="13581" xr:uid="{9594E521-C545-4AE1-9CFB-A36DF161CE23}"/>
    <cellStyle name="Normal 4 2 2 6 2 4" xfId="9363" xr:uid="{879D35ED-2E53-4804-9096-B40AAF48ADC8}"/>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39" xr:uid="{D6182856-CF48-40D8-B768-1D43FA14D1FC}"/>
    <cellStyle name="Normal 4 2 2 6 3 2 3" xfId="11921" xr:uid="{18266937-B110-42F1-9A8D-783762A58778}"/>
    <cellStyle name="Normal 4 2 2 6 3 3" xfId="5558" xr:uid="{00000000-0005-0000-0000-000012130000}"/>
    <cellStyle name="Normal 4 2 2 6 3 3 2" xfId="13994" xr:uid="{EC330678-A15F-4D76-9B7C-EFB05ED349CD}"/>
    <cellStyle name="Normal 4 2 2 6 3 4" xfId="9776" xr:uid="{69CC9BF7-3412-4B59-95A6-EA28E99B232F}"/>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2" xr:uid="{A5400330-0E08-4782-9841-8B368771B106}"/>
    <cellStyle name="Normal 4 2 2 6 4 2 3" xfId="12334" xr:uid="{194DA523-9E63-463D-AD73-8A277F1A4A3B}"/>
    <cellStyle name="Normal 4 2 2 6 4 3" xfId="5971" xr:uid="{00000000-0005-0000-0000-000016130000}"/>
    <cellStyle name="Normal 4 2 2 6 4 3 2" xfId="14407" xr:uid="{5BEF3714-2EFB-481D-82BD-84F519B44BB2}"/>
    <cellStyle name="Normal 4 2 2 6 4 4" xfId="10189" xr:uid="{5A7BE333-6B78-406A-B003-6F5BD1D3278B}"/>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5" xr:uid="{E6E162C8-4ED8-49A4-BCBC-E542F9AF8BF5}"/>
    <cellStyle name="Normal 4 2 2 6 5 2 3" xfId="12747" xr:uid="{4E935B53-E910-43BB-BCF4-48D3D48FDFCB}"/>
    <cellStyle name="Normal 4 2 2 6 5 3" xfId="6384" xr:uid="{00000000-0005-0000-0000-00001A130000}"/>
    <cellStyle name="Normal 4 2 2 6 5 3 2" xfId="14820" xr:uid="{A5292BCE-B9AF-47B7-8D2A-36CC27450259}"/>
    <cellStyle name="Normal 4 2 2 6 5 4" xfId="10602" xr:uid="{41C8C446-CECA-40F0-9B4C-DB0E9DBE7EB0}"/>
    <cellStyle name="Normal 4 2 2 6 6" xfId="2513" xr:uid="{00000000-0005-0000-0000-00001B130000}"/>
    <cellStyle name="Normal 4 2 2 6 6 2" xfId="6797" xr:uid="{00000000-0005-0000-0000-00001C130000}"/>
    <cellStyle name="Normal 4 2 2 6 6 2 2" xfId="15233" xr:uid="{9A7F1EA1-3E08-4C2D-85CE-163C059C71D8}"/>
    <cellStyle name="Normal 4 2 2 6 6 3" xfId="11015" xr:uid="{3E25A108-A02D-40AB-9765-37A9507DECC3}"/>
    <cellStyle name="Normal 4 2 2 6 7" xfId="4732" xr:uid="{00000000-0005-0000-0000-00001D130000}"/>
    <cellStyle name="Normal 4 2 2 6 7 2" xfId="13168" xr:uid="{ABB3649F-F105-4D3A-8A03-54025E527512}"/>
    <cellStyle name="Normal 4 2 2 6 8" xfId="8950" xr:uid="{EC339254-EEA3-4B73-B1B1-1D213707B70B}"/>
    <cellStyle name="Normal 4 2 2 7" xfId="815" xr:uid="{00000000-0005-0000-0000-00001E130000}"/>
    <cellStyle name="Normal 4 2 2 7 2" xfId="3052" xr:uid="{00000000-0005-0000-0000-00001F130000}"/>
    <cellStyle name="Normal 4 2 2 7 2 2" xfId="7275" xr:uid="{00000000-0005-0000-0000-000020130000}"/>
    <cellStyle name="Normal 4 2 2 7 2 2 2" xfId="15711" xr:uid="{7C06B50E-5C49-45F2-A935-A652D8B6FC3D}"/>
    <cellStyle name="Normal 4 2 2 7 2 3" xfId="11493" xr:uid="{A142846E-057F-48A1-B04D-987A75E41D66}"/>
    <cellStyle name="Normal 4 2 2 7 3" xfId="5130" xr:uid="{00000000-0005-0000-0000-000021130000}"/>
    <cellStyle name="Normal 4 2 2 7 3 2" xfId="13566" xr:uid="{12665396-8CD9-4823-9321-8B359D8DCCFF}"/>
    <cellStyle name="Normal 4 2 2 7 4" xfId="9348" xr:uid="{CE0579F0-E4CB-47D4-A503-184B494716F6}"/>
    <cellStyle name="Normal 4 2 2 8" xfId="1235" xr:uid="{00000000-0005-0000-0000-000022130000}"/>
    <cellStyle name="Normal 4 2 2 8 2" xfId="3465" xr:uid="{00000000-0005-0000-0000-000023130000}"/>
    <cellStyle name="Normal 4 2 2 8 2 2" xfId="7688" xr:uid="{00000000-0005-0000-0000-000024130000}"/>
    <cellStyle name="Normal 4 2 2 8 2 2 2" xfId="16124" xr:uid="{D30E3804-0879-41A3-82BB-430112D1BE6B}"/>
    <cellStyle name="Normal 4 2 2 8 2 3" xfId="11906" xr:uid="{C6911635-4923-45D9-993F-A36A59CAC7F1}"/>
    <cellStyle name="Normal 4 2 2 8 3" xfId="5543" xr:uid="{00000000-0005-0000-0000-000025130000}"/>
    <cellStyle name="Normal 4 2 2 8 3 2" xfId="13979" xr:uid="{665BEA84-74DB-45EF-A05A-02474765C63B}"/>
    <cellStyle name="Normal 4 2 2 8 4" xfId="9761" xr:uid="{51FA4441-C757-48C6-9A23-6D928856309C}"/>
    <cellStyle name="Normal 4 2 2 9" xfId="1648" xr:uid="{00000000-0005-0000-0000-000026130000}"/>
    <cellStyle name="Normal 4 2 2 9 2" xfId="3878" xr:uid="{00000000-0005-0000-0000-000027130000}"/>
    <cellStyle name="Normal 4 2 2 9 2 2" xfId="8101" xr:uid="{00000000-0005-0000-0000-000028130000}"/>
    <cellStyle name="Normal 4 2 2 9 2 2 2" xfId="16537" xr:uid="{DF9DAA50-5841-4EB1-A565-8C57BF7BA33F}"/>
    <cellStyle name="Normal 4 2 2 9 2 3" xfId="12319" xr:uid="{1ABC230A-25A8-4F2F-A90F-4E0C04967827}"/>
    <cellStyle name="Normal 4 2 2 9 3" xfId="5956" xr:uid="{00000000-0005-0000-0000-000029130000}"/>
    <cellStyle name="Normal 4 2 2 9 3 2" xfId="14392" xr:uid="{367F782A-7D75-4BAB-A737-32DFF357BA3B}"/>
    <cellStyle name="Normal 4 2 2 9 4" xfId="10174" xr:uid="{F3879BB3-FED7-4125-A43B-80D47E1396B9}"/>
    <cellStyle name="Normal 4 2 3" xfId="354" xr:uid="{00000000-0005-0000-0000-00002A130000}"/>
    <cellStyle name="Normal 4 2 4" xfId="355" xr:uid="{00000000-0005-0000-0000-00002B130000}"/>
    <cellStyle name="Normal 4 2 4 10" xfId="4733" xr:uid="{00000000-0005-0000-0000-00002C130000}"/>
    <cellStyle name="Normal 4 2 4 10 2" xfId="13169" xr:uid="{9D2534EC-EC43-4AC5-9063-36E270377AF2}"/>
    <cellStyle name="Normal 4 2 4 11" xfId="8951" xr:uid="{EB7DE4A8-FDC2-4587-B3D9-E17E95D55A6C}"/>
    <cellStyle name="Normal 4 2 4 2" xfId="356" xr:uid="{00000000-0005-0000-0000-00002D130000}"/>
    <cellStyle name="Normal 4 2 4 2 10" xfId="8952" xr:uid="{4A3C2E18-8976-4451-9FCC-510893A126D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0" xr:uid="{F981FF08-3ECC-4055-9F16-DFDA032B40B9}"/>
    <cellStyle name="Normal 4 2 4 2 2 2 2 2 3" xfId="11512" xr:uid="{33EB55A5-4E79-4610-87A4-496C46C447D1}"/>
    <cellStyle name="Normal 4 2 4 2 2 2 2 3" xfId="5149" xr:uid="{00000000-0005-0000-0000-000033130000}"/>
    <cellStyle name="Normal 4 2 4 2 2 2 2 3 2" xfId="13585" xr:uid="{6649B8CC-3703-4D9B-BA36-46D7E2DF3943}"/>
    <cellStyle name="Normal 4 2 4 2 2 2 2 4" xfId="9367" xr:uid="{92411FA9-7CF0-45AD-8670-A19A5882175C}"/>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3" xr:uid="{6DBA4747-0991-421C-B694-789681E163C3}"/>
    <cellStyle name="Normal 4 2 4 2 2 2 3 2 3" xfId="11925" xr:uid="{2FB394CD-F6C0-408D-BF2F-395100557F03}"/>
    <cellStyle name="Normal 4 2 4 2 2 2 3 3" xfId="5562" xr:uid="{00000000-0005-0000-0000-000037130000}"/>
    <cellStyle name="Normal 4 2 4 2 2 2 3 3 2" xfId="13998" xr:uid="{E3224E4A-149E-40C0-9F33-9BC0F005D3FD}"/>
    <cellStyle name="Normal 4 2 4 2 2 2 3 4" xfId="9780" xr:uid="{37120F9B-7051-4FB0-A07A-F377BD81DDE4}"/>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6" xr:uid="{99C54B04-425D-4CFE-9377-DC729E843797}"/>
    <cellStyle name="Normal 4 2 4 2 2 2 4 2 3" xfId="12338" xr:uid="{1F66849B-3C74-4A3D-B41A-90B6C421855E}"/>
    <cellStyle name="Normal 4 2 4 2 2 2 4 3" xfId="5975" xr:uid="{00000000-0005-0000-0000-00003B130000}"/>
    <cellStyle name="Normal 4 2 4 2 2 2 4 3 2" xfId="14411" xr:uid="{872EB2FB-9300-43B4-B7E4-57FF205D2876}"/>
    <cellStyle name="Normal 4 2 4 2 2 2 4 4" xfId="10193" xr:uid="{1951161F-BACB-439A-8831-3AB595113568}"/>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69" xr:uid="{5B215C1D-A92F-4A34-A046-FEB7385EADD1}"/>
    <cellStyle name="Normal 4 2 4 2 2 2 5 2 3" xfId="12751" xr:uid="{D77155A8-4007-46DF-8769-89226A0CCBE9}"/>
    <cellStyle name="Normal 4 2 4 2 2 2 5 3" xfId="6388" xr:uid="{00000000-0005-0000-0000-00003F130000}"/>
    <cellStyle name="Normal 4 2 4 2 2 2 5 3 2" xfId="14824" xr:uid="{7FA7E098-0D94-43C6-8A77-C40097B2C9A4}"/>
    <cellStyle name="Normal 4 2 4 2 2 2 5 4" xfId="10606" xr:uid="{1F6720A0-0813-4FD4-A5A1-DE9612AF249C}"/>
    <cellStyle name="Normal 4 2 4 2 2 2 6" xfId="2517" xr:uid="{00000000-0005-0000-0000-000040130000}"/>
    <cellStyle name="Normal 4 2 4 2 2 2 6 2" xfId="6801" xr:uid="{00000000-0005-0000-0000-000041130000}"/>
    <cellStyle name="Normal 4 2 4 2 2 2 6 2 2" xfId="15237" xr:uid="{D61BC1AD-2734-4925-95DB-DCED7ED706B5}"/>
    <cellStyle name="Normal 4 2 4 2 2 2 6 3" xfId="11019" xr:uid="{2F9EAD3A-178F-4ECA-BBF9-A6688FEC7818}"/>
    <cellStyle name="Normal 4 2 4 2 2 2 7" xfId="4736" xr:uid="{00000000-0005-0000-0000-000042130000}"/>
    <cellStyle name="Normal 4 2 4 2 2 2 7 2" xfId="13172" xr:uid="{7AE4C524-8A6F-49E0-89AE-A658428C2021}"/>
    <cellStyle name="Normal 4 2 4 2 2 2 8" xfId="8954" xr:uid="{9C714D3F-C180-4DE4-AF0E-4BB45F2A68B1}"/>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29" xr:uid="{33CE74BD-699E-4719-84E6-7B023C75FC74}"/>
    <cellStyle name="Normal 4 2 4 2 2 3 2 3" xfId="11511" xr:uid="{E84CE796-F7A7-4484-AF43-B3CF46020F04}"/>
    <cellStyle name="Normal 4 2 4 2 2 3 3" xfId="5148" xr:uid="{00000000-0005-0000-0000-000046130000}"/>
    <cellStyle name="Normal 4 2 4 2 2 3 3 2" xfId="13584" xr:uid="{85FD734D-CC78-4088-9A69-0C10334C46DC}"/>
    <cellStyle name="Normal 4 2 4 2 2 3 4" xfId="9366" xr:uid="{C1F4201E-B8FE-45FF-9FE4-504909032086}"/>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2" xr:uid="{382174AD-5167-4761-9CBB-E6896CD6DFB9}"/>
    <cellStyle name="Normal 4 2 4 2 2 4 2 3" xfId="11924" xr:uid="{86417086-9C2A-4D91-917E-18A1333A9836}"/>
    <cellStyle name="Normal 4 2 4 2 2 4 3" xfId="5561" xr:uid="{00000000-0005-0000-0000-00004A130000}"/>
    <cellStyle name="Normal 4 2 4 2 2 4 3 2" xfId="13997" xr:uid="{D7CEEF62-C97B-4106-9275-DB05E1D4A119}"/>
    <cellStyle name="Normal 4 2 4 2 2 4 4" xfId="9779" xr:uid="{7164EF7A-F8DE-4A4C-BE8F-D92AB9D1D51A}"/>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5" xr:uid="{D11FA0A7-E08B-4087-ACA2-50AB03637E65}"/>
    <cellStyle name="Normal 4 2 4 2 2 5 2 3" xfId="12337" xr:uid="{152098F6-3507-4AE9-91C9-A39DAF53537E}"/>
    <cellStyle name="Normal 4 2 4 2 2 5 3" xfId="5974" xr:uid="{00000000-0005-0000-0000-00004E130000}"/>
    <cellStyle name="Normal 4 2 4 2 2 5 3 2" xfId="14410" xr:uid="{042A031E-32F7-401E-9FEE-E27634F7B533}"/>
    <cellStyle name="Normal 4 2 4 2 2 5 4" xfId="10192" xr:uid="{DF1A0AB7-C4A4-4D25-9002-E1B0A0764D4F}"/>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68" xr:uid="{247EF17E-889D-4780-BAB9-290A0D660709}"/>
    <cellStyle name="Normal 4 2 4 2 2 6 2 3" xfId="12750" xr:uid="{2C3AD9BE-1B45-4AD5-A132-C694FCA81A89}"/>
    <cellStyle name="Normal 4 2 4 2 2 6 3" xfId="6387" xr:uid="{00000000-0005-0000-0000-000052130000}"/>
    <cellStyle name="Normal 4 2 4 2 2 6 3 2" xfId="14823" xr:uid="{56F6FF96-B686-4AEA-8BEA-E2EEF996779D}"/>
    <cellStyle name="Normal 4 2 4 2 2 6 4" xfId="10605" xr:uid="{59B951E2-7611-4E62-8B86-DB67952E0A34}"/>
    <cellStyle name="Normal 4 2 4 2 2 7" xfId="2516" xr:uid="{00000000-0005-0000-0000-000053130000}"/>
    <cellStyle name="Normal 4 2 4 2 2 7 2" xfId="6800" xr:uid="{00000000-0005-0000-0000-000054130000}"/>
    <cellStyle name="Normal 4 2 4 2 2 7 2 2" xfId="15236" xr:uid="{180D4040-233D-491F-98F7-711CF372967B}"/>
    <cellStyle name="Normal 4 2 4 2 2 7 3" xfId="11018" xr:uid="{23CADDAA-A2A5-438A-BAFC-91E2B7459ED3}"/>
    <cellStyle name="Normal 4 2 4 2 2 8" xfId="4735" xr:uid="{00000000-0005-0000-0000-000055130000}"/>
    <cellStyle name="Normal 4 2 4 2 2 8 2" xfId="13171" xr:uid="{FE509679-3E00-41A3-95A7-9A6E6FCBCD26}"/>
    <cellStyle name="Normal 4 2 4 2 2 9" xfId="8953" xr:uid="{DCDAF676-03CF-401A-AF8C-0DDC83F8E2CF}"/>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1" xr:uid="{F21F3A6E-6D2E-45B5-9172-377ED2657834}"/>
    <cellStyle name="Normal 4 2 4 2 3 2 2 3" xfId="11513" xr:uid="{38BBE3B3-D8DA-49B1-9BD8-250604DD9093}"/>
    <cellStyle name="Normal 4 2 4 2 3 2 3" xfId="5150" xr:uid="{00000000-0005-0000-0000-00005A130000}"/>
    <cellStyle name="Normal 4 2 4 2 3 2 3 2" xfId="13586" xr:uid="{5A78E523-C1CE-4774-8581-E7868D652699}"/>
    <cellStyle name="Normal 4 2 4 2 3 2 4" xfId="9368" xr:uid="{7BCB0F4D-2FA5-46B8-BDD1-BDC320635028}"/>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4" xr:uid="{45070AB0-5B9A-42D0-972C-8D071D07B9DC}"/>
    <cellStyle name="Normal 4 2 4 2 3 3 2 3" xfId="11926" xr:uid="{92AFA748-F328-43E4-9E96-1DBF2109233B}"/>
    <cellStyle name="Normal 4 2 4 2 3 3 3" xfId="5563" xr:uid="{00000000-0005-0000-0000-00005E130000}"/>
    <cellStyle name="Normal 4 2 4 2 3 3 3 2" xfId="13999" xr:uid="{A610C4EB-AAE0-4A77-9897-5FD0FA582D09}"/>
    <cellStyle name="Normal 4 2 4 2 3 3 4" xfId="9781" xr:uid="{E428CDE4-10AB-4356-A651-0422DF5AC288}"/>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57" xr:uid="{BD1C8521-22E6-4777-B7B0-84B1A22CB433}"/>
    <cellStyle name="Normal 4 2 4 2 3 4 2 3" xfId="12339" xr:uid="{9047AE19-FEDD-4395-A293-191BCC4D60DF}"/>
    <cellStyle name="Normal 4 2 4 2 3 4 3" xfId="5976" xr:uid="{00000000-0005-0000-0000-000062130000}"/>
    <cellStyle name="Normal 4 2 4 2 3 4 3 2" xfId="14412" xr:uid="{FF8A386D-DA85-4344-8220-BE26847B4309}"/>
    <cellStyle name="Normal 4 2 4 2 3 4 4" xfId="10194" xr:uid="{FE7FB237-E238-47E5-BFB5-2731B7376B37}"/>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0" xr:uid="{F78694A0-DC80-4E10-8C68-91D65FE28085}"/>
    <cellStyle name="Normal 4 2 4 2 3 5 2 3" xfId="12752" xr:uid="{96F34A5F-7B77-4B2B-B9D2-4682664C1242}"/>
    <cellStyle name="Normal 4 2 4 2 3 5 3" xfId="6389" xr:uid="{00000000-0005-0000-0000-000066130000}"/>
    <cellStyle name="Normal 4 2 4 2 3 5 3 2" xfId="14825" xr:uid="{242ECD63-FB42-458F-9217-21C0C3008F42}"/>
    <cellStyle name="Normal 4 2 4 2 3 5 4" xfId="10607" xr:uid="{38B0E713-9845-469A-BC1A-7C463BFBB3E9}"/>
    <cellStyle name="Normal 4 2 4 2 3 6" xfId="2518" xr:uid="{00000000-0005-0000-0000-000067130000}"/>
    <cellStyle name="Normal 4 2 4 2 3 6 2" xfId="6802" xr:uid="{00000000-0005-0000-0000-000068130000}"/>
    <cellStyle name="Normal 4 2 4 2 3 6 2 2" xfId="15238" xr:uid="{956B9A9C-0EE4-430D-9B61-E68BA9421EFE}"/>
    <cellStyle name="Normal 4 2 4 2 3 6 3" xfId="11020" xr:uid="{349F83A3-4E4E-46AB-A27B-38CFAE47C646}"/>
    <cellStyle name="Normal 4 2 4 2 3 7" xfId="4737" xr:uid="{00000000-0005-0000-0000-000069130000}"/>
    <cellStyle name="Normal 4 2 4 2 3 7 2" xfId="13173" xr:uid="{A7717501-300B-42A6-957A-962D31686BBF}"/>
    <cellStyle name="Normal 4 2 4 2 3 8" xfId="8955" xr:uid="{507809CE-D205-435E-9027-3D6644E30208}"/>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28" xr:uid="{EB2FEED0-5579-4468-80C6-5D18EA0B1F38}"/>
    <cellStyle name="Normal 4 2 4 2 4 2 3" xfId="11510" xr:uid="{F6DDF698-BC98-48AD-9429-A2DCCB8325A4}"/>
    <cellStyle name="Normal 4 2 4 2 4 3" xfId="5147" xr:uid="{00000000-0005-0000-0000-00006D130000}"/>
    <cellStyle name="Normal 4 2 4 2 4 3 2" xfId="13583" xr:uid="{5484C140-C9F3-4D3C-A44E-BB95B0F25FB6}"/>
    <cellStyle name="Normal 4 2 4 2 4 4" xfId="9365" xr:uid="{2E3F55A7-BC9D-43CA-AC97-CE3D496276DD}"/>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1" xr:uid="{EF0C7C0F-FE93-4E62-A5CF-E26F7A873604}"/>
    <cellStyle name="Normal 4 2 4 2 5 2 3" xfId="11923" xr:uid="{75562D22-BCC6-432D-BC0E-A6587EC13867}"/>
    <cellStyle name="Normal 4 2 4 2 5 3" xfId="5560" xr:uid="{00000000-0005-0000-0000-000071130000}"/>
    <cellStyle name="Normal 4 2 4 2 5 3 2" xfId="13996" xr:uid="{57F17CA9-57A0-4772-B015-A88706F1C7D6}"/>
    <cellStyle name="Normal 4 2 4 2 5 4" xfId="9778" xr:uid="{31D8A5CC-DA66-48B5-89FA-DC008CC158FD}"/>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4" xr:uid="{C58BDA68-B1D9-4832-9064-6B1860665331}"/>
    <cellStyle name="Normal 4 2 4 2 6 2 3" xfId="12336" xr:uid="{EBA7F42D-D3A8-4A2E-AF7B-A6C793DE0950}"/>
    <cellStyle name="Normal 4 2 4 2 6 3" xfId="5973" xr:uid="{00000000-0005-0000-0000-000075130000}"/>
    <cellStyle name="Normal 4 2 4 2 6 3 2" xfId="14409" xr:uid="{6B07B2AD-DFDF-4C80-B088-8BC3EEE1BCAF}"/>
    <cellStyle name="Normal 4 2 4 2 6 4" xfId="10191" xr:uid="{E449C75D-5E36-4AE9-9325-31640711CD30}"/>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67" xr:uid="{29043930-3262-427A-988F-A00AF170DE24}"/>
    <cellStyle name="Normal 4 2 4 2 7 2 3" xfId="12749" xr:uid="{2E474FA9-8D52-4866-808E-84EDCCA2DA55}"/>
    <cellStyle name="Normal 4 2 4 2 7 3" xfId="6386" xr:uid="{00000000-0005-0000-0000-000079130000}"/>
    <cellStyle name="Normal 4 2 4 2 7 3 2" xfId="14822" xr:uid="{BF6BC7D8-85CD-485D-9EED-2054450D0784}"/>
    <cellStyle name="Normal 4 2 4 2 7 4" xfId="10604" xr:uid="{7048B4C5-A319-4539-8116-1B4EB4FA7E9C}"/>
    <cellStyle name="Normal 4 2 4 2 8" xfId="2515" xr:uid="{00000000-0005-0000-0000-00007A130000}"/>
    <cellStyle name="Normal 4 2 4 2 8 2" xfId="6799" xr:uid="{00000000-0005-0000-0000-00007B130000}"/>
    <cellStyle name="Normal 4 2 4 2 8 2 2" xfId="15235" xr:uid="{95073ED6-DDB5-44F4-BA66-5DFC9E3F5B8A}"/>
    <cellStyle name="Normal 4 2 4 2 8 3" xfId="11017" xr:uid="{52490EBA-F9A8-4DD6-8E46-3941607348ED}"/>
    <cellStyle name="Normal 4 2 4 2 9" xfId="4734" xr:uid="{00000000-0005-0000-0000-00007C130000}"/>
    <cellStyle name="Normal 4 2 4 2 9 2" xfId="13170" xr:uid="{9FE15B8C-935B-4461-AD2C-4FCA276B254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3" xr:uid="{49F27E34-D141-46E3-8D88-94E2D63B3B5F}"/>
    <cellStyle name="Normal 4 2 4 3 2 2 2 3" xfId="11515" xr:uid="{369B42D5-6954-4F2D-85F2-20E3B4985EEB}"/>
    <cellStyle name="Normal 4 2 4 3 2 2 3" xfId="5152" xr:uid="{00000000-0005-0000-0000-000082130000}"/>
    <cellStyle name="Normal 4 2 4 3 2 2 3 2" xfId="13588" xr:uid="{96E08561-81DF-4CBB-83EE-DC938C78C1D3}"/>
    <cellStyle name="Normal 4 2 4 3 2 2 4" xfId="9370" xr:uid="{5E662187-4A81-433B-9C9B-B007A229F311}"/>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6" xr:uid="{9A95BCE4-3482-4EAD-A6BE-75225C2A6654}"/>
    <cellStyle name="Normal 4 2 4 3 2 3 2 3" xfId="11928" xr:uid="{66943F1A-818C-47CA-88A8-238CA6F4C0B7}"/>
    <cellStyle name="Normal 4 2 4 3 2 3 3" xfId="5565" xr:uid="{00000000-0005-0000-0000-000086130000}"/>
    <cellStyle name="Normal 4 2 4 3 2 3 3 2" xfId="14001" xr:uid="{03DC9664-E9A2-4D59-9B72-6DC293F06CFA}"/>
    <cellStyle name="Normal 4 2 4 3 2 3 4" xfId="9783" xr:uid="{7084485C-A11C-465F-8C92-65447195554D}"/>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59" xr:uid="{9A095864-798D-4DB2-97A5-82D19DFD8D02}"/>
    <cellStyle name="Normal 4 2 4 3 2 4 2 3" xfId="12341" xr:uid="{4F159F43-F5CF-4BBA-AE4C-60EAB05DEBC5}"/>
    <cellStyle name="Normal 4 2 4 3 2 4 3" xfId="5978" xr:uid="{00000000-0005-0000-0000-00008A130000}"/>
    <cellStyle name="Normal 4 2 4 3 2 4 3 2" xfId="14414" xr:uid="{DFAC4E73-FE8F-4B2E-91A0-7FA984F6BF7B}"/>
    <cellStyle name="Normal 4 2 4 3 2 4 4" xfId="10196" xr:uid="{F49CE5F1-6037-4518-8516-E6BC42CFB885}"/>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2" xr:uid="{C361A816-235D-42D6-94B8-C3C16E32F2F9}"/>
    <cellStyle name="Normal 4 2 4 3 2 5 2 3" xfId="12754" xr:uid="{0BBD74A0-0D90-4D0D-B5BE-603E93D7541F}"/>
    <cellStyle name="Normal 4 2 4 3 2 5 3" xfId="6391" xr:uid="{00000000-0005-0000-0000-00008E130000}"/>
    <cellStyle name="Normal 4 2 4 3 2 5 3 2" xfId="14827" xr:uid="{7DD94063-538F-46CC-A5DA-75EB8AC8CE67}"/>
    <cellStyle name="Normal 4 2 4 3 2 5 4" xfId="10609" xr:uid="{1C0FB3E2-2C6B-4219-A0D6-BC1A00641240}"/>
    <cellStyle name="Normal 4 2 4 3 2 6" xfId="2520" xr:uid="{00000000-0005-0000-0000-00008F130000}"/>
    <cellStyle name="Normal 4 2 4 3 2 6 2" xfId="6804" xr:uid="{00000000-0005-0000-0000-000090130000}"/>
    <cellStyle name="Normal 4 2 4 3 2 6 2 2" xfId="15240" xr:uid="{50BB654D-835B-474D-B786-A32E9EF2FF28}"/>
    <cellStyle name="Normal 4 2 4 3 2 6 3" xfId="11022" xr:uid="{462B4F36-1F58-45D3-BD62-6A77D076DB38}"/>
    <cellStyle name="Normal 4 2 4 3 2 7" xfId="4739" xr:uid="{00000000-0005-0000-0000-000091130000}"/>
    <cellStyle name="Normal 4 2 4 3 2 7 2" xfId="13175" xr:uid="{B34046EC-7A60-4C61-92A4-AFC402691267}"/>
    <cellStyle name="Normal 4 2 4 3 2 8" xfId="8957" xr:uid="{D5B1EA0B-D807-4D7B-88E1-81829A0C8578}"/>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2" xr:uid="{D6AC8D55-07C9-494B-AC8C-F2AD1DE01AF6}"/>
    <cellStyle name="Normal 4 2 4 3 3 2 3" xfId="11514" xr:uid="{870F9B5F-3678-4AB9-BF1E-1A6C4F4E31D0}"/>
    <cellStyle name="Normal 4 2 4 3 3 3" xfId="5151" xr:uid="{00000000-0005-0000-0000-000095130000}"/>
    <cellStyle name="Normal 4 2 4 3 3 3 2" xfId="13587" xr:uid="{D5F6B8CD-F229-40DE-BB34-481C89FB9A46}"/>
    <cellStyle name="Normal 4 2 4 3 3 4" xfId="9369" xr:uid="{E82BA2F8-A531-47D6-989E-FEE36E5672AC}"/>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5" xr:uid="{DF2D58ED-28ED-4F85-BB78-097C5596C41B}"/>
    <cellStyle name="Normal 4 2 4 3 4 2 3" xfId="11927" xr:uid="{9CF9D2C8-E9A7-421B-A3BF-10D4D78E4CFC}"/>
    <cellStyle name="Normal 4 2 4 3 4 3" xfId="5564" xr:uid="{00000000-0005-0000-0000-000099130000}"/>
    <cellStyle name="Normal 4 2 4 3 4 3 2" xfId="14000" xr:uid="{9768D736-FBFD-4647-BD56-63C4CD6CB3F0}"/>
    <cellStyle name="Normal 4 2 4 3 4 4" xfId="9782" xr:uid="{27779EFF-B024-47D7-B9EB-7011255645E7}"/>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58" xr:uid="{02A1946A-2AEA-4A86-90AC-C194B418B1E3}"/>
    <cellStyle name="Normal 4 2 4 3 5 2 3" xfId="12340" xr:uid="{F7DC31B7-4755-4B1A-A4C5-1CBB50EC86D1}"/>
    <cellStyle name="Normal 4 2 4 3 5 3" xfId="5977" xr:uid="{00000000-0005-0000-0000-00009D130000}"/>
    <cellStyle name="Normal 4 2 4 3 5 3 2" xfId="14413" xr:uid="{E9AB16ED-13CB-4777-BFDE-AD6983FA430C}"/>
    <cellStyle name="Normal 4 2 4 3 5 4" xfId="10195" xr:uid="{6F3C5389-1452-48BC-84A7-54C065B6CF26}"/>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1" xr:uid="{5B716817-489F-46E0-B555-AFF10BD62FDD}"/>
    <cellStyle name="Normal 4 2 4 3 6 2 3" xfId="12753" xr:uid="{AB52852E-584A-4505-9BFC-2AF6F68AF0C2}"/>
    <cellStyle name="Normal 4 2 4 3 6 3" xfId="6390" xr:uid="{00000000-0005-0000-0000-0000A1130000}"/>
    <cellStyle name="Normal 4 2 4 3 6 3 2" xfId="14826" xr:uid="{E9489388-3649-474A-80B7-6B8738D45C0A}"/>
    <cellStyle name="Normal 4 2 4 3 6 4" xfId="10608" xr:uid="{A41966BD-488C-49BD-94A2-94D18A73D7A5}"/>
    <cellStyle name="Normal 4 2 4 3 7" xfId="2519" xr:uid="{00000000-0005-0000-0000-0000A2130000}"/>
    <cellStyle name="Normal 4 2 4 3 7 2" xfId="6803" xr:uid="{00000000-0005-0000-0000-0000A3130000}"/>
    <cellStyle name="Normal 4 2 4 3 7 2 2" xfId="15239" xr:uid="{28B90511-53AD-4C78-9217-3283D3F2D487}"/>
    <cellStyle name="Normal 4 2 4 3 7 3" xfId="11021" xr:uid="{EF9EA397-75BF-4535-8910-7D4AE2D3BE74}"/>
    <cellStyle name="Normal 4 2 4 3 8" xfId="4738" xr:uid="{00000000-0005-0000-0000-0000A4130000}"/>
    <cellStyle name="Normal 4 2 4 3 8 2" xfId="13174" xr:uid="{66BA67EE-9EE0-43C7-A9EF-468688B6D905}"/>
    <cellStyle name="Normal 4 2 4 3 9" xfId="8956" xr:uid="{F9185462-81C0-472E-84CE-6A70A2889B86}"/>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4" xr:uid="{81085D1B-E94F-48D8-AF68-0DB89A2977FD}"/>
    <cellStyle name="Normal 4 2 4 4 2 2 3" xfId="11516" xr:uid="{E113659D-EFAA-47CB-A5E2-C2EB92205402}"/>
    <cellStyle name="Normal 4 2 4 4 2 3" xfId="5153" xr:uid="{00000000-0005-0000-0000-0000A9130000}"/>
    <cellStyle name="Normal 4 2 4 4 2 3 2" xfId="13589" xr:uid="{109CA9FE-227D-4E38-828D-CF7B025AD8B6}"/>
    <cellStyle name="Normal 4 2 4 4 2 4" xfId="9371" xr:uid="{77BBD93B-FD39-43B8-A127-B6E28A1AA40E}"/>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47" xr:uid="{6DC88AD6-0049-4C6F-B7FE-5B84BD119F0C}"/>
    <cellStyle name="Normal 4 2 4 4 3 2 3" xfId="11929" xr:uid="{02C7CBED-1E01-4441-9F3E-EB8BAF9532C7}"/>
    <cellStyle name="Normal 4 2 4 4 3 3" xfId="5566" xr:uid="{00000000-0005-0000-0000-0000AD130000}"/>
    <cellStyle name="Normal 4 2 4 4 3 3 2" xfId="14002" xr:uid="{C3FDFC46-D5AC-4360-9299-B289AB550232}"/>
    <cellStyle name="Normal 4 2 4 4 3 4" xfId="9784" xr:uid="{C1291968-F80F-40D9-9D01-F2DA2FCD0352}"/>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0" xr:uid="{7E2EEA3E-6929-411E-9927-94ED113C4FC6}"/>
    <cellStyle name="Normal 4 2 4 4 4 2 3" xfId="12342" xr:uid="{F444D4E5-23D2-49E2-BD1C-4ED538466617}"/>
    <cellStyle name="Normal 4 2 4 4 4 3" xfId="5979" xr:uid="{00000000-0005-0000-0000-0000B1130000}"/>
    <cellStyle name="Normal 4 2 4 4 4 3 2" xfId="14415" xr:uid="{921C3B22-7650-4CE6-AF4A-E2FD3CF383F2}"/>
    <cellStyle name="Normal 4 2 4 4 4 4" xfId="10197" xr:uid="{40B74172-321B-486F-B772-8E296B24289B}"/>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3" xr:uid="{6B1BC07C-07A5-4E46-AF53-D550811EC4A3}"/>
    <cellStyle name="Normal 4 2 4 4 5 2 3" xfId="12755" xr:uid="{DC3B0531-6B08-420C-8E62-5CC7BCB0A37B}"/>
    <cellStyle name="Normal 4 2 4 4 5 3" xfId="6392" xr:uid="{00000000-0005-0000-0000-0000B5130000}"/>
    <cellStyle name="Normal 4 2 4 4 5 3 2" xfId="14828" xr:uid="{EC221A5C-FCE0-4651-B3AC-C6F925A1A160}"/>
    <cellStyle name="Normal 4 2 4 4 5 4" xfId="10610" xr:uid="{393DEFB4-0C4D-4DE5-B3BA-06038AB4BF73}"/>
    <cellStyle name="Normal 4 2 4 4 6" xfId="2521" xr:uid="{00000000-0005-0000-0000-0000B6130000}"/>
    <cellStyle name="Normal 4 2 4 4 6 2" xfId="6805" xr:uid="{00000000-0005-0000-0000-0000B7130000}"/>
    <cellStyle name="Normal 4 2 4 4 6 2 2" xfId="15241" xr:uid="{4B63FC77-DEF2-4C5F-B0CF-9210F738320D}"/>
    <cellStyle name="Normal 4 2 4 4 6 3" xfId="11023" xr:uid="{DBA0DDFB-4B42-4AED-8C23-A2489AD95D8A}"/>
    <cellStyle name="Normal 4 2 4 4 7" xfId="4740" xr:uid="{00000000-0005-0000-0000-0000B8130000}"/>
    <cellStyle name="Normal 4 2 4 4 7 2" xfId="13176" xr:uid="{370CDF11-F287-402E-8BA0-E349AB080188}"/>
    <cellStyle name="Normal 4 2 4 4 8" xfId="8958" xr:uid="{D36ED1E2-99AE-48D5-9395-8D18213454E9}"/>
    <cellStyle name="Normal 4 2 4 5" xfId="831" xr:uid="{00000000-0005-0000-0000-0000B9130000}"/>
    <cellStyle name="Normal 4 2 4 5 2" xfId="3068" xr:uid="{00000000-0005-0000-0000-0000BA130000}"/>
    <cellStyle name="Normal 4 2 4 5 2 2" xfId="7291" xr:uid="{00000000-0005-0000-0000-0000BB130000}"/>
    <cellStyle name="Normal 4 2 4 5 2 2 2" xfId="15727" xr:uid="{6003A030-09D8-47CF-9ECA-DD89B2517A63}"/>
    <cellStyle name="Normal 4 2 4 5 2 3" xfId="11509" xr:uid="{B4A34609-3BA2-43AF-854D-7065677B9BF8}"/>
    <cellStyle name="Normal 4 2 4 5 3" xfId="5146" xr:uid="{00000000-0005-0000-0000-0000BC130000}"/>
    <cellStyle name="Normal 4 2 4 5 3 2" xfId="13582" xr:uid="{E8E0DF00-F70E-444E-BD6B-0A0F1142D1A8}"/>
    <cellStyle name="Normal 4 2 4 5 4" xfId="9364" xr:uid="{46AE419C-4A90-4687-94BA-5251C41E5428}"/>
    <cellStyle name="Normal 4 2 4 6" xfId="1251" xr:uid="{00000000-0005-0000-0000-0000BD130000}"/>
    <cellStyle name="Normal 4 2 4 6 2" xfId="3481" xr:uid="{00000000-0005-0000-0000-0000BE130000}"/>
    <cellStyle name="Normal 4 2 4 6 2 2" xfId="7704" xr:uid="{00000000-0005-0000-0000-0000BF130000}"/>
    <cellStyle name="Normal 4 2 4 6 2 2 2" xfId="16140" xr:uid="{C1C9D482-733C-40AB-8F4F-99C904F26893}"/>
    <cellStyle name="Normal 4 2 4 6 2 3" xfId="11922" xr:uid="{3B98AC35-4380-43E4-8719-A17B3D9003A5}"/>
    <cellStyle name="Normal 4 2 4 6 3" xfId="5559" xr:uid="{00000000-0005-0000-0000-0000C0130000}"/>
    <cellStyle name="Normal 4 2 4 6 3 2" xfId="13995" xr:uid="{10D76DF7-F933-450C-B6C1-A32EB23FC8E3}"/>
    <cellStyle name="Normal 4 2 4 6 4" xfId="9777" xr:uid="{50CC8FF7-069A-4DEA-9338-59F1D9CA4499}"/>
    <cellStyle name="Normal 4 2 4 7" xfId="1664" xr:uid="{00000000-0005-0000-0000-0000C1130000}"/>
    <cellStyle name="Normal 4 2 4 7 2" xfId="3894" xr:uid="{00000000-0005-0000-0000-0000C2130000}"/>
    <cellStyle name="Normal 4 2 4 7 2 2" xfId="8117" xr:uid="{00000000-0005-0000-0000-0000C3130000}"/>
    <cellStyle name="Normal 4 2 4 7 2 2 2" xfId="16553" xr:uid="{C0E768FB-B556-4A6D-A531-7A120F691F89}"/>
    <cellStyle name="Normal 4 2 4 7 2 3" xfId="12335" xr:uid="{CBA9B451-19DF-40FE-B5A3-23BA0F732BCD}"/>
    <cellStyle name="Normal 4 2 4 7 3" xfId="5972" xr:uid="{00000000-0005-0000-0000-0000C4130000}"/>
    <cellStyle name="Normal 4 2 4 7 3 2" xfId="14408" xr:uid="{2ED58358-A728-49F4-AD6F-1F10334CCA28}"/>
    <cellStyle name="Normal 4 2 4 7 4" xfId="10190" xr:uid="{DE652E3C-F723-4CAF-812D-E65DD13B46ED}"/>
    <cellStyle name="Normal 4 2 4 8" xfId="2078" xr:uid="{00000000-0005-0000-0000-0000C5130000}"/>
    <cellStyle name="Normal 4 2 4 8 2" xfId="4307" xr:uid="{00000000-0005-0000-0000-0000C6130000}"/>
    <cellStyle name="Normal 4 2 4 8 2 2" xfId="8530" xr:uid="{00000000-0005-0000-0000-0000C7130000}"/>
    <cellStyle name="Normal 4 2 4 8 2 2 2" xfId="16966" xr:uid="{688F875F-E72D-4BF2-AC5D-030057C60652}"/>
    <cellStyle name="Normal 4 2 4 8 2 3" xfId="12748" xr:uid="{15CFF648-DD57-428E-8D26-A9B5C27FAE50}"/>
    <cellStyle name="Normal 4 2 4 8 3" xfId="6385" xr:uid="{00000000-0005-0000-0000-0000C8130000}"/>
    <cellStyle name="Normal 4 2 4 8 3 2" xfId="14821" xr:uid="{5780656C-43E8-47D8-B05C-5CBD2EA22070}"/>
    <cellStyle name="Normal 4 2 4 8 4" xfId="10603" xr:uid="{D22D7F7F-C070-40C6-AA6E-837BFF6BB1CD}"/>
    <cellStyle name="Normal 4 2 4 9" xfId="2514" xr:uid="{00000000-0005-0000-0000-0000C9130000}"/>
    <cellStyle name="Normal 4 2 4 9 2" xfId="6798" xr:uid="{00000000-0005-0000-0000-0000CA130000}"/>
    <cellStyle name="Normal 4 2 4 9 2 2" xfId="15234" xr:uid="{3121F27A-55D1-479F-9384-231F51E26950}"/>
    <cellStyle name="Normal 4 2 4 9 3" xfId="11016" xr:uid="{4B86B709-8EEA-48D7-870B-28BC0C394617}"/>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6" xr:uid="{C8CD7A50-6D40-4464-8B14-024690A1AAB1}"/>
    <cellStyle name="Normal 4 2 5 2 2 2 3" xfId="11518" xr:uid="{012DA739-ED04-4954-B492-01CEFF76311D}"/>
    <cellStyle name="Normal 4 2 5 2 2 3" xfId="5155" xr:uid="{00000000-0005-0000-0000-0000D0130000}"/>
    <cellStyle name="Normal 4 2 5 2 2 3 2" xfId="13591" xr:uid="{1B5B73E9-5140-494C-A1E0-6777E58E399C}"/>
    <cellStyle name="Normal 4 2 5 2 2 4" xfId="9373" xr:uid="{9B31E9B6-2245-4D65-A1AD-D2032D39775D}"/>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49" xr:uid="{9D580290-FA6F-4F45-972D-A8284169DC6B}"/>
    <cellStyle name="Normal 4 2 5 2 3 2 3" xfId="11931" xr:uid="{D88B3E39-31E6-4524-BD96-8685D8BFA6AB}"/>
    <cellStyle name="Normal 4 2 5 2 3 3" xfId="5568" xr:uid="{00000000-0005-0000-0000-0000D4130000}"/>
    <cellStyle name="Normal 4 2 5 2 3 3 2" xfId="14004" xr:uid="{F4B6436A-C65C-4EA4-970D-B8CA2FC53E1A}"/>
    <cellStyle name="Normal 4 2 5 2 3 4" xfId="9786" xr:uid="{60FF65DB-B8B9-4525-B2BC-FFEEE9A08E28}"/>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2" xr:uid="{FC8F98AB-19A1-49D8-BC63-CA66F0EA4690}"/>
    <cellStyle name="Normal 4 2 5 2 4 2 3" xfId="12344" xr:uid="{FADEAF89-CF8B-49E0-9125-3FFAF7DC6BFC}"/>
    <cellStyle name="Normal 4 2 5 2 4 3" xfId="5981" xr:uid="{00000000-0005-0000-0000-0000D8130000}"/>
    <cellStyle name="Normal 4 2 5 2 4 3 2" xfId="14417" xr:uid="{EB761071-F1AA-44DC-BD7C-8AC1F8CF27C9}"/>
    <cellStyle name="Normal 4 2 5 2 4 4" xfId="10199" xr:uid="{26F28001-13EE-491D-AEB2-6E51C45E8D81}"/>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5" xr:uid="{5635CACD-985F-4A11-8134-B0F566050BF7}"/>
    <cellStyle name="Normal 4 2 5 2 5 2 3" xfId="12757" xr:uid="{246549A1-D553-4A17-8F8D-1F4B471621AE}"/>
    <cellStyle name="Normal 4 2 5 2 5 3" xfId="6394" xr:uid="{00000000-0005-0000-0000-0000DC130000}"/>
    <cellStyle name="Normal 4 2 5 2 5 3 2" xfId="14830" xr:uid="{335ADF9F-F4FD-4024-80DC-861F5FBA21A7}"/>
    <cellStyle name="Normal 4 2 5 2 5 4" xfId="10612" xr:uid="{3F6C240F-3380-40AD-B949-73CD12BE03FF}"/>
    <cellStyle name="Normal 4 2 5 2 6" xfId="2523" xr:uid="{00000000-0005-0000-0000-0000DD130000}"/>
    <cellStyle name="Normal 4 2 5 2 6 2" xfId="6807" xr:uid="{00000000-0005-0000-0000-0000DE130000}"/>
    <cellStyle name="Normal 4 2 5 2 6 2 2" xfId="15243" xr:uid="{9B2C3F5C-F020-4AB1-8F63-35BC1DBB3591}"/>
    <cellStyle name="Normal 4 2 5 2 6 3" xfId="11025" xr:uid="{D2754C12-1078-4A53-A17F-DA21074E868A}"/>
    <cellStyle name="Normal 4 2 5 2 7" xfId="4742" xr:uid="{00000000-0005-0000-0000-0000DF130000}"/>
    <cellStyle name="Normal 4 2 5 2 7 2" xfId="13178" xr:uid="{5D0343E9-E95A-4489-A119-5202CD067362}"/>
    <cellStyle name="Normal 4 2 5 2 8" xfId="8960" xr:uid="{1209C87B-A175-471F-A3B5-20DE326E11E3}"/>
    <cellStyle name="Normal 4 2 5 3" xfId="839" xr:uid="{00000000-0005-0000-0000-0000E0130000}"/>
    <cellStyle name="Normal 4 2 5 3 2" xfId="3076" xr:uid="{00000000-0005-0000-0000-0000E1130000}"/>
    <cellStyle name="Normal 4 2 5 3 2 2" xfId="7299" xr:uid="{00000000-0005-0000-0000-0000E2130000}"/>
    <cellStyle name="Normal 4 2 5 3 2 2 2" xfId="15735" xr:uid="{CE309C01-4307-4944-8829-DC82978E50B4}"/>
    <cellStyle name="Normal 4 2 5 3 2 3" xfId="11517" xr:uid="{413520EF-E978-421D-983A-F98BE16CC6F7}"/>
    <cellStyle name="Normal 4 2 5 3 3" xfId="5154" xr:uid="{00000000-0005-0000-0000-0000E3130000}"/>
    <cellStyle name="Normal 4 2 5 3 3 2" xfId="13590" xr:uid="{CBAEEEFA-532B-4DE5-A2B4-F76B286AABF2}"/>
    <cellStyle name="Normal 4 2 5 3 4" xfId="9372" xr:uid="{B8F9F247-9D41-4124-8B02-921881D8109A}"/>
    <cellStyle name="Normal 4 2 5 4" xfId="1259" xr:uid="{00000000-0005-0000-0000-0000E4130000}"/>
    <cellStyle name="Normal 4 2 5 4 2" xfId="3489" xr:uid="{00000000-0005-0000-0000-0000E5130000}"/>
    <cellStyle name="Normal 4 2 5 4 2 2" xfId="7712" xr:uid="{00000000-0005-0000-0000-0000E6130000}"/>
    <cellStyle name="Normal 4 2 5 4 2 2 2" xfId="16148" xr:uid="{9AF471F5-B02A-49CC-93DF-18D98752A5DB}"/>
    <cellStyle name="Normal 4 2 5 4 2 3" xfId="11930" xr:uid="{944355B7-5941-4C47-8793-0D2C211F797A}"/>
    <cellStyle name="Normal 4 2 5 4 3" xfId="5567" xr:uid="{00000000-0005-0000-0000-0000E7130000}"/>
    <cellStyle name="Normal 4 2 5 4 3 2" xfId="14003" xr:uid="{8317A08C-20E0-4D0F-A452-D701C256A2BB}"/>
    <cellStyle name="Normal 4 2 5 4 4" xfId="9785" xr:uid="{437268E2-6CF7-4047-982A-88D12F95426D}"/>
    <cellStyle name="Normal 4 2 5 5" xfId="1672" xr:uid="{00000000-0005-0000-0000-0000E8130000}"/>
    <cellStyle name="Normal 4 2 5 5 2" xfId="3902" xr:uid="{00000000-0005-0000-0000-0000E9130000}"/>
    <cellStyle name="Normal 4 2 5 5 2 2" xfId="8125" xr:uid="{00000000-0005-0000-0000-0000EA130000}"/>
    <cellStyle name="Normal 4 2 5 5 2 2 2" xfId="16561" xr:uid="{DDC15F57-B3C4-4A7E-9043-4987CB967028}"/>
    <cellStyle name="Normal 4 2 5 5 2 3" xfId="12343" xr:uid="{901D7A02-25F7-45DB-8E6B-45BC1FBC95E3}"/>
    <cellStyle name="Normal 4 2 5 5 3" xfId="5980" xr:uid="{00000000-0005-0000-0000-0000EB130000}"/>
    <cellStyle name="Normal 4 2 5 5 3 2" xfId="14416" xr:uid="{DEE4A710-74F7-4B4C-AB65-4A85F3193E86}"/>
    <cellStyle name="Normal 4 2 5 5 4" xfId="10198" xr:uid="{25A486B5-8811-49D4-8216-5DC5F04C9E16}"/>
    <cellStyle name="Normal 4 2 5 6" xfId="2086" xr:uid="{00000000-0005-0000-0000-0000EC130000}"/>
    <cellStyle name="Normal 4 2 5 6 2" xfId="4315" xr:uid="{00000000-0005-0000-0000-0000ED130000}"/>
    <cellStyle name="Normal 4 2 5 6 2 2" xfId="8538" xr:uid="{00000000-0005-0000-0000-0000EE130000}"/>
    <cellStyle name="Normal 4 2 5 6 2 2 2" xfId="16974" xr:uid="{5F68E20C-A3AF-4A71-8FE2-D9C876BD31CB}"/>
    <cellStyle name="Normal 4 2 5 6 2 3" xfId="12756" xr:uid="{61A7F512-BB5C-448D-8495-50EB2E54309C}"/>
    <cellStyle name="Normal 4 2 5 6 3" xfId="6393" xr:uid="{00000000-0005-0000-0000-0000EF130000}"/>
    <cellStyle name="Normal 4 2 5 6 3 2" xfId="14829" xr:uid="{8D694D61-FA83-4585-BC3F-9B953AF1202E}"/>
    <cellStyle name="Normal 4 2 5 6 4" xfId="10611" xr:uid="{06DA0EFA-9EAF-41A1-B643-BF9910EB8532}"/>
    <cellStyle name="Normal 4 2 5 7" xfId="2522" xr:uid="{00000000-0005-0000-0000-0000F0130000}"/>
    <cellStyle name="Normal 4 2 5 7 2" xfId="6806" xr:uid="{00000000-0005-0000-0000-0000F1130000}"/>
    <cellStyle name="Normal 4 2 5 7 2 2" xfId="15242" xr:uid="{BFBEA006-388A-4CF3-A11B-DF32FB5A8407}"/>
    <cellStyle name="Normal 4 2 5 7 3" xfId="11024" xr:uid="{2540B4B3-0E98-41AD-ACC6-6398308FA618}"/>
    <cellStyle name="Normal 4 2 5 8" xfId="4741" xr:uid="{00000000-0005-0000-0000-0000F2130000}"/>
    <cellStyle name="Normal 4 2 5 8 2" xfId="13177" xr:uid="{6B4C0619-CB2C-4165-8D05-6C213D4B4556}"/>
    <cellStyle name="Normal 4 2 5 9" xfId="8959" xr:uid="{9E33A627-FDC2-4FC4-B45E-1E014C9D7C86}"/>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37" xr:uid="{B34FF790-52FF-4379-8D48-76DFDA9FB67E}"/>
    <cellStyle name="Normal 4 2 6 2 2 3" xfId="11519" xr:uid="{3497739B-F951-4114-BA9C-4B01EF021D2B}"/>
    <cellStyle name="Normal 4 2 6 2 3" xfId="5156" xr:uid="{00000000-0005-0000-0000-0000F7130000}"/>
    <cellStyle name="Normal 4 2 6 2 3 2" xfId="13592" xr:uid="{6D5EE363-DBE8-485D-A357-B55BB6C83773}"/>
    <cellStyle name="Normal 4 2 6 2 4" xfId="9374" xr:uid="{064849AF-31F3-474A-AD27-C7B1126F2B49}"/>
    <cellStyle name="Normal 4 2 6 3" xfId="1261" xr:uid="{00000000-0005-0000-0000-0000F8130000}"/>
    <cellStyle name="Normal 4 2 6 3 2" xfId="3491" xr:uid="{00000000-0005-0000-0000-0000F9130000}"/>
    <cellStyle name="Normal 4 2 6 3 2 2" xfId="7714" xr:uid="{00000000-0005-0000-0000-0000FA130000}"/>
    <cellStyle name="Normal 4 2 6 3 2 2 2" xfId="16150" xr:uid="{E7066153-F78D-4F37-A448-7BEADA419B27}"/>
    <cellStyle name="Normal 4 2 6 3 2 3" xfId="11932" xr:uid="{AD2EB412-E9BF-4184-A0BB-F989316137A2}"/>
    <cellStyle name="Normal 4 2 6 3 3" xfId="5569" xr:uid="{00000000-0005-0000-0000-0000FB130000}"/>
    <cellStyle name="Normal 4 2 6 3 3 2" xfId="14005" xr:uid="{97F5A13D-F19D-49E1-9B16-813751F34D0B}"/>
    <cellStyle name="Normal 4 2 6 3 4" xfId="9787" xr:uid="{2B71BC49-E642-48F5-9BC7-201956465AAA}"/>
    <cellStyle name="Normal 4 2 6 4" xfId="1674" xr:uid="{00000000-0005-0000-0000-0000FC130000}"/>
    <cellStyle name="Normal 4 2 6 4 2" xfId="3904" xr:uid="{00000000-0005-0000-0000-0000FD130000}"/>
    <cellStyle name="Normal 4 2 6 4 2 2" xfId="8127" xr:uid="{00000000-0005-0000-0000-0000FE130000}"/>
    <cellStyle name="Normal 4 2 6 4 2 2 2" xfId="16563" xr:uid="{DF9B7D3F-5917-4717-8CF7-457C819BF2D0}"/>
    <cellStyle name="Normal 4 2 6 4 2 3" xfId="12345" xr:uid="{9DB2AA07-44BE-4115-BEA9-A616F4D84920}"/>
    <cellStyle name="Normal 4 2 6 4 3" xfId="5982" xr:uid="{00000000-0005-0000-0000-0000FF130000}"/>
    <cellStyle name="Normal 4 2 6 4 3 2" xfId="14418" xr:uid="{6162A906-093A-4ECB-B81C-6C2109EBA03A}"/>
    <cellStyle name="Normal 4 2 6 4 4" xfId="10200" xr:uid="{3BF9CEB9-BC98-423F-B555-ACE280FA4A27}"/>
    <cellStyle name="Normal 4 2 6 5" xfId="2088" xr:uid="{00000000-0005-0000-0000-000000140000}"/>
    <cellStyle name="Normal 4 2 6 5 2" xfId="4317" xr:uid="{00000000-0005-0000-0000-000001140000}"/>
    <cellStyle name="Normal 4 2 6 5 2 2" xfId="8540" xr:uid="{00000000-0005-0000-0000-000002140000}"/>
    <cellStyle name="Normal 4 2 6 5 2 2 2" xfId="16976" xr:uid="{FF821F7E-7CAC-450B-A47E-DB3CCE751460}"/>
    <cellStyle name="Normal 4 2 6 5 2 3" xfId="12758" xr:uid="{645BF6C1-373C-44F4-8629-B1B469C7C962}"/>
    <cellStyle name="Normal 4 2 6 5 3" xfId="6395" xr:uid="{00000000-0005-0000-0000-000003140000}"/>
    <cellStyle name="Normal 4 2 6 5 3 2" xfId="14831" xr:uid="{E64C0F0A-351D-405E-A592-EC4C2BF1A532}"/>
    <cellStyle name="Normal 4 2 6 5 4" xfId="10613" xr:uid="{225C9329-AF37-4DD4-BB06-2F26517C3CB5}"/>
    <cellStyle name="Normal 4 2 6 6" xfId="2524" xr:uid="{00000000-0005-0000-0000-000004140000}"/>
    <cellStyle name="Normal 4 2 6 6 2" xfId="6808" xr:uid="{00000000-0005-0000-0000-000005140000}"/>
    <cellStyle name="Normal 4 2 6 6 2 2" xfId="15244" xr:uid="{4856364A-EC30-410D-B747-74AA01027727}"/>
    <cellStyle name="Normal 4 2 6 6 3" xfId="11026" xr:uid="{B25A35FE-575B-4A30-B667-9E24CCA06F3C}"/>
    <cellStyle name="Normal 4 2 6 7" xfId="4743" xr:uid="{00000000-0005-0000-0000-000006140000}"/>
    <cellStyle name="Normal 4 2 6 7 2" xfId="13179" xr:uid="{6C92A87B-7DE4-47CA-A4CB-958D4595CE7B}"/>
    <cellStyle name="Normal 4 2 6 8" xfId="8961" xr:uid="{94F0D45B-E40D-4613-8E91-B20715A93C44}"/>
    <cellStyle name="Normal 4 3" xfId="366" xr:uid="{00000000-0005-0000-0000-000007140000}"/>
    <cellStyle name="Normal 4 3 10" xfId="8962" xr:uid="{56304724-6760-4A7F-819C-8D9CC4E77683}"/>
    <cellStyle name="Normal 4 3 2" xfId="367" xr:uid="{00000000-0005-0000-0000-000008140000}"/>
    <cellStyle name="Normal 4 3 2 2" xfId="368" xr:uid="{00000000-0005-0000-0000-000009140000}"/>
    <cellStyle name="Normal 4 3 2 2 2" xfId="369" xr:uid="{00000000-0005-0000-0000-00000A140000}"/>
    <cellStyle name="Normal 4 3 2 2 2 10" xfId="8963" xr:uid="{1304C18C-EB30-482D-B2BF-92DDD7626BA1}"/>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1" xr:uid="{7ED9DC90-8142-47F9-928F-21A8890FC5B5}"/>
    <cellStyle name="Normal 4 3 2 2 2 2 2 2 2 3" xfId="11523" xr:uid="{8D9F5E08-33E4-4754-A1F5-AD7706E5A027}"/>
    <cellStyle name="Normal 4 3 2 2 2 2 2 2 3" xfId="5160" xr:uid="{00000000-0005-0000-0000-000010140000}"/>
    <cellStyle name="Normal 4 3 2 2 2 2 2 2 3 2" xfId="13596" xr:uid="{2FE54EBE-AB4D-4081-8275-34B0B2D01369}"/>
    <cellStyle name="Normal 4 3 2 2 2 2 2 2 4" xfId="9378" xr:uid="{19FD5132-3129-43D8-A32A-1F1CA7FC9825}"/>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4" xr:uid="{261741ED-0F97-42DC-B2CB-9802DDFAD909}"/>
    <cellStyle name="Normal 4 3 2 2 2 2 2 3 2 3" xfId="11936" xr:uid="{F5C99652-CD0D-4506-85E5-3ED0E30C8688}"/>
    <cellStyle name="Normal 4 3 2 2 2 2 2 3 3" xfId="5573" xr:uid="{00000000-0005-0000-0000-000014140000}"/>
    <cellStyle name="Normal 4 3 2 2 2 2 2 3 3 2" xfId="14009" xr:uid="{D0F115A2-4462-4385-85E2-3934714E748E}"/>
    <cellStyle name="Normal 4 3 2 2 2 2 2 3 4" xfId="9791" xr:uid="{0B23D4A1-9EB6-4F5E-B541-097D12F929FB}"/>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67" xr:uid="{F111BA6C-8ED6-42F5-8295-ACE44BC0445E}"/>
    <cellStyle name="Normal 4 3 2 2 2 2 2 4 2 3" xfId="12349" xr:uid="{2868D4C5-7E12-4CA3-B267-C7E7F0345EFC}"/>
    <cellStyle name="Normal 4 3 2 2 2 2 2 4 3" xfId="5986" xr:uid="{00000000-0005-0000-0000-000018140000}"/>
    <cellStyle name="Normal 4 3 2 2 2 2 2 4 3 2" xfId="14422" xr:uid="{301E7A2C-1BB8-4625-88AE-4E7A2B5059DA}"/>
    <cellStyle name="Normal 4 3 2 2 2 2 2 4 4" xfId="10204" xr:uid="{AF8D5534-380A-49A0-9142-95167F632D33}"/>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0" xr:uid="{7F84DB6D-A9C7-462B-AE37-A59E5A69E20E}"/>
    <cellStyle name="Normal 4 3 2 2 2 2 2 5 2 3" xfId="12762" xr:uid="{EC25630A-A578-4901-96AF-85695A95B946}"/>
    <cellStyle name="Normal 4 3 2 2 2 2 2 5 3" xfId="6399" xr:uid="{00000000-0005-0000-0000-00001C140000}"/>
    <cellStyle name="Normal 4 3 2 2 2 2 2 5 3 2" xfId="14835" xr:uid="{B0E44346-693D-4C6B-A57C-10F1B6B57288}"/>
    <cellStyle name="Normal 4 3 2 2 2 2 2 5 4" xfId="10617" xr:uid="{AB5CE5ED-F57F-45E9-B22F-E4F8B8408F1F}"/>
    <cellStyle name="Normal 4 3 2 2 2 2 2 6" xfId="2528" xr:uid="{00000000-0005-0000-0000-00001D140000}"/>
    <cellStyle name="Normal 4 3 2 2 2 2 2 6 2" xfId="6812" xr:uid="{00000000-0005-0000-0000-00001E140000}"/>
    <cellStyle name="Normal 4 3 2 2 2 2 2 6 2 2" xfId="15248" xr:uid="{B833B73B-55C3-4D5C-9CCC-BB6302A5D749}"/>
    <cellStyle name="Normal 4 3 2 2 2 2 2 6 3" xfId="11030" xr:uid="{4C8106F1-F4DF-40FD-A2AF-08C9BD91BD6A}"/>
    <cellStyle name="Normal 4 3 2 2 2 2 2 7" xfId="4747" xr:uid="{00000000-0005-0000-0000-00001F140000}"/>
    <cellStyle name="Normal 4 3 2 2 2 2 2 7 2" xfId="13183" xr:uid="{DC8605E0-A686-4C53-A317-918236917922}"/>
    <cellStyle name="Normal 4 3 2 2 2 2 2 8" xfId="8965" xr:uid="{8FCCA211-11CA-4C42-A7FF-F967854B4EBC}"/>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0" xr:uid="{34E1568A-7843-4577-83A5-AB810937420F}"/>
    <cellStyle name="Normal 4 3 2 2 2 2 3 2 3" xfId="11522" xr:uid="{34E4365B-73FA-4C95-8255-B2AD4B95957B}"/>
    <cellStyle name="Normal 4 3 2 2 2 2 3 3" xfId="5159" xr:uid="{00000000-0005-0000-0000-000023140000}"/>
    <cellStyle name="Normal 4 3 2 2 2 2 3 3 2" xfId="13595" xr:uid="{AC1EF7F5-162F-4FED-9679-F73422CECBB0}"/>
    <cellStyle name="Normal 4 3 2 2 2 2 3 4" xfId="9377" xr:uid="{41A8A589-4CCC-4225-88AD-45D07786B003}"/>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3" xr:uid="{A43E56F6-DB06-42C5-B682-8B209B3878E2}"/>
    <cellStyle name="Normal 4 3 2 2 2 2 4 2 3" xfId="11935" xr:uid="{81308648-9F14-4A6C-83BE-B9EA950F8248}"/>
    <cellStyle name="Normal 4 3 2 2 2 2 4 3" xfId="5572" xr:uid="{00000000-0005-0000-0000-000027140000}"/>
    <cellStyle name="Normal 4 3 2 2 2 2 4 3 2" xfId="14008" xr:uid="{5E22A17A-29BB-43D4-8030-674B69492BCB}"/>
    <cellStyle name="Normal 4 3 2 2 2 2 4 4" xfId="9790" xr:uid="{6E3A9015-D1DF-4756-949F-82078EF38E52}"/>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6" xr:uid="{728B73E1-15DF-45D3-8191-3DA55AA65211}"/>
    <cellStyle name="Normal 4 3 2 2 2 2 5 2 3" xfId="12348" xr:uid="{FD32BEBF-7977-4A32-93C4-B537BEF396F4}"/>
    <cellStyle name="Normal 4 3 2 2 2 2 5 3" xfId="5985" xr:uid="{00000000-0005-0000-0000-00002B140000}"/>
    <cellStyle name="Normal 4 3 2 2 2 2 5 3 2" xfId="14421" xr:uid="{65EDB2CA-1A43-40CE-826E-F7EDCA9A0913}"/>
    <cellStyle name="Normal 4 3 2 2 2 2 5 4" xfId="10203" xr:uid="{40062B1E-0538-4CED-A286-8F8C9220FDFA}"/>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79" xr:uid="{A5951000-3E59-43ED-8CEF-D92C9F90B6C7}"/>
    <cellStyle name="Normal 4 3 2 2 2 2 6 2 3" xfId="12761" xr:uid="{DA966E3B-5B36-4852-A236-6305E2709E7E}"/>
    <cellStyle name="Normal 4 3 2 2 2 2 6 3" xfId="6398" xr:uid="{00000000-0005-0000-0000-00002F140000}"/>
    <cellStyle name="Normal 4 3 2 2 2 2 6 3 2" xfId="14834" xr:uid="{897C9154-B04D-4AC0-9537-2D978665C216}"/>
    <cellStyle name="Normal 4 3 2 2 2 2 6 4" xfId="10616" xr:uid="{7301CF98-8021-43AF-9221-12142445CEB9}"/>
    <cellStyle name="Normal 4 3 2 2 2 2 7" xfId="2527" xr:uid="{00000000-0005-0000-0000-000030140000}"/>
    <cellStyle name="Normal 4 3 2 2 2 2 7 2" xfId="6811" xr:uid="{00000000-0005-0000-0000-000031140000}"/>
    <cellStyle name="Normal 4 3 2 2 2 2 7 2 2" xfId="15247" xr:uid="{DD741540-B5EB-4007-807B-BF0DD9BAAA42}"/>
    <cellStyle name="Normal 4 3 2 2 2 2 7 3" xfId="11029" xr:uid="{9AD73174-14A9-440F-B231-641DECADFEBD}"/>
    <cellStyle name="Normal 4 3 2 2 2 2 8" xfId="4746" xr:uid="{00000000-0005-0000-0000-000032140000}"/>
    <cellStyle name="Normal 4 3 2 2 2 2 8 2" xfId="13182" xr:uid="{7E6FC6C0-68B5-439A-9B2E-BEE0EC4F0CAE}"/>
    <cellStyle name="Normal 4 3 2 2 2 2 9" xfId="8964" xr:uid="{8F6B3247-45AB-4525-B1E5-F408C5E0DE87}"/>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2" xr:uid="{4D1F408F-0313-4573-B79A-FB5E3974B4F8}"/>
    <cellStyle name="Normal 4 3 2 2 2 3 2 2 3" xfId="11524" xr:uid="{801EB6E6-D5C0-4FEE-B641-7980E23191F9}"/>
    <cellStyle name="Normal 4 3 2 2 2 3 2 3" xfId="5161" xr:uid="{00000000-0005-0000-0000-000037140000}"/>
    <cellStyle name="Normal 4 3 2 2 2 3 2 3 2" xfId="13597" xr:uid="{AB35972D-D497-4FE7-BAA8-543001374BC6}"/>
    <cellStyle name="Normal 4 3 2 2 2 3 2 4" xfId="9379" xr:uid="{FB7BE8DE-321D-4E00-A5BD-AA52F726F4C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5" xr:uid="{DFD474AA-03D5-4D2A-B686-C420C6ECEF4C}"/>
    <cellStyle name="Normal 4 3 2 2 2 3 3 2 3" xfId="11937" xr:uid="{27B1A6CF-6426-491C-B891-27D060A8DF0E}"/>
    <cellStyle name="Normal 4 3 2 2 2 3 3 3" xfId="5574" xr:uid="{00000000-0005-0000-0000-00003B140000}"/>
    <cellStyle name="Normal 4 3 2 2 2 3 3 3 2" xfId="14010" xr:uid="{12182EA0-1371-468D-9410-816B4AEA10F2}"/>
    <cellStyle name="Normal 4 3 2 2 2 3 3 4" xfId="9792" xr:uid="{E4E82001-1E9D-44D7-B742-4976326BF8BB}"/>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68" xr:uid="{EB836EBA-EFF8-41A8-8AB9-CC08B139E754}"/>
    <cellStyle name="Normal 4 3 2 2 2 3 4 2 3" xfId="12350" xr:uid="{87E36D7A-AC46-4687-950D-E504ECCB3D6B}"/>
    <cellStyle name="Normal 4 3 2 2 2 3 4 3" xfId="5987" xr:uid="{00000000-0005-0000-0000-00003F140000}"/>
    <cellStyle name="Normal 4 3 2 2 2 3 4 3 2" xfId="14423" xr:uid="{CC8AD32A-BD7E-4784-99C3-ED4DEA1C95CC}"/>
    <cellStyle name="Normal 4 3 2 2 2 3 4 4" xfId="10205" xr:uid="{9514BD3A-16EE-4E4A-BB81-BAF9623E3931}"/>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1" xr:uid="{A3B38BE8-83E7-4BA1-84F7-AC40029697D2}"/>
    <cellStyle name="Normal 4 3 2 2 2 3 5 2 3" xfId="12763" xr:uid="{FFC636B6-73CA-445E-A2B0-BEB3FAC6CB7B}"/>
    <cellStyle name="Normal 4 3 2 2 2 3 5 3" xfId="6400" xr:uid="{00000000-0005-0000-0000-000043140000}"/>
    <cellStyle name="Normal 4 3 2 2 2 3 5 3 2" xfId="14836" xr:uid="{C6BFBD7F-FA1C-49AE-B353-7DDC9362ADD5}"/>
    <cellStyle name="Normal 4 3 2 2 2 3 5 4" xfId="10618" xr:uid="{598DC339-C2E5-4C17-A336-DCB4B96BA825}"/>
    <cellStyle name="Normal 4 3 2 2 2 3 6" xfId="2529" xr:uid="{00000000-0005-0000-0000-000044140000}"/>
    <cellStyle name="Normal 4 3 2 2 2 3 6 2" xfId="6813" xr:uid="{00000000-0005-0000-0000-000045140000}"/>
    <cellStyle name="Normal 4 3 2 2 2 3 6 2 2" xfId="15249" xr:uid="{35256AEB-06B4-4D86-ABFC-CAAD6FA68AF7}"/>
    <cellStyle name="Normal 4 3 2 2 2 3 6 3" xfId="11031" xr:uid="{D9317601-262A-4936-8AC7-2E8532CB8764}"/>
    <cellStyle name="Normal 4 3 2 2 2 3 7" xfId="4748" xr:uid="{00000000-0005-0000-0000-000046140000}"/>
    <cellStyle name="Normal 4 3 2 2 2 3 7 2" xfId="13184" xr:uid="{22A6B69D-8605-4707-A1AD-BF280898AB56}"/>
    <cellStyle name="Normal 4 3 2 2 2 3 8" xfId="8966" xr:uid="{8105FFD8-1A6E-49D1-936D-8D5062B41D47}"/>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39" xr:uid="{62C35CC3-6C16-476F-B07C-040D50F2B892}"/>
    <cellStyle name="Normal 4 3 2 2 2 4 2 3" xfId="11521" xr:uid="{D2448C41-1FAB-45CC-93FC-9B100F0C7596}"/>
    <cellStyle name="Normal 4 3 2 2 2 4 3" xfId="5158" xr:uid="{00000000-0005-0000-0000-00004A140000}"/>
    <cellStyle name="Normal 4 3 2 2 2 4 3 2" xfId="13594" xr:uid="{2D2920C0-14E5-4FF7-9FF0-26D5D160179F}"/>
    <cellStyle name="Normal 4 3 2 2 2 4 4" xfId="9376" xr:uid="{D5C59D04-ED23-4E5C-967E-63531D4F2C97}"/>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2" xr:uid="{CECBD385-F461-4BB6-BEED-ACA67054698A}"/>
    <cellStyle name="Normal 4 3 2 2 2 5 2 3" xfId="11934" xr:uid="{2785D0D3-1C99-4C59-B0A3-728547676C8A}"/>
    <cellStyle name="Normal 4 3 2 2 2 5 3" xfId="5571" xr:uid="{00000000-0005-0000-0000-00004E140000}"/>
    <cellStyle name="Normal 4 3 2 2 2 5 3 2" xfId="14007" xr:uid="{05A4BE83-2F77-459D-9AD9-D82A518133E7}"/>
    <cellStyle name="Normal 4 3 2 2 2 5 4" xfId="9789" xr:uid="{B094E075-FF4D-408C-AC52-DD7E0D4F794A}"/>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5" xr:uid="{199A7F50-C466-471B-A593-F6F889691C46}"/>
    <cellStyle name="Normal 4 3 2 2 2 6 2 3" xfId="12347" xr:uid="{8497571B-A949-4FD3-BB9C-B9899C3208F6}"/>
    <cellStyle name="Normal 4 3 2 2 2 6 3" xfId="5984" xr:uid="{00000000-0005-0000-0000-000052140000}"/>
    <cellStyle name="Normal 4 3 2 2 2 6 3 2" xfId="14420" xr:uid="{FA7C3DBE-0645-462F-9AD8-D847D8DA0F74}"/>
    <cellStyle name="Normal 4 3 2 2 2 6 4" xfId="10202" xr:uid="{05F34B7E-EF8B-44EE-9CD1-83F9D69A6FDD}"/>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78" xr:uid="{FF69BEA0-0C1A-4C86-B02F-BD50231152EB}"/>
    <cellStyle name="Normal 4 3 2 2 2 7 2 3" xfId="12760" xr:uid="{FA481B2D-2043-4670-869D-FD14FD911D29}"/>
    <cellStyle name="Normal 4 3 2 2 2 7 3" xfId="6397" xr:uid="{00000000-0005-0000-0000-000056140000}"/>
    <cellStyle name="Normal 4 3 2 2 2 7 3 2" xfId="14833" xr:uid="{36475CF8-618B-4AD5-9D54-59BA694FDDFF}"/>
    <cellStyle name="Normal 4 3 2 2 2 7 4" xfId="10615" xr:uid="{CD782258-C7BE-4C96-BAD2-B790F18DAB44}"/>
    <cellStyle name="Normal 4 3 2 2 2 8" xfId="2526" xr:uid="{00000000-0005-0000-0000-000057140000}"/>
    <cellStyle name="Normal 4 3 2 2 2 8 2" xfId="6810" xr:uid="{00000000-0005-0000-0000-000058140000}"/>
    <cellStyle name="Normal 4 3 2 2 2 8 2 2" xfId="15246" xr:uid="{0A80AB52-29E3-4D52-866E-244DBAF45675}"/>
    <cellStyle name="Normal 4 3 2 2 2 8 3" xfId="11028" xr:uid="{E853406A-0258-4B3F-A63C-589B60DEEFDE}"/>
    <cellStyle name="Normal 4 3 2 2 2 9" xfId="4745" xr:uid="{00000000-0005-0000-0000-000059140000}"/>
    <cellStyle name="Normal 4 3 2 2 2 9 2" xfId="13181" xr:uid="{E0FB7C64-AB7F-456A-821B-9088AA6285DD}"/>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67" xr:uid="{A7EDB124-B201-4728-9A44-51C6AEEE0F93}"/>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5" xr:uid="{C628D00E-2B29-4ED6-B98E-C6B1ED182A23}"/>
    <cellStyle name="Normal 4 3 3 2 2 2 2 3" xfId="11527" xr:uid="{941727F3-0927-4EFD-8B74-00618CF750E7}"/>
    <cellStyle name="Normal 4 3 3 2 2 2 3" xfId="5164" xr:uid="{00000000-0005-0000-0000-000063140000}"/>
    <cellStyle name="Normal 4 3 3 2 2 2 3 2" xfId="13600" xr:uid="{42642467-CD77-4862-8A47-0527A9E4EB84}"/>
    <cellStyle name="Normal 4 3 3 2 2 2 4" xfId="9382" xr:uid="{F27FCB56-E4C7-47C9-AACC-C7088F35C69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58" xr:uid="{C8AE9262-D443-402B-B5DE-44EB2697DE11}"/>
    <cellStyle name="Normal 4 3 3 2 2 3 2 3" xfId="11940" xr:uid="{581F934D-F3D4-4ADB-BC3B-03E48A783F13}"/>
    <cellStyle name="Normal 4 3 3 2 2 3 3" xfId="5577" xr:uid="{00000000-0005-0000-0000-000067140000}"/>
    <cellStyle name="Normal 4 3 3 2 2 3 3 2" xfId="14013" xr:uid="{7D5D24B9-9914-410D-B4ED-E78AB1308074}"/>
    <cellStyle name="Normal 4 3 3 2 2 3 4" xfId="9795" xr:uid="{1B7CF59C-87EE-460D-8BCA-A1A00F2A5946}"/>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1" xr:uid="{6AB2602B-F84C-4F9E-9FD4-B2E17F025264}"/>
    <cellStyle name="Normal 4 3 3 2 2 4 2 3" xfId="12353" xr:uid="{EA036954-FF1D-4EA8-BC2C-4994E9E93BB5}"/>
    <cellStyle name="Normal 4 3 3 2 2 4 3" xfId="5990" xr:uid="{00000000-0005-0000-0000-00006B140000}"/>
    <cellStyle name="Normal 4 3 3 2 2 4 3 2" xfId="14426" xr:uid="{2EB7F64F-0651-4D02-A180-58407F7B2C36}"/>
    <cellStyle name="Normal 4 3 3 2 2 4 4" xfId="10208" xr:uid="{4DF0668B-EC72-4E57-942F-7B5B321AA864}"/>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4" xr:uid="{A57FFB2F-5535-4DF6-B880-96E44183F555}"/>
    <cellStyle name="Normal 4 3 3 2 2 5 2 3" xfId="12766" xr:uid="{D3FA0FD4-0946-42DF-8CD6-337D326984D2}"/>
    <cellStyle name="Normal 4 3 3 2 2 5 3" xfId="6403" xr:uid="{00000000-0005-0000-0000-00006F140000}"/>
    <cellStyle name="Normal 4 3 3 2 2 5 3 2" xfId="14839" xr:uid="{9C942F64-98C9-4A44-98ED-8A5F7E022684}"/>
    <cellStyle name="Normal 4 3 3 2 2 5 4" xfId="10621" xr:uid="{97A49EE6-B9FB-4699-B4FE-40AB5DDFF47F}"/>
    <cellStyle name="Normal 4 3 3 2 2 6" xfId="2532" xr:uid="{00000000-0005-0000-0000-000070140000}"/>
    <cellStyle name="Normal 4 3 3 2 2 6 2" xfId="6816" xr:uid="{00000000-0005-0000-0000-000071140000}"/>
    <cellStyle name="Normal 4 3 3 2 2 6 2 2" xfId="15252" xr:uid="{54B0A71D-DD12-49CE-9E40-A8CE89A7E246}"/>
    <cellStyle name="Normal 4 3 3 2 2 6 3" xfId="11034" xr:uid="{89C01C40-C30B-448E-891A-62691263388F}"/>
    <cellStyle name="Normal 4 3 3 2 2 7" xfId="4751" xr:uid="{00000000-0005-0000-0000-000072140000}"/>
    <cellStyle name="Normal 4 3 3 2 2 7 2" xfId="13187" xr:uid="{39229652-DCBF-415D-A644-21B45B260E05}"/>
    <cellStyle name="Normal 4 3 3 2 2 8" xfId="8969" xr:uid="{897E130F-C051-4138-A61E-670A59C66F82}"/>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4" xr:uid="{8D4BD310-DEDF-45BC-8B86-3625CCEB18F8}"/>
    <cellStyle name="Normal 4 3 3 2 3 2 3" xfId="11526" xr:uid="{BA7857CC-18E7-4E98-963D-F3589D097F13}"/>
    <cellStyle name="Normal 4 3 3 2 3 3" xfId="5163" xr:uid="{00000000-0005-0000-0000-000076140000}"/>
    <cellStyle name="Normal 4 3 3 2 3 3 2" xfId="13599" xr:uid="{2486BE5A-9C3B-4DA9-8448-D59A6536C236}"/>
    <cellStyle name="Normal 4 3 3 2 3 4" xfId="9381" xr:uid="{21432FE6-7BD4-4909-AFB4-844E5D742BAF}"/>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57" xr:uid="{1B9B03C2-CF4C-49AF-B64B-01FF0E1AF110}"/>
    <cellStyle name="Normal 4 3 3 2 4 2 3" xfId="11939" xr:uid="{9E31945A-567D-4796-A65E-D1146923B1F6}"/>
    <cellStyle name="Normal 4 3 3 2 4 3" xfId="5576" xr:uid="{00000000-0005-0000-0000-00007A140000}"/>
    <cellStyle name="Normal 4 3 3 2 4 3 2" xfId="14012" xr:uid="{5BB17D3C-7EB6-44E9-AC49-B65CA8B23A2F}"/>
    <cellStyle name="Normal 4 3 3 2 4 4" xfId="9794" xr:uid="{630E0992-BB87-4CC4-974E-DAD5B8944092}"/>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0" xr:uid="{74F7E29A-79BF-4D9A-8FB3-CCA5562C4694}"/>
    <cellStyle name="Normal 4 3 3 2 5 2 3" xfId="12352" xr:uid="{10E79915-008B-46B7-9133-F6836A79D39B}"/>
    <cellStyle name="Normal 4 3 3 2 5 3" xfId="5989" xr:uid="{00000000-0005-0000-0000-00007E140000}"/>
    <cellStyle name="Normal 4 3 3 2 5 3 2" xfId="14425" xr:uid="{78C2B60F-B339-4F3F-844E-6D4F153929A3}"/>
    <cellStyle name="Normal 4 3 3 2 5 4" xfId="10207" xr:uid="{489B8303-379B-4A1A-8D85-B450E846FAC7}"/>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3" xr:uid="{4BC77F28-2B46-4F98-A926-542600DE1160}"/>
    <cellStyle name="Normal 4 3 3 2 6 2 3" xfId="12765" xr:uid="{7D7A2335-AC1A-42EE-838E-49D5129578E2}"/>
    <cellStyle name="Normal 4 3 3 2 6 3" xfId="6402" xr:uid="{00000000-0005-0000-0000-000082140000}"/>
    <cellStyle name="Normal 4 3 3 2 6 3 2" xfId="14838" xr:uid="{C9A6C2CA-9EBF-4ABD-813A-C6BD44CC2592}"/>
    <cellStyle name="Normal 4 3 3 2 6 4" xfId="10620" xr:uid="{7875BF73-9A26-4DC5-A2D2-74E533E83DEE}"/>
    <cellStyle name="Normal 4 3 3 2 7" xfId="2531" xr:uid="{00000000-0005-0000-0000-000083140000}"/>
    <cellStyle name="Normal 4 3 3 2 7 2" xfId="6815" xr:uid="{00000000-0005-0000-0000-000084140000}"/>
    <cellStyle name="Normal 4 3 3 2 7 2 2" xfId="15251" xr:uid="{75074479-C2B2-4878-A20F-5176D0EEB709}"/>
    <cellStyle name="Normal 4 3 3 2 7 3" xfId="11033" xr:uid="{A47A5B11-8DE9-406B-A637-CE7DC8729A8E}"/>
    <cellStyle name="Normal 4 3 3 2 8" xfId="4750" xr:uid="{00000000-0005-0000-0000-000085140000}"/>
    <cellStyle name="Normal 4 3 3 2 8 2" xfId="13186" xr:uid="{48D15317-2953-4010-B340-01AE68F6F075}"/>
    <cellStyle name="Normal 4 3 3 2 9" xfId="8968" xr:uid="{8CA97B58-FA3A-4A81-959B-20F11E6DCAC3}"/>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6" xr:uid="{9F15DD40-D28A-4D84-BF39-1686F9372CD0}"/>
    <cellStyle name="Normal 4 3 3 3 2 2 3" xfId="11528" xr:uid="{677AC24A-EBBF-41F1-8323-4D97A8FE6C16}"/>
    <cellStyle name="Normal 4 3 3 3 2 3" xfId="5165" xr:uid="{00000000-0005-0000-0000-00008A140000}"/>
    <cellStyle name="Normal 4 3 3 3 2 3 2" xfId="13601" xr:uid="{068D11D3-AE1F-4709-8F81-F3643FB90063}"/>
    <cellStyle name="Normal 4 3 3 3 2 4" xfId="9383" xr:uid="{F3020EF5-0069-4E73-9883-9FF4B3E78AA4}"/>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59" xr:uid="{4EBAC081-71CC-49A8-AB06-AF3798A8A0A6}"/>
    <cellStyle name="Normal 4 3 3 3 3 2 3" xfId="11941" xr:uid="{5C11F566-E072-4279-BAB9-91E6AA2D70E0}"/>
    <cellStyle name="Normal 4 3 3 3 3 3" xfId="5578" xr:uid="{00000000-0005-0000-0000-00008E140000}"/>
    <cellStyle name="Normal 4 3 3 3 3 3 2" xfId="14014" xr:uid="{AD04BA9C-4967-4BBC-BBA4-6D4B28373E82}"/>
    <cellStyle name="Normal 4 3 3 3 3 4" xfId="9796" xr:uid="{80DFBACF-CAA9-4D2E-97BC-DF7318CE19DF}"/>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2" xr:uid="{988CA35E-E95E-4210-8350-04E379A4F813}"/>
    <cellStyle name="Normal 4 3 3 3 4 2 3" xfId="12354" xr:uid="{291E91D4-2A07-4350-AB70-BCFD87E3001D}"/>
    <cellStyle name="Normal 4 3 3 3 4 3" xfId="5991" xr:uid="{00000000-0005-0000-0000-000092140000}"/>
    <cellStyle name="Normal 4 3 3 3 4 3 2" xfId="14427" xr:uid="{26FD5ECE-B060-40D9-8DC4-F2D9FEE03D43}"/>
    <cellStyle name="Normal 4 3 3 3 4 4" xfId="10209" xr:uid="{A1A0C4B3-1D13-4FF0-8F13-3445A1B7AC95}"/>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5" xr:uid="{5D0612CF-A51D-4FBB-80C7-57B7DDA69EEB}"/>
    <cellStyle name="Normal 4 3 3 3 5 2 3" xfId="12767" xr:uid="{8CB21982-96B7-40A7-9F1D-87E4E1E15539}"/>
    <cellStyle name="Normal 4 3 3 3 5 3" xfId="6404" xr:uid="{00000000-0005-0000-0000-000096140000}"/>
    <cellStyle name="Normal 4 3 3 3 5 3 2" xfId="14840" xr:uid="{D2ECE89C-05BC-4DFB-B5F8-F47D966C1D60}"/>
    <cellStyle name="Normal 4 3 3 3 5 4" xfId="10622" xr:uid="{8E2DE3DF-4F90-4AAD-A5B5-53441CFD7BA0}"/>
    <cellStyle name="Normal 4 3 3 3 6" xfId="2533" xr:uid="{00000000-0005-0000-0000-000097140000}"/>
    <cellStyle name="Normal 4 3 3 3 6 2" xfId="6817" xr:uid="{00000000-0005-0000-0000-000098140000}"/>
    <cellStyle name="Normal 4 3 3 3 6 2 2" xfId="15253" xr:uid="{6D1C0CCB-64D6-4CCD-8921-DB85E1130AC7}"/>
    <cellStyle name="Normal 4 3 3 3 6 3" xfId="11035" xr:uid="{0F22DBEB-C43E-47E6-99F1-B06549AAA6BB}"/>
    <cellStyle name="Normal 4 3 3 3 7" xfId="4752" xr:uid="{00000000-0005-0000-0000-000099140000}"/>
    <cellStyle name="Normal 4 3 3 3 7 2" xfId="13188" xr:uid="{E88E3E5B-6A53-4AD0-A513-363190B725A7}"/>
    <cellStyle name="Normal 4 3 3 3 8" xfId="8970" xr:uid="{F737C830-19C2-4616-9CE1-FCA427CE84A6}"/>
    <cellStyle name="Normal 4 3 3 4" xfId="849" xr:uid="{00000000-0005-0000-0000-00009A140000}"/>
    <cellStyle name="Normal 4 3 3 4 2" xfId="3084" xr:uid="{00000000-0005-0000-0000-00009B140000}"/>
    <cellStyle name="Normal 4 3 3 4 2 2" xfId="7307" xr:uid="{00000000-0005-0000-0000-00009C140000}"/>
    <cellStyle name="Normal 4 3 3 4 2 2 2" xfId="15743" xr:uid="{4035FC1C-8C23-47B5-847A-2C7FC9B5A192}"/>
    <cellStyle name="Normal 4 3 3 4 2 3" xfId="11525" xr:uid="{E46B78DD-3C33-4040-8D94-0522097EA0CE}"/>
    <cellStyle name="Normal 4 3 3 4 3" xfId="5162" xr:uid="{00000000-0005-0000-0000-00009D140000}"/>
    <cellStyle name="Normal 4 3 3 4 3 2" xfId="13598" xr:uid="{6C903C7E-9169-4744-9EDC-8302A437FEE3}"/>
    <cellStyle name="Normal 4 3 3 4 4" xfId="9380" xr:uid="{68BEF7B6-43F1-4DA4-B97F-EFD4F441E68F}"/>
    <cellStyle name="Normal 4 3 3 5" xfId="1267" xr:uid="{00000000-0005-0000-0000-00009E140000}"/>
    <cellStyle name="Normal 4 3 3 5 2" xfId="3497" xr:uid="{00000000-0005-0000-0000-00009F140000}"/>
    <cellStyle name="Normal 4 3 3 5 2 2" xfId="7720" xr:uid="{00000000-0005-0000-0000-0000A0140000}"/>
    <cellStyle name="Normal 4 3 3 5 2 2 2" xfId="16156" xr:uid="{D2C7618A-521A-43F6-96C5-CB96FF1F69A6}"/>
    <cellStyle name="Normal 4 3 3 5 2 3" xfId="11938" xr:uid="{C1D12B59-316C-4A7B-A7C3-BCB1F6132454}"/>
    <cellStyle name="Normal 4 3 3 5 3" xfId="5575" xr:uid="{00000000-0005-0000-0000-0000A1140000}"/>
    <cellStyle name="Normal 4 3 3 5 3 2" xfId="14011" xr:uid="{726BE098-F197-43AD-AA4E-543D72C07DC7}"/>
    <cellStyle name="Normal 4 3 3 5 4" xfId="9793" xr:uid="{0205E842-155A-4502-8883-3FDCEA911325}"/>
    <cellStyle name="Normal 4 3 3 6" xfId="1680" xr:uid="{00000000-0005-0000-0000-0000A2140000}"/>
    <cellStyle name="Normal 4 3 3 6 2" xfId="3910" xr:uid="{00000000-0005-0000-0000-0000A3140000}"/>
    <cellStyle name="Normal 4 3 3 6 2 2" xfId="8133" xr:uid="{00000000-0005-0000-0000-0000A4140000}"/>
    <cellStyle name="Normal 4 3 3 6 2 2 2" xfId="16569" xr:uid="{B06F5677-FD20-40DD-B481-9A715CBA6566}"/>
    <cellStyle name="Normal 4 3 3 6 2 3" xfId="12351" xr:uid="{DFE5480D-B291-4193-9A7F-7746BCF77F61}"/>
    <cellStyle name="Normal 4 3 3 6 3" xfId="5988" xr:uid="{00000000-0005-0000-0000-0000A5140000}"/>
    <cellStyle name="Normal 4 3 3 6 3 2" xfId="14424" xr:uid="{C2577278-C17B-4979-989D-9F86280A45E7}"/>
    <cellStyle name="Normal 4 3 3 6 4" xfId="10206" xr:uid="{B30FEC10-EA2A-4CBF-B959-92B14B8A83E0}"/>
    <cellStyle name="Normal 4 3 3 7" xfId="2094" xr:uid="{00000000-0005-0000-0000-0000A6140000}"/>
    <cellStyle name="Normal 4 3 3 7 2" xfId="4323" xr:uid="{00000000-0005-0000-0000-0000A7140000}"/>
    <cellStyle name="Normal 4 3 3 7 2 2" xfId="8546" xr:uid="{00000000-0005-0000-0000-0000A8140000}"/>
    <cellStyle name="Normal 4 3 3 7 2 2 2" xfId="16982" xr:uid="{7095E90B-2BB3-4835-987C-52C4AA0818E0}"/>
    <cellStyle name="Normal 4 3 3 7 2 3" xfId="12764" xr:uid="{C9998109-DDA9-4452-8507-E9D7A4AD2E44}"/>
    <cellStyle name="Normal 4 3 3 7 3" xfId="6401" xr:uid="{00000000-0005-0000-0000-0000A9140000}"/>
    <cellStyle name="Normal 4 3 3 7 3 2" xfId="14837" xr:uid="{EF3B94CE-14CF-4D1D-96FF-6FD45AF9DBB7}"/>
    <cellStyle name="Normal 4 3 3 7 4" xfId="10619" xr:uid="{7F168700-7BAE-460C-85A8-1967580D71D9}"/>
    <cellStyle name="Normal 4 3 3 8" xfId="2530" xr:uid="{00000000-0005-0000-0000-0000AA140000}"/>
    <cellStyle name="Normal 4 3 3 8 2" xfId="6814" xr:uid="{00000000-0005-0000-0000-0000AB140000}"/>
    <cellStyle name="Normal 4 3 3 8 2 2" xfId="15250" xr:uid="{A7B46464-6DE2-48E0-ACCE-C06966324DAA}"/>
    <cellStyle name="Normal 4 3 3 8 3" xfId="11032" xr:uid="{D8DFD2DA-2B1C-44E3-8E02-1FFE7DA21F26}"/>
    <cellStyle name="Normal 4 3 3 9" xfId="4749" xr:uid="{00000000-0005-0000-0000-0000AC140000}"/>
    <cellStyle name="Normal 4 3 3 9 2" xfId="13185" xr:uid="{60F73809-1FD9-431E-A114-2BE5CEB5EB5D}"/>
    <cellStyle name="Normal 4 3 4" xfId="842" xr:uid="{00000000-0005-0000-0000-0000AD140000}"/>
    <cellStyle name="Normal 4 3 4 2" xfId="3079" xr:uid="{00000000-0005-0000-0000-0000AE140000}"/>
    <cellStyle name="Normal 4 3 4 2 2" xfId="7302" xr:uid="{00000000-0005-0000-0000-0000AF140000}"/>
    <cellStyle name="Normal 4 3 4 2 2 2" xfId="15738" xr:uid="{4EBA5B62-7D97-411D-ADD1-FA42DD88F90F}"/>
    <cellStyle name="Normal 4 3 4 2 3" xfId="11520" xr:uid="{9EDC4222-1FF6-4E8C-B0A2-D0EA58CA9C00}"/>
    <cellStyle name="Normal 4 3 4 3" xfId="5157" xr:uid="{00000000-0005-0000-0000-0000B0140000}"/>
    <cellStyle name="Normal 4 3 4 3 2" xfId="13593" xr:uid="{617A5B33-7551-40EB-BD42-CE69CE32B5A1}"/>
    <cellStyle name="Normal 4 3 4 4" xfId="9375" xr:uid="{C263C8C6-DD65-415E-97A7-7D1466926707}"/>
    <cellStyle name="Normal 4 3 5" xfId="1262" xr:uid="{00000000-0005-0000-0000-0000B1140000}"/>
    <cellStyle name="Normal 4 3 5 2" xfId="3492" xr:uid="{00000000-0005-0000-0000-0000B2140000}"/>
    <cellStyle name="Normal 4 3 5 2 2" xfId="7715" xr:uid="{00000000-0005-0000-0000-0000B3140000}"/>
    <cellStyle name="Normal 4 3 5 2 2 2" xfId="16151" xr:uid="{A89415E9-86BC-4AD6-B9F7-6D67FEC0B3C1}"/>
    <cellStyle name="Normal 4 3 5 2 3" xfId="11933" xr:uid="{6205C3B6-53F2-4D5D-A0A1-D859E0F3BCE4}"/>
    <cellStyle name="Normal 4 3 5 3" xfId="5570" xr:uid="{00000000-0005-0000-0000-0000B4140000}"/>
    <cellStyle name="Normal 4 3 5 3 2" xfId="14006" xr:uid="{2A2DF18D-FBBB-4CA0-B184-95A4D7B97F7D}"/>
    <cellStyle name="Normal 4 3 5 4" xfId="9788" xr:uid="{B169D7BB-D4CC-471A-9F29-752C6A7CBCE6}"/>
    <cellStyle name="Normal 4 3 6" xfId="1675" xr:uid="{00000000-0005-0000-0000-0000B5140000}"/>
    <cellStyle name="Normal 4 3 6 2" xfId="3905" xr:uid="{00000000-0005-0000-0000-0000B6140000}"/>
    <cellStyle name="Normal 4 3 6 2 2" xfId="8128" xr:uid="{00000000-0005-0000-0000-0000B7140000}"/>
    <cellStyle name="Normal 4 3 6 2 2 2" xfId="16564" xr:uid="{6CD5CE9D-266A-49AA-9007-25A65D0514D3}"/>
    <cellStyle name="Normal 4 3 6 2 3" xfId="12346" xr:uid="{A5FE7E9A-8BC9-420A-A5EF-6E605253F71E}"/>
    <cellStyle name="Normal 4 3 6 3" xfId="5983" xr:uid="{00000000-0005-0000-0000-0000B8140000}"/>
    <cellStyle name="Normal 4 3 6 3 2" xfId="14419" xr:uid="{F92B513C-C9D2-4437-85DE-6378C9C2FA46}"/>
    <cellStyle name="Normal 4 3 6 4" xfId="10201" xr:uid="{CEC29C88-6143-4EBB-AD7C-EB7A649BCF1A}"/>
    <cellStyle name="Normal 4 3 7" xfId="2089" xr:uid="{00000000-0005-0000-0000-0000B9140000}"/>
    <cellStyle name="Normal 4 3 7 2" xfId="4318" xr:uid="{00000000-0005-0000-0000-0000BA140000}"/>
    <cellStyle name="Normal 4 3 7 2 2" xfId="8541" xr:uid="{00000000-0005-0000-0000-0000BB140000}"/>
    <cellStyle name="Normal 4 3 7 2 2 2" xfId="16977" xr:uid="{A89B2C18-C97D-43A7-89E2-061363B952BD}"/>
    <cellStyle name="Normal 4 3 7 2 3" xfId="12759" xr:uid="{D04FF76D-3718-4BC4-B16C-8C4FA4E8169E}"/>
    <cellStyle name="Normal 4 3 7 3" xfId="6396" xr:uid="{00000000-0005-0000-0000-0000BC140000}"/>
    <cellStyle name="Normal 4 3 7 3 2" xfId="14832" xr:uid="{FB14B78B-17B4-4068-AADE-D520B86D159A}"/>
    <cellStyle name="Normal 4 3 7 4" xfId="10614" xr:uid="{0A18C9D1-B3A9-44FF-8CA0-44FF8D84C49A}"/>
    <cellStyle name="Normal 4 3 8" xfId="2525" xr:uid="{00000000-0005-0000-0000-0000BD140000}"/>
    <cellStyle name="Normal 4 3 8 2" xfId="6809" xr:uid="{00000000-0005-0000-0000-0000BE140000}"/>
    <cellStyle name="Normal 4 3 8 2 2" xfId="15245" xr:uid="{7CD22279-7BFF-4972-BC63-95F5B2A9A0B9}"/>
    <cellStyle name="Normal 4 3 8 3" xfId="11027" xr:uid="{A0A950C2-E282-49FE-AA90-41E101565561}"/>
    <cellStyle name="Normal 4 3 9" xfId="4744" xr:uid="{00000000-0005-0000-0000-0000BF140000}"/>
    <cellStyle name="Normal 4 3 9 2" xfId="13180" xr:uid="{4AC342FD-0593-4AE7-948E-0CBCC205A6C7}"/>
    <cellStyle name="Normal 4 4" xfId="378" xr:uid="{00000000-0005-0000-0000-0000C0140000}"/>
    <cellStyle name="Normal 4 4 10" xfId="2534" xr:uid="{00000000-0005-0000-0000-0000C1140000}"/>
    <cellStyle name="Normal 4 4 10 2" xfId="6818" xr:uid="{00000000-0005-0000-0000-0000C2140000}"/>
    <cellStyle name="Normal 4 4 10 2 2" xfId="15254" xr:uid="{C6E24421-2E56-4B93-8C2E-06222DDA7937}"/>
    <cellStyle name="Normal 4 4 10 3" xfId="11036" xr:uid="{02737846-E930-4962-A841-C34B1A0BAF71}"/>
    <cellStyle name="Normal 4 4 11" xfId="4753" xr:uid="{00000000-0005-0000-0000-0000C3140000}"/>
    <cellStyle name="Normal 4 4 11 2" xfId="13189" xr:uid="{C83918CC-BC2C-47F6-A68B-3E76A2721384}"/>
    <cellStyle name="Normal 4 4 12" xfId="8971" xr:uid="{31770054-4C72-4AFC-914C-F844DD40DF21}"/>
    <cellStyle name="Normal 4 4 2" xfId="379" xr:uid="{00000000-0005-0000-0000-0000C4140000}"/>
    <cellStyle name="Normal 4 4 2 10" xfId="4754" xr:uid="{00000000-0005-0000-0000-0000C5140000}"/>
    <cellStyle name="Normal 4 4 2 10 2" xfId="13190" xr:uid="{BC680604-A4C0-4C3E-87CE-51AC1F769B8D}"/>
    <cellStyle name="Normal 4 4 2 11" xfId="8972" xr:uid="{94EA3153-ED99-46E7-9C70-5480B7562E58}"/>
    <cellStyle name="Normal 4 4 2 2" xfId="380" xr:uid="{00000000-0005-0000-0000-0000C6140000}"/>
    <cellStyle name="Normal 4 4 2 2 10" xfId="8973" xr:uid="{3E04DABC-6695-4BCF-BCE7-AA913C78D0E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1" xr:uid="{0185CD55-F5A0-4167-81F9-45C58BBE5019}"/>
    <cellStyle name="Normal 4 4 2 2 2 2 2 2 3" xfId="11533" xr:uid="{413C24FB-4CE9-40BD-BA31-74503825D542}"/>
    <cellStyle name="Normal 4 4 2 2 2 2 2 3" xfId="5170" xr:uid="{00000000-0005-0000-0000-0000CC140000}"/>
    <cellStyle name="Normal 4 4 2 2 2 2 2 3 2" xfId="13606" xr:uid="{B1E89FFD-0DD6-41D9-B714-74EC7E1A07DE}"/>
    <cellStyle name="Normal 4 4 2 2 2 2 2 4" xfId="9388" xr:uid="{6D9579B3-7BD2-4945-A1BE-A6E383455734}"/>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4" xr:uid="{E56DDF6D-4B1A-4F43-A2D9-021F22D4368A}"/>
    <cellStyle name="Normal 4 4 2 2 2 2 3 2 3" xfId="11946" xr:uid="{220CB4BE-D557-42FA-90D8-34EF381C40A2}"/>
    <cellStyle name="Normal 4 4 2 2 2 2 3 3" xfId="5583" xr:uid="{00000000-0005-0000-0000-0000D0140000}"/>
    <cellStyle name="Normal 4 4 2 2 2 2 3 3 2" xfId="14019" xr:uid="{97B4B2DB-C0DE-454E-8A0F-297FA995732F}"/>
    <cellStyle name="Normal 4 4 2 2 2 2 3 4" xfId="9801" xr:uid="{47BB9509-3B45-47FA-9530-2F27A5F1905D}"/>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77" xr:uid="{F0FC4D92-3BFC-4792-BE7C-5195A6BACDB3}"/>
    <cellStyle name="Normal 4 4 2 2 2 2 4 2 3" xfId="12359" xr:uid="{144CED5C-1088-4E6D-A64E-64416083E89E}"/>
    <cellStyle name="Normal 4 4 2 2 2 2 4 3" xfId="5996" xr:uid="{00000000-0005-0000-0000-0000D4140000}"/>
    <cellStyle name="Normal 4 4 2 2 2 2 4 3 2" xfId="14432" xr:uid="{BF3AB0BC-F2EF-49F9-A7A7-ABD863641E7C}"/>
    <cellStyle name="Normal 4 4 2 2 2 2 4 4" xfId="10214" xr:uid="{03FB4442-501E-495B-85CA-073ABE31BD98}"/>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0" xr:uid="{48178D16-D7C3-4950-83C2-9079A4E9491D}"/>
    <cellStyle name="Normal 4 4 2 2 2 2 5 2 3" xfId="12772" xr:uid="{2A75AD96-2A5C-4B5F-9AA7-CC6D2A7E4635}"/>
    <cellStyle name="Normal 4 4 2 2 2 2 5 3" xfId="6409" xr:uid="{00000000-0005-0000-0000-0000D8140000}"/>
    <cellStyle name="Normal 4 4 2 2 2 2 5 3 2" xfId="14845" xr:uid="{6275086C-F2A8-4ADE-B21A-AACD36EB4ADD}"/>
    <cellStyle name="Normal 4 4 2 2 2 2 5 4" xfId="10627" xr:uid="{4F5D3260-070D-4D43-8B88-4A4552530538}"/>
    <cellStyle name="Normal 4 4 2 2 2 2 6" xfId="2538" xr:uid="{00000000-0005-0000-0000-0000D9140000}"/>
    <cellStyle name="Normal 4 4 2 2 2 2 6 2" xfId="6822" xr:uid="{00000000-0005-0000-0000-0000DA140000}"/>
    <cellStyle name="Normal 4 4 2 2 2 2 6 2 2" xfId="15258" xr:uid="{02A12891-9793-484E-BDEC-363FEC464061}"/>
    <cellStyle name="Normal 4 4 2 2 2 2 6 3" xfId="11040" xr:uid="{F444DDD4-A5D1-413D-8EC9-4226F135A9DA}"/>
    <cellStyle name="Normal 4 4 2 2 2 2 7" xfId="4757" xr:uid="{00000000-0005-0000-0000-0000DB140000}"/>
    <cellStyle name="Normal 4 4 2 2 2 2 7 2" xfId="13193" xr:uid="{AD5AE4D3-466D-45DB-B530-F04F239EFDEB}"/>
    <cellStyle name="Normal 4 4 2 2 2 2 8" xfId="8975" xr:uid="{B2A6F1D7-73F4-4DB5-8800-A4535C3DD408}"/>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0" xr:uid="{E9DA1F51-94A5-4DA5-A828-E267CCE8F92F}"/>
    <cellStyle name="Normal 4 4 2 2 2 3 2 3" xfId="11532" xr:uid="{936FD5E5-EA89-4A88-A93F-66FD0FEE3E13}"/>
    <cellStyle name="Normal 4 4 2 2 2 3 3" xfId="5169" xr:uid="{00000000-0005-0000-0000-0000DF140000}"/>
    <cellStyle name="Normal 4 4 2 2 2 3 3 2" xfId="13605" xr:uid="{350257EF-162F-4734-8712-23327844A883}"/>
    <cellStyle name="Normal 4 4 2 2 2 3 4" xfId="9387" xr:uid="{4A5A0CC0-0803-48BC-AF39-59FAD4F584CF}"/>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3" xr:uid="{46B26A43-31BE-4BBE-B245-9F5D68339447}"/>
    <cellStyle name="Normal 4 4 2 2 2 4 2 3" xfId="11945" xr:uid="{970574BD-A684-4754-B477-1DF60DABE1F6}"/>
    <cellStyle name="Normal 4 4 2 2 2 4 3" xfId="5582" xr:uid="{00000000-0005-0000-0000-0000E3140000}"/>
    <cellStyle name="Normal 4 4 2 2 2 4 3 2" xfId="14018" xr:uid="{0D46CCFD-BB65-4D3A-92A5-DB9E20ADCE65}"/>
    <cellStyle name="Normal 4 4 2 2 2 4 4" xfId="9800" xr:uid="{B25C2600-1C46-46E5-8D20-B4DA2AD3D992}"/>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6" xr:uid="{D9E9C115-FDB2-4CCD-826B-24EA29FFFFF3}"/>
    <cellStyle name="Normal 4 4 2 2 2 5 2 3" xfId="12358" xr:uid="{84AEBE0F-D74D-4E7C-9F13-3F25626A13BD}"/>
    <cellStyle name="Normal 4 4 2 2 2 5 3" xfId="5995" xr:uid="{00000000-0005-0000-0000-0000E7140000}"/>
    <cellStyle name="Normal 4 4 2 2 2 5 3 2" xfId="14431" xr:uid="{7A902B74-C727-4ECD-9B2D-90164557FABD}"/>
    <cellStyle name="Normal 4 4 2 2 2 5 4" xfId="10213" xr:uid="{03BA8E5E-702C-4DE4-BF6E-6D24FCFEC0FB}"/>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89" xr:uid="{D7932943-BD26-4435-9575-3A7B1A555705}"/>
    <cellStyle name="Normal 4 4 2 2 2 6 2 3" xfId="12771" xr:uid="{9DFAD09A-665E-420F-8487-005A25F3892A}"/>
    <cellStyle name="Normal 4 4 2 2 2 6 3" xfId="6408" xr:uid="{00000000-0005-0000-0000-0000EB140000}"/>
    <cellStyle name="Normal 4 4 2 2 2 6 3 2" xfId="14844" xr:uid="{B9928E8D-3F57-47DD-83FD-B7E328C83B17}"/>
    <cellStyle name="Normal 4 4 2 2 2 6 4" xfId="10626" xr:uid="{88CCCF23-E8BA-464C-9681-56A423954E84}"/>
    <cellStyle name="Normal 4 4 2 2 2 7" xfId="2537" xr:uid="{00000000-0005-0000-0000-0000EC140000}"/>
    <cellStyle name="Normal 4 4 2 2 2 7 2" xfId="6821" xr:uid="{00000000-0005-0000-0000-0000ED140000}"/>
    <cellStyle name="Normal 4 4 2 2 2 7 2 2" xfId="15257" xr:uid="{0E5FD713-433D-4D34-B6FC-AB89DCE76B7A}"/>
    <cellStyle name="Normal 4 4 2 2 2 7 3" xfId="11039" xr:uid="{79C71CE6-B067-4C33-9954-862B21B5BF72}"/>
    <cellStyle name="Normal 4 4 2 2 2 8" xfId="4756" xr:uid="{00000000-0005-0000-0000-0000EE140000}"/>
    <cellStyle name="Normal 4 4 2 2 2 8 2" xfId="13192" xr:uid="{699AE371-D7D1-4F61-8354-56B21B4EAF95}"/>
    <cellStyle name="Normal 4 4 2 2 2 9" xfId="8974" xr:uid="{59C04C2C-BEB1-4CC6-9DCD-BE7666FBD532}"/>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2" xr:uid="{C9ACC30C-A310-4244-AF16-F34A8CFF8F21}"/>
    <cellStyle name="Normal 4 4 2 2 3 2 2 3" xfId="11534" xr:uid="{9D4AC047-2613-4389-8398-4970D6BCA107}"/>
    <cellStyle name="Normal 4 4 2 2 3 2 3" xfId="5171" xr:uid="{00000000-0005-0000-0000-0000F3140000}"/>
    <cellStyle name="Normal 4 4 2 2 3 2 3 2" xfId="13607" xr:uid="{E845FAE3-90E2-45AD-8C4B-AA3158C35706}"/>
    <cellStyle name="Normal 4 4 2 2 3 2 4" xfId="9389" xr:uid="{07401E58-F6CE-4D38-8BBF-387BECB86424}"/>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5" xr:uid="{46E27643-FE93-4B1C-98C3-30627D943F65}"/>
    <cellStyle name="Normal 4 4 2 2 3 3 2 3" xfId="11947" xr:uid="{5652D102-4EE4-4445-96A3-70B4D35E615E}"/>
    <cellStyle name="Normal 4 4 2 2 3 3 3" xfId="5584" xr:uid="{00000000-0005-0000-0000-0000F7140000}"/>
    <cellStyle name="Normal 4 4 2 2 3 3 3 2" xfId="14020" xr:uid="{6FFD53AC-A6A4-4A67-8911-C9035DCEBBAE}"/>
    <cellStyle name="Normal 4 4 2 2 3 3 4" xfId="9802" xr:uid="{301C6EDD-5C12-4285-B137-D40495D1357E}"/>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78" xr:uid="{494DF379-145E-4C37-B209-145EAEAF3C9C}"/>
    <cellStyle name="Normal 4 4 2 2 3 4 2 3" xfId="12360" xr:uid="{8D66C9E8-7EE0-4F06-8853-5D6383DCB484}"/>
    <cellStyle name="Normal 4 4 2 2 3 4 3" xfId="5997" xr:uid="{00000000-0005-0000-0000-0000FB140000}"/>
    <cellStyle name="Normal 4 4 2 2 3 4 3 2" xfId="14433" xr:uid="{71A083EE-8987-4767-8819-43D9A6465ED5}"/>
    <cellStyle name="Normal 4 4 2 2 3 4 4" xfId="10215" xr:uid="{11637DEC-FF40-458F-B8CE-E2932E7B53B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1" xr:uid="{D296EA41-9AF0-4D88-AC42-4A9C4D619170}"/>
    <cellStyle name="Normal 4 4 2 2 3 5 2 3" xfId="12773" xr:uid="{3A51D0B2-A2F4-4FCD-83B8-C71B132F7E4D}"/>
    <cellStyle name="Normal 4 4 2 2 3 5 3" xfId="6410" xr:uid="{00000000-0005-0000-0000-0000FF140000}"/>
    <cellStyle name="Normal 4 4 2 2 3 5 3 2" xfId="14846" xr:uid="{CBA21E45-E526-47E3-88D4-353293FE577E}"/>
    <cellStyle name="Normal 4 4 2 2 3 5 4" xfId="10628" xr:uid="{A7418BC8-B9B7-4E25-A640-066F011B6CB3}"/>
    <cellStyle name="Normal 4 4 2 2 3 6" xfId="2539" xr:uid="{00000000-0005-0000-0000-000000150000}"/>
    <cellStyle name="Normal 4 4 2 2 3 6 2" xfId="6823" xr:uid="{00000000-0005-0000-0000-000001150000}"/>
    <cellStyle name="Normal 4 4 2 2 3 6 2 2" xfId="15259" xr:uid="{5D53CD21-D4EF-4F0C-932E-8EF988BF6FFC}"/>
    <cellStyle name="Normal 4 4 2 2 3 6 3" xfId="11041" xr:uid="{C86810DC-2B77-4AAA-BCA4-BF47F2060822}"/>
    <cellStyle name="Normal 4 4 2 2 3 7" xfId="4758" xr:uid="{00000000-0005-0000-0000-000002150000}"/>
    <cellStyle name="Normal 4 4 2 2 3 7 2" xfId="13194" xr:uid="{188606AE-A0F1-443D-803E-36FD9C447BC7}"/>
    <cellStyle name="Normal 4 4 2 2 3 8" xfId="8976" xr:uid="{FDA2DDA6-A437-4DF7-AB95-38BAC790CBF3}"/>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49" xr:uid="{5BDB7C00-1AC2-4B6D-BAB6-721818682B49}"/>
    <cellStyle name="Normal 4 4 2 2 4 2 3" xfId="11531" xr:uid="{7CC7CE31-C10C-4109-9495-550AFD98B042}"/>
    <cellStyle name="Normal 4 4 2 2 4 3" xfId="5168" xr:uid="{00000000-0005-0000-0000-000006150000}"/>
    <cellStyle name="Normal 4 4 2 2 4 3 2" xfId="13604" xr:uid="{A764E612-12D2-42BC-B6EE-1B375DAC66A0}"/>
    <cellStyle name="Normal 4 4 2 2 4 4" xfId="9386" xr:uid="{B94BBD72-E47C-4879-AE81-700CAD6BDF9A}"/>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2" xr:uid="{F8FC45D4-889B-41AB-B10A-030D120DE596}"/>
    <cellStyle name="Normal 4 4 2 2 5 2 3" xfId="11944" xr:uid="{66B0A043-12CF-4C08-881C-83C6F050C892}"/>
    <cellStyle name="Normal 4 4 2 2 5 3" xfId="5581" xr:uid="{00000000-0005-0000-0000-00000A150000}"/>
    <cellStyle name="Normal 4 4 2 2 5 3 2" xfId="14017" xr:uid="{D4C7EF09-9FE1-4CA3-84AC-9AEAD794E985}"/>
    <cellStyle name="Normal 4 4 2 2 5 4" xfId="9799" xr:uid="{39B3612D-9092-4710-8EF6-AD4DAEF1B3C4}"/>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5" xr:uid="{010A83D6-CF20-4846-8C5A-B9DBF786F10D}"/>
    <cellStyle name="Normal 4 4 2 2 6 2 3" xfId="12357" xr:uid="{7BFD9C6D-85DF-4543-A080-6FC70851B3AC}"/>
    <cellStyle name="Normal 4 4 2 2 6 3" xfId="5994" xr:uid="{00000000-0005-0000-0000-00000E150000}"/>
    <cellStyle name="Normal 4 4 2 2 6 3 2" xfId="14430" xr:uid="{361DEBC0-1197-439D-9293-F079C9C9E6B0}"/>
    <cellStyle name="Normal 4 4 2 2 6 4" xfId="10212" xr:uid="{89AD54AD-FC5D-4AC1-BCF5-A421667A22F5}"/>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88" xr:uid="{C2781E1B-D22F-41A7-8B40-2D97C1AC3F39}"/>
    <cellStyle name="Normal 4 4 2 2 7 2 3" xfId="12770" xr:uid="{2D107E91-03C6-4A6F-87D0-F1902BF28697}"/>
    <cellStyle name="Normal 4 4 2 2 7 3" xfId="6407" xr:uid="{00000000-0005-0000-0000-000012150000}"/>
    <cellStyle name="Normal 4 4 2 2 7 3 2" xfId="14843" xr:uid="{AB610BD4-70A6-45F3-8E1E-CBC4D9D5979C}"/>
    <cellStyle name="Normal 4 4 2 2 7 4" xfId="10625" xr:uid="{50352343-0A26-4FEB-846A-65AB5DA84157}"/>
    <cellStyle name="Normal 4 4 2 2 8" xfId="2536" xr:uid="{00000000-0005-0000-0000-000013150000}"/>
    <cellStyle name="Normal 4 4 2 2 8 2" xfId="6820" xr:uid="{00000000-0005-0000-0000-000014150000}"/>
    <cellStyle name="Normal 4 4 2 2 8 2 2" xfId="15256" xr:uid="{47AB1846-99F3-4520-B5F1-5E025D12C573}"/>
    <cellStyle name="Normal 4 4 2 2 8 3" xfId="11038" xr:uid="{6EB84B5C-EC15-4F09-8EAD-6413B3BCEB1D}"/>
    <cellStyle name="Normal 4 4 2 2 9" xfId="4755" xr:uid="{00000000-0005-0000-0000-000015150000}"/>
    <cellStyle name="Normal 4 4 2 2 9 2" xfId="13191" xr:uid="{3E7AB16B-5429-4AD9-9553-8658C24F4B1A}"/>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4" xr:uid="{BAD1F464-B41E-4584-B92E-4E7765EE38BC}"/>
    <cellStyle name="Normal 4 4 2 3 2 2 2 3" xfId="11536" xr:uid="{BB20561B-D2BA-40F7-B6DA-6A8ED6D464E9}"/>
    <cellStyle name="Normal 4 4 2 3 2 2 3" xfId="5173" xr:uid="{00000000-0005-0000-0000-00001B150000}"/>
    <cellStyle name="Normal 4 4 2 3 2 2 3 2" xfId="13609" xr:uid="{A7FBE9F9-E232-4871-B6F5-34B4E9D16480}"/>
    <cellStyle name="Normal 4 4 2 3 2 2 4" xfId="9391" xr:uid="{9C27476E-034B-482F-9590-284788D8B641}"/>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67" xr:uid="{D5BCA1E5-E94B-4CA3-BC17-E94B74B83113}"/>
    <cellStyle name="Normal 4 4 2 3 2 3 2 3" xfId="11949" xr:uid="{F1CFA7B7-99D9-4C64-BDCD-82173982F460}"/>
    <cellStyle name="Normal 4 4 2 3 2 3 3" xfId="5586" xr:uid="{00000000-0005-0000-0000-00001F150000}"/>
    <cellStyle name="Normal 4 4 2 3 2 3 3 2" xfId="14022" xr:uid="{F65BEE4D-91DF-4B39-86DB-C8987D3540B0}"/>
    <cellStyle name="Normal 4 4 2 3 2 3 4" xfId="9804" xr:uid="{879CB06E-6B5B-4051-B87C-80E783D48B38}"/>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0" xr:uid="{05F88C0D-DDAD-4600-BD1A-6359934940A9}"/>
    <cellStyle name="Normal 4 4 2 3 2 4 2 3" xfId="12362" xr:uid="{4017D066-1099-4A0C-8D3C-863E766831EA}"/>
    <cellStyle name="Normal 4 4 2 3 2 4 3" xfId="5999" xr:uid="{00000000-0005-0000-0000-000023150000}"/>
    <cellStyle name="Normal 4 4 2 3 2 4 3 2" xfId="14435" xr:uid="{5D867879-4E48-4E6C-A547-1B8DAFD9A8D8}"/>
    <cellStyle name="Normal 4 4 2 3 2 4 4" xfId="10217" xr:uid="{8CA919DE-6214-4308-9B56-7890B60A2629}"/>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3" xr:uid="{79A5D6C5-7557-4D33-A213-C7AE08DC1C98}"/>
    <cellStyle name="Normal 4 4 2 3 2 5 2 3" xfId="12775" xr:uid="{E7301BE2-B7CF-49FD-B309-8DC29B22D763}"/>
    <cellStyle name="Normal 4 4 2 3 2 5 3" xfId="6412" xr:uid="{00000000-0005-0000-0000-000027150000}"/>
    <cellStyle name="Normal 4 4 2 3 2 5 3 2" xfId="14848" xr:uid="{569094D6-E287-4473-9B23-8AE0C65F7C19}"/>
    <cellStyle name="Normal 4 4 2 3 2 5 4" xfId="10630" xr:uid="{B51709AC-8301-45B2-9122-7596CF8A5E83}"/>
    <cellStyle name="Normal 4 4 2 3 2 6" xfId="2541" xr:uid="{00000000-0005-0000-0000-000028150000}"/>
    <cellStyle name="Normal 4 4 2 3 2 6 2" xfId="6825" xr:uid="{00000000-0005-0000-0000-000029150000}"/>
    <cellStyle name="Normal 4 4 2 3 2 6 2 2" xfId="15261" xr:uid="{5CD5FEEC-8526-4E3C-9773-A906AD9F959A}"/>
    <cellStyle name="Normal 4 4 2 3 2 6 3" xfId="11043" xr:uid="{58124433-73E5-434C-8737-D13FF7B4C814}"/>
    <cellStyle name="Normal 4 4 2 3 2 7" xfId="4760" xr:uid="{00000000-0005-0000-0000-00002A150000}"/>
    <cellStyle name="Normal 4 4 2 3 2 7 2" xfId="13196" xr:uid="{B836FE28-ED38-4783-97F5-3089E23D518B}"/>
    <cellStyle name="Normal 4 4 2 3 2 8" xfId="8978" xr:uid="{6EE1EE90-A03A-40A7-8AD4-C05F8360892D}"/>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3" xr:uid="{8AB7AD6A-0D52-4E76-BC93-32FA15E52F45}"/>
    <cellStyle name="Normal 4 4 2 3 3 2 3" xfId="11535" xr:uid="{9FC63DA5-DB67-4AFB-B36E-4B93600430A6}"/>
    <cellStyle name="Normal 4 4 2 3 3 3" xfId="5172" xr:uid="{00000000-0005-0000-0000-00002E150000}"/>
    <cellStyle name="Normal 4 4 2 3 3 3 2" xfId="13608" xr:uid="{2886A006-81C3-4C10-9624-A28A88E52277}"/>
    <cellStyle name="Normal 4 4 2 3 3 4" xfId="9390" xr:uid="{FABEA261-FC22-43B4-A000-FE4718F6A2B4}"/>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6" xr:uid="{3ABA20CF-94EE-4A1E-A298-512C671546E8}"/>
    <cellStyle name="Normal 4 4 2 3 4 2 3" xfId="11948" xr:uid="{CCE1ED85-3F14-44ED-BD73-5BFD4EB48B72}"/>
    <cellStyle name="Normal 4 4 2 3 4 3" xfId="5585" xr:uid="{00000000-0005-0000-0000-000032150000}"/>
    <cellStyle name="Normal 4 4 2 3 4 3 2" xfId="14021" xr:uid="{C280134D-7C9D-4D22-A709-B49428B935CF}"/>
    <cellStyle name="Normal 4 4 2 3 4 4" xfId="9803" xr:uid="{24D05ADA-4E23-46B9-A729-9ABFED7D284F}"/>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79" xr:uid="{6E3B96E3-CA23-4EB9-931F-0DD2D99A149F}"/>
    <cellStyle name="Normal 4 4 2 3 5 2 3" xfId="12361" xr:uid="{D9EAF5CF-3BA7-47ED-B4FD-B0B202969FF4}"/>
    <cellStyle name="Normal 4 4 2 3 5 3" xfId="5998" xr:uid="{00000000-0005-0000-0000-000036150000}"/>
    <cellStyle name="Normal 4 4 2 3 5 3 2" xfId="14434" xr:uid="{F405E8AA-0B5A-4D76-814E-71B996AF174C}"/>
    <cellStyle name="Normal 4 4 2 3 5 4" xfId="10216" xr:uid="{EF20DC3C-3236-4DA6-B0F5-ECB4C2927447}"/>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2" xr:uid="{EF2B2341-3F8C-4367-AAF0-5B3DCF021437}"/>
    <cellStyle name="Normal 4 4 2 3 6 2 3" xfId="12774" xr:uid="{6EAC37B8-6458-4FA9-BD0A-78BC5F601CEF}"/>
    <cellStyle name="Normal 4 4 2 3 6 3" xfId="6411" xr:uid="{00000000-0005-0000-0000-00003A150000}"/>
    <cellStyle name="Normal 4 4 2 3 6 3 2" xfId="14847" xr:uid="{708AEC80-60FC-477A-8B0A-E9F751428E6B}"/>
    <cellStyle name="Normal 4 4 2 3 6 4" xfId="10629" xr:uid="{32FFB0A1-C694-4621-A2D2-22C0F8BE9256}"/>
    <cellStyle name="Normal 4 4 2 3 7" xfId="2540" xr:uid="{00000000-0005-0000-0000-00003B150000}"/>
    <cellStyle name="Normal 4 4 2 3 7 2" xfId="6824" xr:uid="{00000000-0005-0000-0000-00003C150000}"/>
    <cellStyle name="Normal 4 4 2 3 7 2 2" xfId="15260" xr:uid="{27451E52-D136-46DB-B968-DF6375E13840}"/>
    <cellStyle name="Normal 4 4 2 3 7 3" xfId="11042" xr:uid="{7ADD9198-C1F6-41F4-831F-71544757FD6E}"/>
    <cellStyle name="Normal 4 4 2 3 8" xfId="4759" xr:uid="{00000000-0005-0000-0000-00003D150000}"/>
    <cellStyle name="Normal 4 4 2 3 8 2" xfId="13195" xr:uid="{5467EA40-6DB8-431C-8578-CC048F18399F}"/>
    <cellStyle name="Normal 4 4 2 3 9" xfId="8977" xr:uid="{99207839-EEE0-4A9D-91CC-A64E6FE2C82D}"/>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5" xr:uid="{4A26FBA9-F202-4A65-A262-48F682C9E782}"/>
    <cellStyle name="Normal 4 4 2 4 2 2 3" xfId="11537" xr:uid="{30631FE4-286A-438B-AD8E-28DFEA978323}"/>
    <cellStyle name="Normal 4 4 2 4 2 3" xfId="5174" xr:uid="{00000000-0005-0000-0000-000042150000}"/>
    <cellStyle name="Normal 4 4 2 4 2 3 2" xfId="13610" xr:uid="{7C673510-77BB-4D01-AD5E-9F6F31ED147B}"/>
    <cellStyle name="Normal 4 4 2 4 2 4" xfId="9392" xr:uid="{B645B311-AAB1-4FE3-9DAE-1AEEB37263E1}"/>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68" xr:uid="{1E6BA556-48FB-46B5-944A-01479C560CCA}"/>
    <cellStyle name="Normal 4 4 2 4 3 2 3" xfId="11950" xr:uid="{335D1415-30EC-4163-8C91-9C74EE863EDB}"/>
    <cellStyle name="Normal 4 4 2 4 3 3" xfId="5587" xr:uid="{00000000-0005-0000-0000-000046150000}"/>
    <cellStyle name="Normal 4 4 2 4 3 3 2" xfId="14023" xr:uid="{BC1736F7-3161-4607-94F5-4B3427AFEBF1}"/>
    <cellStyle name="Normal 4 4 2 4 3 4" xfId="9805" xr:uid="{4A9D964A-B5F6-4147-8B97-00980D694E71}"/>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1" xr:uid="{7A3F11EF-602F-46A8-8B67-98EEB77CC035}"/>
    <cellStyle name="Normal 4 4 2 4 4 2 3" xfId="12363" xr:uid="{0B5FA8EF-48C8-4539-8352-31E90225359E}"/>
    <cellStyle name="Normal 4 4 2 4 4 3" xfId="6000" xr:uid="{00000000-0005-0000-0000-00004A150000}"/>
    <cellStyle name="Normal 4 4 2 4 4 3 2" xfId="14436" xr:uid="{5BA657CF-25C9-4A7D-A6CF-296940A2FDAC}"/>
    <cellStyle name="Normal 4 4 2 4 4 4" xfId="10218" xr:uid="{99A38546-ED7B-4945-8453-EBBAEEB2C894}"/>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4" xr:uid="{99B7DD26-C36F-4AF5-B147-10E2AF64AC80}"/>
    <cellStyle name="Normal 4 4 2 4 5 2 3" xfId="12776" xr:uid="{AA45C0E4-EA33-41BB-80D5-3A449EF95D7D}"/>
    <cellStyle name="Normal 4 4 2 4 5 3" xfId="6413" xr:uid="{00000000-0005-0000-0000-00004E150000}"/>
    <cellStyle name="Normal 4 4 2 4 5 3 2" xfId="14849" xr:uid="{5604E074-980C-4DD5-9469-AFA680B8FE21}"/>
    <cellStyle name="Normal 4 4 2 4 5 4" xfId="10631" xr:uid="{E219DBDB-36F1-47BC-934B-E4F341C9F29B}"/>
    <cellStyle name="Normal 4 4 2 4 6" xfId="2542" xr:uid="{00000000-0005-0000-0000-00004F150000}"/>
    <cellStyle name="Normal 4 4 2 4 6 2" xfId="6826" xr:uid="{00000000-0005-0000-0000-000050150000}"/>
    <cellStyle name="Normal 4 4 2 4 6 2 2" xfId="15262" xr:uid="{7335DFDB-83C1-46AD-8826-235CBDA1C300}"/>
    <cellStyle name="Normal 4 4 2 4 6 3" xfId="11044" xr:uid="{7DFD1AED-3892-4927-BE70-3602D649B4E5}"/>
    <cellStyle name="Normal 4 4 2 4 7" xfId="4761" xr:uid="{00000000-0005-0000-0000-000051150000}"/>
    <cellStyle name="Normal 4 4 2 4 7 2" xfId="13197" xr:uid="{79E16F31-D992-403F-8E61-B7E793DDCD07}"/>
    <cellStyle name="Normal 4 4 2 4 8" xfId="8979" xr:uid="{50F749FC-10CE-4113-B2FC-59B1C3E9AF29}"/>
    <cellStyle name="Normal 4 4 2 5" xfId="854" xr:uid="{00000000-0005-0000-0000-000052150000}"/>
    <cellStyle name="Normal 4 4 2 5 2" xfId="3089" xr:uid="{00000000-0005-0000-0000-000053150000}"/>
    <cellStyle name="Normal 4 4 2 5 2 2" xfId="7312" xr:uid="{00000000-0005-0000-0000-000054150000}"/>
    <cellStyle name="Normal 4 4 2 5 2 2 2" xfId="15748" xr:uid="{92EFB19A-AC63-4DD8-BE03-C7439A188A8C}"/>
    <cellStyle name="Normal 4 4 2 5 2 3" xfId="11530" xr:uid="{719F25F7-EB18-4971-B234-A05A9B89ADD3}"/>
    <cellStyle name="Normal 4 4 2 5 3" xfId="5167" xr:uid="{00000000-0005-0000-0000-000055150000}"/>
    <cellStyle name="Normal 4 4 2 5 3 2" xfId="13603" xr:uid="{C6CC2836-A08E-4274-A4AC-48513610EC70}"/>
    <cellStyle name="Normal 4 4 2 5 4" xfId="9385" xr:uid="{07359BDD-D6C7-4806-9042-467744E8E11E}"/>
    <cellStyle name="Normal 4 4 2 6" xfId="1272" xr:uid="{00000000-0005-0000-0000-000056150000}"/>
    <cellStyle name="Normal 4 4 2 6 2" xfId="3502" xr:uid="{00000000-0005-0000-0000-000057150000}"/>
    <cellStyle name="Normal 4 4 2 6 2 2" xfId="7725" xr:uid="{00000000-0005-0000-0000-000058150000}"/>
    <cellStyle name="Normal 4 4 2 6 2 2 2" xfId="16161" xr:uid="{5E29C447-CB13-4893-9E21-34AB770A62FF}"/>
    <cellStyle name="Normal 4 4 2 6 2 3" xfId="11943" xr:uid="{1D9B679E-7C7A-4B3E-8194-D5D4E27939DC}"/>
    <cellStyle name="Normal 4 4 2 6 3" xfId="5580" xr:uid="{00000000-0005-0000-0000-000059150000}"/>
    <cellStyle name="Normal 4 4 2 6 3 2" xfId="14016" xr:uid="{021A5D2E-16BE-4749-9601-230EA32DBFFB}"/>
    <cellStyle name="Normal 4 4 2 6 4" xfId="9798" xr:uid="{2F84B154-CCB2-450E-9C1A-518F57BA0077}"/>
    <cellStyle name="Normal 4 4 2 7" xfId="1685" xr:uid="{00000000-0005-0000-0000-00005A150000}"/>
    <cellStyle name="Normal 4 4 2 7 2" xfId="3915" xr:uid="{00000000-0005-0000-0000-00005B150000}"/>
    <cellStyle name="Normal 4 4 2 7 2 2" xfId="8138" xr:uid="{00000000-0005-0000-0000-00005C150000}"/>
    <cellStyle name="Normal 4 4 2 7 2 2 2" xfId="16574" xr:uid="{C5673006-CA30-4200-92C4-6A3F08F20ABF}"/>
    <cellStyle name="Normal 4 4 2 7 2 3" xfId="12356" xr:uid="{DB21023D-053B-4731-BFA4-01666F936CB7}"/>
    <cellStyle name="Normal 4 4 2 7 3" xfId="5993" xr:uid="{00000000-0005-0000-0000-00005D150000}"/>
    <cellStyle name="Normal 4 4 2 7 3 2" xfId="14429" xr:uid="{C616D845-F85C-42A8-8613-6ED5D47CC7B8}"/>
    <cellStyle name="Normal 4 4 2 7 4" xfId="10211" xr:uid="{793FA6E7-8A92-4051-9E26-2FC7FA6DD910}"/>
    <cellStyle name="Normal 4 4 2 8" xfId="2099" xr:uid="{00000000-0005-0000-0000-00005E150000}"/>
    <cellStyle name="Normal 4 4 2 8 2" xfId="4328" xr:uid="{00000000-0005-0000-0000-00005F150000}"/>
    <cellStyle name="Normal 4 4 2 8 2 2" xfId="8551" xr:uid="{00000000-0005-0000-0000-000060150000}"/>
    <cellStyle name="Normal 4 4 2 8 2 2 2" xfId="16987" xr:uid="{C43F33A4-A686-4F50-B6E0-5542F326241B}"/>
    <cellStyle name="Normal 4 4 2 8 2 3" xfId="12769" xr:uid="{E4A93AFF-31CC-4F79-A92C-74D919C28490}"/>
    <cellStyle name="Normal 4 4 2 8 3" xfId="6406" xr:uid="{00000000-0005-0000-0000-000061150000}"/>
    <cellStyle name="Normal 4 4 2 8 3 2" xfId="14842" xr:uid="{29D163C5-D1AF-4965-9A7B-FFD445E76FBF}"/>
    <cellStyle name="Normal 4 4 2 8 4" xfId="10624" xr:uid="{1E1C56E9-6A3F-4CE1-BE0A-D36B30B039FE}"/>
    <cellStyle name="Normal 4 4 2 9" xfId="2535" xr:uid="{00000000-0005-0000-0000-000062150000}"/>
    <cellStyle name="Normal 4 4 2 9 2" xfId="6819" xr:uid="{00000000-0005-0000-0000-000063150000}"/>
    <cellStyle name="Normal 4 4 2 9 2 2" xfId="15255" xr:uid="{15CC184B-834E-4649-8650-883F787440F1}"/>
    <cellStyle name="Normal 4 4 2 9 3" xfId="11037" xr:uid="{E2415A97-5D1E-4E0A-9AF6-0497CE3A0915}"/>
    <cellStyle name="Normal 4 4 3" xfId="387" xr:uid="{00000000-0005-0000-0000-000064150000}"/>
    <cellStyle name="Normal 4 4 3 10" xfId="8980" xr:uid="{202687B9-127D-4752-B4E6-9F2F5FE8557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58" xr:uid="{A7F7890E-2422-42EF-AD27-556CBD559826}"/>
    <cellStyle name="Normal 4 4 3 2 2 2 2 3" xfId="11540" xr:uid="{497DD91F-6BF7-43D4-8702-96205A2DBCC8}"/>
    <cellStyle name="Normal 4 4 3 2 2 2 3" xfId="5177" xr:uid="{00000000-0005-0000-0000-00006A150000}"/>
    <cellStyle name="Normal 4 4 3 2 2 2 3 2" xfId="13613" xr:uid="{626A04A7-59DE-4433-B7F7-3A7F14E6A4B1}"/>
    <cellStyle name="Normal 4 4 3 2 2 2 4" xfId="9395" xr:uid="{F6BBB2C5-4406-4628-A2F3-30DE8CC266A1}"/>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1" xr:uid="{C619073B-E115-4FA8-9D4F-B148BC613CA5}"/>
    <cellStyle name="Normal 4 4 3 2 2 3 2 3" xfId="11953" xr:uid="{9092D79F-3EB8-4612-9C20-B677C0CDE2DC}"/>
    <cellStyle name="Normal 4 4 3 2 2 3 3" xfId="5590" xr:uid="{00000000-0005-0000-0000-00006E150000}"/>
    <cellStyle name="Normal 4 4 3 2 2 3 3 2" xfId="14026" xr:uid="{1E03CE8D-FFEA-4794-9052-29784552658B}"/>
    <cellStyle name="Normal 4 4 3 2 2 3 4" xfId="9808" xr:uid="{CCA10A99-3856-44ED-BE28-DE431FE1CA09}"/>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4" xr:uid="{5388367F-93B4-4A76-8754-4247F4FC6773}"/>
    <cellStyle name="Normal 4 4 3 2 2 4 2 3" xfId="12366" xr:uid="{B0D5102D-B934-404D-B79F-D1D716249631}"/>
    <cellStyle name="Normal 4 4 3 2 2 4 3" xfId="6003" xr:uid="{00000000-0005-0000-0000-000072150000}"/>
    <cellStyle name="Normal 4 4 3 2 2 4 3 2" xfId="14439" xr:uid="{A5BA8D48-C6DA-4785-8F5B-FAF845BFC8C1}"/>
    <cellStyle name="Normal 4 4 3 2 2 4 4" xfId="10221" xr:uid="{CEAAAEED-866A-483D-BC12-DB4E36189327}"/>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6997" xr:uid="{BEFEEF9D-F789-4E7E-BCEE-B8C6C10A8A78}"/>
    <cellStyle name="Normal 4 4 3 2 2 5 2 3" xfId="12779" xr:uid="{1C2E98AC-EC13-469C-B6B4-C897AEEE9CF2}"/>
    <cellStyle name="Normal 4 4 3 2 2 5 3" xfId="6416" xr:uid="{00000000-0005-0000-0000-000076150000}"/>
    <cellStyle name="Normal 4 4 3 2 2 5 3 2" xfId="14852" xr:uid="{7F549728-B8F9-4B55-B5A0-FD7A23F32E33}"/>
    <cellStyle name="Normal 4 4 3 2 2 5 4" xfId="10634" xr:uid="{68404CD7-6FE5-4689-8C1F-E4E7CDEB0E50}"/>
    <cellStyle name="Normal 4 4 3 2 2 6" xfId="2545" xr:uid="{00000000-0005-0000-0000-000077150000}"/>
    <cellStyle name="Normal 4 4 3 2 2 6 2" xfId="6829" xr:uid="{00000000-0005-0000-0000-000078150000}"/>
    <cellStyle name="Normal 4 4 3 2 2 6 2 2" xfId="15265" xr:uid="{4376A5F6-B707-4A26-89D9-2F067998C3F6}"/>
    <cellStyle name="Normal 4 4 3 2 2 6 3" xfId="11047" xr:uid="{97BCF33F-83DF-4AE2-82C7-6EB01FE768DF}"/>
    <cellStyle name="Normal 4 4 3 2 2 7" xfId="4764" xr:uid="{00000000-0005-0000-0000-000079150000}"/>
    <cellStyle name="Normal 4 4 3 2 2 7 2" xfId="13200" xr:uid="{27911984-6997-4D1C-8CAC-18DB9FBE95F4}"/>
    <cellStyle name="Normal 4 4 3 2 2 8" xfId="8982" xr:uid="{9FBACADE-D0E9-4A0D-8BA7-0EF8DFCFC562}"/>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57" xr:uid="{F7F789EF-A112-4258-BB90-EAA8F25736BA}"/>
    <cellStyle name="Normal 4 4 3 2 3 2 3" xfId="11539" xr:uid="{57D6E88B-C604-471A-9910-F9B1E0299405}"/>
    <cellStyle name="Normal 4 4 3 2 3 3" xfId="5176" xr:uid="{00000000-0005-0000-0000-00007D150000}"/>
    <cellStyle name="Normal 4 4 3 2 3 3 2" xfId="13612" xr:uid="{735A9D1F-FB18-41DC-82BD-2BFE6D420A68}"/>
    <cellStyle name="Normal 4 4 3 2 3 4" xfId="9394" xr:uid="{A8083658-05B5-4363-899E-A43E76A66D85}"/>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0" xr:uid="{5E8EE46C-E2DB-4690-8EB3-475A67BA88C1}"/>
    <cellStyle name="Normal 4 4 3 2 4 2 3" xfId="11952" xr:uid="{4E3F48AC-A488-4877-AFB3-E6C7D09E0F90}"/>
    <cellStyle name="Normal 4 4 3 2 4 3" xfId="5589" xr:uid="{00000000-0005-0000-0000-000081150000}"/>
    <cellStyle name="Normal 4 4 3 2 4 3 2" xfId="14025" xr:uid="{B6C211CE-32D8-4BFC-9922-3FE6C779A26B}"/>
    <cellStyle name="Normal 4 4 3 2 4 4" xfId="9807" xr:uid="{E987E433-AF74-4258-B4D6-1900033BAFA1}"/>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3" xr:uid="{59BFBAD4-CF95-4523-9672-64939D004C15}"/>
    <cellStyle name="Normal 4 4 3 2 5 2 3" xfId="12365" xr:uid="{09F4A270-A093-4068-90F7-3E3C6E76FC97}"/>
    <cellStyle name="Normal 4 4 3 2 5 3" xfId="6002" xr:uid="{00000000-0005-0000-0000-000085150000}"/>
    <cellStyle name="Normal 4 4 3 2 5 3 2" xfId="14438" xr:uid="{C5AB0F9D-9623-4B94-8284-189A804B27F9}"/>
    <cellStyle name="Normal 4 4 3 2 5 4" xfId="10220" xr:uid="{F2334FC3-5A7A-4826-B0FE-37026E7237FF}"/>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6" xr:uid="{C0479F13-7C2F-478A-BE46-5B6C56E269A6}"/>
    <cellStyle name="Normal 4 4 3 2 6 2 3" xfId="12778" xr:uid="{1A46A13B-BC45-45A2-8D37-3A429093A2AA}"/>
    <cellStyle name="Normal 4 4 3 2 6 3" xfId="6415" xr:uid="{00000000-0005-0000-0000-000089150000}"/>
    <cellStyle name="Normal 4 4 3 2 6 3 2" xfId="14851" xr:uid="{6D540E1A-FC3F-45E9-87D3-26D183091AEC}"/>
    <cellStyle name="Normal 4 4 3 2 6 4" xfId="10633" xr:uid="{D9F87764-A823-4503-8D75-CEEFADBBB5F0}"/>
    <cellStyle name="Normal 4 4 3 2 7" xfId="2544" xr:uid="{00000000-0005-0000-0000-00008A150000}"/>
    <cellStyle name="Normal 4 4 3 2 7 2" xfId="6828" xr:uid="{00000000-0005-0000-0000-00008B150000}"/>
    <cellStyle name="Normal 4 4 3 2 7 2 2" xfId="15264" xr:uid="{40841E6C-7576-49C2-89BF-8096CF8D44A2}"/>
    <cellStyle name="Normal 4 4 3 2 7 3" xfId="11046" xr:uid="{C49EF742-6237-4319-9E5C-4008F0B8F331}"/>
    <cellStyle name="Normal 4 4 3 2 8" xfId="4763" xr:uid="{00000000-0005-0000-0000-00008C150000}"/>
    <cellStyle name="Normal 4 4 3 2 8 2" xfId="13199" xr:uid="{BD80AFFE-D51A-4CD0-AF80-22A84A21F05F}"/>
    <cellStyle name="Normal 4 4 3 2 9" xfId="8981" xr:uid="{8558A617-3163-477E-9942-3FF182EFB081}"/>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59" xr:uid="{4C1C7C23-1F56-4BD0-9E60-F2DAD1AF1B3A}"/>
    <cellStyle name="Normal 4 4 3 3 2 2 3" xfId="11541" xr:uid="{7AB81597-32EE-4564-8F8E-8F1EB9EA9038}"/>
    <cellStyle name="Normal 4 4 3 3 2 3" xfId="5178" xr:uid="{00000000-0005-0000-0000-000091150000}"/>
    <cellStyle name="Normal 4 4 3 3 2 3 2" xfId="13614" xr:uid="{9BB7C8AE-BDEF-471A-8F42-D8E87268D6FF}"/>
    <cellStyle name="Normal 4 4 3 3 2 4" xfId="9396" xr:uid="{704DE25B-91EE-4442-B7F6-0BDFC2BC86DB}"/>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2" xr:uid="{4E78AFB9-715A-46D3-A32A-AF736BA5188F}"/>
    <cellStyle name="Normal 4 4 3 3 3 2 3" xfId="11954" xr:uid="{CCBD081D-D897-4DA7-93AF-ADA0EF9C9E46}"/>
    <cellStyle name="Normal 4 4 3 3 3 3" xfId="5591" xr:uid="{00000000-0005-0000-0000-000095150000}"/>
    <cellStyle name="Normal 4 4 3 3 3 3 2" xfId="14027" xr:uid="{3D3A9DD1-5314-415D-95AD-BF54425C678E}"/>
    <cellStyle name="Normal 4 4 3 3 3 4" xfId="9809" xr:uid="{4A3C13F9-7C36-40E6-873D-87868866EEA6}"/>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5" xr:uid="{E4869415-25EE-4FC7-93E2-EC592E173066}"/>
    <cellStyle name="Normal 4 4 3 3 4 2 3" xfId="12367" xr:uid="{71EEA545-EE3C-40FB-9FB3-1BFEFB2044D6}"/>
    <cellStyle name="Normal 4 4 3 3 4 3" xfId="6004" xr:uid="{00000000-0005-0000-0000-000099150000}"/>
    <cellStyle name="Normal 4 4 3 3 4 3 2" xfId="14440" xr:uid="{39468615-0FA9-49AC-9A88-816B42AE7367}"/>
    <cellStyle name="Normal 4 4 3 3 4 4" xfId="10222" xr:uid="{F24D46FF-4168-4B50-B161-F1E9238C186B}"/>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6998" xr:uid="{D90D7B25-1B31-4652-A0B3-871137CDEE91}"/>
    <cellStyle name="Normal 4 4 3 3 5 2 3" xfId="12780" xr:uid="{F7DC6331-0A71-4448-8643-D00CDFB28DE6}"/>
    <cellStyle name="Normal 4 4 3 3 5 3" xfId="6417" xr:uid="{00000000-0005-0000-0000-00009D150000}"/>
    <cellStyle name="Normal 4 4 3 3 5 3 2" xfId="14853" xr:uid="{06064EE3-77DB-4F8A-8829-DD28F69266E9}"/>
    <cellStyle name="Normal 4 4 3 3 5 4" xfId="10635" xr:uid="{F4C23F67-328E-401E-ADFD-FCE4293B65F7}"/>
    <cellStyle name="Normal 4 4 3 3 6" xfId="2546" xr:uid="{00000000-0005-0000-0000-00009E150000}"/>
    <cellStyle name="Normal 4 4 3 3 6 2" xfId="6830" xr:uid="{00000000-0005-0000-0000-00009F150000}"/>
    <cellStyle name="Normal 4 4 3 3 6 2 2" xfId="15266" xr:uid="{E1D4FC0D-97AD-42A5-8A4D-4D58F3ADEFF5}"/>
    <cellStyle name="Normal 4 4 3 3 6 3" xfId="11048" xr:uid="{C69A9A54-F26D-4639-B937-8935F980A07A}"/>
    <cellStyle name="Normal 4 4 3 3 7" xfId="4765" xr:uid="{00000000-0005-0000-0000-0000A0150000}"/>
    <cellStyle name="Normal 4 4 3 3 7 2" xfId="13201" xr:uid="{35AB28AB-BE71-4B29-8A54-2E686C04ECB9}"/>
    <cellStyle name="Normal 4 4 3 3 8" xfId="8983" xr:uid="{B9674AFF-6604-405E-AF92-7A62D4AEF630}"/>
    <cellStyle name="Normal 4 4 3 4" xfId="862" xr:uid="{00000000-0005-0000-0000-0000A1150000}"/>
    <cellStyle name="Normal 4 4 3 4 2" xfId="3097" xr:uid="{00000000-0005-0000-0000-0000A2150000}"/>
    <cellStyle name="Normal 4 4 3 4 2 2" xfId="7320" xr:uid="{00000000-0005-0000-0000-0000A3150000}"/>
    <cellStyle name="Normal 4 4 3 4 2 2 2" xfId="15756" xr:uid="{5B9BE2B8-8D3E-4C1A-8A46-BB0CC5AD3972}"/>
    <cellStyle name="Normal 4 4 3 4 2 3" xfId="11538" xr:uid="{194C987C-1EB8-494C-974B-A18B904E41BA}"/>
    <cellStyle name="Normal 4 4 3 4 3" xfId="5175" xr:uid="{00000000-0005-0000-0000-0000A4150000}"/>
    <cellStyle name="Normal 4 4 3 4 3 2" xfId="13611" xr:uid="{0A545975-B5C3-4E6A-ADB4-5923703088C0}"/>
    <cellStyle name="Normal 4 4 3 4 4" xfId="9393" xr:uid="{41418F83-116E-4B48-8210-8FD034CD21F4}"/>
    <cellStyle name="Normal 4 4 3 5" xfId="1280" xr:uid="{00000000-0005-0000-0000-0000A5150000}"/>
    <cellStyle name="Normal 4 4 3 5 2" xfId="3510" xr:uid="{00000000-0005-0000-0000-0000A6150000}"/>
    <cellStyle name="Normal 4 4 3 5 2 2" xfId="7733" xr:uid="{00000000-0005-0000-0000-0000A7150000}"/>
    <cellStyle name="Normal 4 4 3 5 2 2 2" xfId="16169" xr:uid="{096CD283-DBAC-4AA4-AD19-42CAF08F2C86}"/>
    <cellStyle name="Normal 4 4 3 5 2 3" xfId="11951" xr:uid="{F58640C7-3E8A-49E0-98A2-BDDCD030E1F0}"/>
    <cellStyle name="Normal 4 4 3 5 3" xfId="5588" xr:uid="{00000000-0005-0000-0000-0000A8150000}"/>
    <cellStyle name="Normal 4 4 3 5 3 2" xfId="14024" xr:uid="{2B879326-82A3-40BA-8184-45AAAFE84398}"/>
    <cellStyle name="Normal 4 4 3 5 4" xfId="9806" xr:uid="{1E6049CF-6337-430F-AC8F-4E5540920A31}"/>
    <cellStyle name="Normal 4 4 3 6" xfId="1693" xr:uid="{00000000-0005-0000-0000-0000A9150000}"/>
    <cellStyle name="Normal 4 4 3 6 2" xfId="3923" xr:uid="{00000000-0005-0000-0000-0000AA150000}"/>
    <cellStyle name="Normal 4 4 3 6 2 2" xfId="8146" xr:uid="{00000000-0005-0000-0000-0000AB150000}"/>
    <cellStyle name="Normal 4 4 3 6 2 2 2" xfId="16582" xr:uid="{FEEB4116-9F0C-474A-809B-EDACDB163285}"/>
    <cellStyle name="Normal 4 4 3 6 2 3" xfId="12364" xr:uid="{4612897A-C3B5-4383-AD2B-618BB6202DE2}"/>
    <cellStyle name="Normal 4 4 3 6 3" xfId="6001" xr:uid="{00000000-0005-0000-0000-0000AC150000}"/>
    <cellStyle name="Normal 4 4 3 6 3 2" xfId="14437" xr:uid="{1D8355A8-5569-4A50-B31A-12B115F51C58}"/>
    <cellStyle name="Normal 4 4 3 6 4" xfId="10219" xr:uid="{0938437D-1787-4FB2-A0DB-BCDABD8512B5}"/>
    <cellStyle name="Normal 4 4 3 7" xfId="2107" xr:uid="{00000000-0005-0000-0000-0000AD150000}"/>
    <cellStyle name="Normal 4 4 3 7 2" xfId="4336" xr:uid="{00000000-0005-0000-0000-0000AE150000}"/>
    <cellStyle name="Normal 4 4 3 7 2 2" xfId="8559" xr:uid="{00000000-0005-0000-0000-0000AF150000}"/>
    <cellStyle name="Normal 4 4 3 7 2 2 2" xfId="16995" xr:uid="{9619CC48-B373-4B14-98DD-CE87CF4D3068}"/>
    <cellStyle name="Normal 4 4 3 7 2 3" xfId="12777" xr:uid="{99592C86-2D13-4CA4-955A-D154773C4645}"/>
    <cellStyle name="Normal 4 4 3 7 3" xfId="6414" xr:uid="{00000000-0005-0000-0000-0000B0150000}"/>
    <cellStyle name="Normal 4 4 3 7 3 2" xfId="14850" xr:uid="{8842F227-A20C-4D1D-8395-3D7CD32A1A57}"/>
    <cellStyle name="Normal 4 4 3 7 4" xfId="10632" xr:uid="{4DFAA7DA-5541-4FFB-93BD-19334A252840}"/>
    <cellStyle name="Normal 4 4 3 8" xfId="2543" xr:uid="{00000000-0005-0000-0000-0000B1150000}"/>
    <cellStyle name="Normal 4 4 3 8 2" xfId="6827" xr:uid="{00000000-0005-0000-0000-0000B2150000}"/>
    <cellStyle name="Normal 4 4 3 8 2 2" xfId="15263" xr:uid="{994D564C-0319-4D58-B3D0-E02A86B41076}"/>
    <cellStyle name="Normal 4 4 3 8 3" xfId="11045" xr:uid="{7AD69B62-6570-4E54-9E04-2962BE331C0A}"/>
    <cellStyle name="Normal 4 4 3 9" xfId="4762" xr:uid="{00000000-0005-0000-0000-0000B3150000}"/>
    <cellStyle name="Normal 4 4 3 9 2" xfId="13198" xr:uid="{A0F7D69D-F53F-4FDD-8CBD-6D753FD88BD9}"/>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1" xr:uid="{0D2AAC6D-3D20-4437-B764-593A80F04E9F}"/>
    <cellStyle name="Normal 4 4 4 2 2 2 3" xfId="11543" xr:uid="{5023F451-C2B8-4115-A2D7-AA2EB7309199}"/>
    <cellStyle name="Normal 4 4 4 2 2 3" xfId="5180" xr:uid="{00000000-0005-0000-0000-0000B9150000}"/>
    <cellStyle name="Normal 4 4 4 2 2 3 2" xfId="13616" xr:uid="{092943FB-0918-4B40-8A8A-CDEAF0EB2E30}"/>
    <cellStyle name="Normal 4 4 4 2 2 4" xfId="9398" xr:uid="{B058C9D8-5E5E-47A0-8AAF-5095D63D4B33}"/>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4" xr:uid="{D4510CD2-6C75-4868-B026-2F7CA4CF83E0}"/>
    <cellStyle name="Normal 4 4 4 2 3 2 3" xfId="11956" xr:uid="{0CDBA918-2E8E-41D5-98B3-0CA65E7D2722}"/>
    <cellStyle name="Normal 4 4 4 2 3 3" xfId="5593" xr:uid="{00000000-0005-0000-0000-0000BD150000}"/>
    <cellStyle name="Normal 4 4 4 2 3 3 2" xfId="14029" xr:uid="{2F7A9D93-6BC6-4547-9329-EE5B8985DE25}"/>
    <cellStyle name="Normal 4 4 4 2 3 4" xfId="9811" xr:uid="{3C12472F-558E-41C0-B8D9-1698FE6D64E8}"/>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87" xr:uid="{EDCF49FF-FD7E-4EAC-9D5D-1F3255DBC6A9}"/>
    <cellStyle name="Normal 4 4 4 2 4 2 3" xfId="12369" xr:uid="{B9C4C5EB-EF79-4F3A-BEF9-55F5F3722B2B}"/>
    <cellStyle name="Normal 4 4 4 2 4 3" xfId="6006" xr:uid="{00000000-0005-0000-0000-0000C1150000}"/>
    <cellStyle name="Normal 4 4 4 2 4 3 2" xfId="14442" xr:uid="{0BCF4B92-F3B8-4E4B-BD03-CFFA9806D8B9}"/>
    <cellStyle name="Normal 4 4 4 2 4 4" xfId="10224" xr:uid="{9556921A-D69B-4D0C-B9F8-06650CBB3C0A}"/>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0" xr:uid="{C6E308B6-7645-49A5-93E3-FD54AC8AF41E}"/>
    <cellStyle name="Normal 4 4 4 2 5 2 3" xfId="12782" xr:uid="{1874DB9D-BA4A-455F-B19B-3724644F9AD3}"/>
    <cellStyle name="Normal 4 4 4 2 5 3" xfId="6419" xr:uid="{00000000-0005-0000-0000-0000C5150000}"/>
    <cellStyle name="Normal 4 4 4 2 5 3 2" xfId="14855" xr:uid="{F156BAB8-DB25-496C-BD67-15203643E4BF}"/>
    <cellStyle name="Normal 4 4 4 2 5 4" xfId="10637" xr:uid="{3E0E6F4B-94BE-4FFE-9274-DA7F22C14901}"/>
    <cellStyle name="Normal 4 4 4 2 6" xfId="2548" xr:uid="{00000000-0005-0000-0000-0000C6150000}"/>
    <cellStyle name="Normal 4 4 4 2 6 2" xfId="6832" xr:uid="{00000000-0005-0000-0000-0000C7150000}"/>
    <cellStyle name="Normal 4 4 4 2 6 2 2" xfId="15268" xr:uid="{7F0772EA-AB7B-4C7C-AEB0-861B09480DBD}"/>
    <cellStyle name="Normal 4 4 4 2 6 3" xfId="11050" xr:uid="{C245EA48-F210-43AE-B8C1-CA320FF97001}"/>
    <cellStyle name="Normal 4 4 4 2 7" xfId="4767" xr:uid="{00000000-0005-0000-0000-0000C8150000}"/>
    <cellStyle name="Normal 4 4 4 2 7 2" xfId="13203" xr:uid="{E03435DF-689E-49DE-9626-F3560B7289BF}"/>
    <cellStyle name="Normal 4 4 4 2 8" xfId="8985" xr:uid="{FFBBCF7A-4437-47AF-815D-37482B213219}"/>
    <cellStyle name="Normal 4 4 4 3" xfId="866" xr:uid="{00000000-0005-0000-0000-0000C9150000}"/>
    <cellStyle name="Normal 4 4 4 3 2" xfId="3101" xr:uid="{00000000-0005-0000-0000-0000CA150000}"/>
    <cellStyle name="Normal 4 4 4 3 2 2" xfId="7324" xr:uid="{00000000-0005-0000-0000-0000CB150000}"/>
    <cellStyle name="Normal 4 4 4 3 2 2 2" xfId="15760" xr:uid="{DD0C0E2F-F13A-4767-9BA1-5A75191EC66C}"/>
    <cellStyle name="Normal 4 4 4 3 2 3" xfId="11542" xr:uid="{CE3F15BC-95AD-4878-AFA6-DC80311E0F7B}"/>
    <cellStyle name="Normal 4 4 4 3 3" xfId="5179" xr:uid="{00000000-0005-0000-0000-0000CC150000}"/>
    <cellStyle name="Normal 4 4 4 3 3 2" xfId="13615" xr:uid="{663D7974-0FA6-4A15-A068-538E95DC5646}"/>
    <cellStyle name="Normal 4 4 4 3 4" xfId="9397" xr:uid="{E64C4404-E074-415A-B61D-ECB3F63522F9}"/>
    <cellStyle name="Normal 4 4 4 4" xfId="1284" xr:uid="{00000000-0005-0000-0000-0000CD150000}"/>
    <cellStyle name="Normal 4 4 4 4 2" xfId="3514" xr:uid="{00000000-0005-0000-0000-0000CE150000}"/>
    <cellStyle name="Normal 4 4 4 4 2 2" xfId="7737" xr:uid="{00000000-0005-0000-0000-0000CF150000}"/>
    <cellStyle name="Normal 4 4 4 4 2 2 2" xfId="16173" xr:uid="{E25DB047-3473-43DE-B531-21BF13F4C924}"/>
    <cellStyle name="Normal 4 4 4 4 2 3" xfId="11955" xr:uid="{0DB5332E-A3F6-498C-9AD2-613C779B63BC}"/>
    <cellStyle name="Normal 4 4 4 4 3" xfId="5592" xr:uid="{00000000-0005-0000-0000-0000D0150000}"/>
    <cellStyle name="Normal 4 4 4 4 3 2" xfId="14028" xr:uid="{9BB5DD9C-FB4F-4B43-995F-B660B65B82CE}"/>
    <cellStyle name="Normal 4 4 4 4 4" xfId="9810" xr:uid="{C510348A-DF80-4AD2-A686-F6C72C879421}"/>
    <cellStyle name="Normal 4 4 4 5" xfId="1697" xr:uid="{00000000-0005-0000-0000-0000D1150000}"/>
    <cellStyle name="Normal 4 4 4 5 2" xfId="3927" xr:uid="{00000000-0005-0000-0000-0000D2150000}"/>
    <cellStyle name="Normal 4 4 4 5 2 2" xfId="8150" xr:uid="{00000000-0005-0000-0000-0000D3150000}"/>
    <cellStyle name="Normal 4 4 4 5 2 2 2" xfId="16586" xr:uid="{D0883622-947E-4B5B-892D-F9E9AAB6B988}"/>
    <cellStyle name="Normal 4 4 4 5 2 3" xfId="12368" xr:uid="{93739C24-6E31-4257-9040-956E532354A3}"/>
    <cellStyle name="Normal 4 4 4 5 3" xfId="6005" xr:uid="{00000000-0005-0000-0000-0000D4150000}"/>
    <cellStyle name="Normal 4 4 4 5 3 2" xfId="14441" xr:uid="{3CBF072C-B374-4288-9372-E4C9707688A8}"/>
    <cellStyle name="Normal 4 4 4 5 4" xfId="10223" xr:uid="{3C453C11-663C-4826-BC63-D2BC04546DFA}"/>
    <cellStyle name="Normal 4 4 4 6" xfId="2111" xr:uid="{00000000-0005-0000-0000-0000D5150000}"/>
    <cellStyle name="Normal 4 4 4 6 2" xfId="4340" xr:uid="{00000000-0005-0000-0000-0000D6150000}"/>
    <cellStyle name="Normal 4 4 4 6 2 2" xfId="8563" xr:uid="{00000000-0005-0000-0000-0000D7150000}"/>
    <cellStyle name="Normal 4 4 4 6 2 2 2" xfId="16999" xr:uid="{150838B0-CE55-4F2E-86CF-48FBDB573547}"/>
    <cellStyle name="Normal 4 4 4 6 2 3" xfId="12781" xr:uid="{1D713A57-47D9-4DAD-A80B-C1B847BE29C6}"/>
    <cellStyle name="Normal 4 4 4 6 3" xfId="6418" xr:uid="{00000000-0005-0000-0000-0000D8150000}"/>
    <cellStyle name="Normal 4 4 4 6 3 2" xfId="14854" xr:uid="{9A9FA07F-47B6-4A6F-A6D3-AAB0E9E0A5CB}"/>
    <cellStyle name="Normal 4 4 4 6 4" xfId="10636" xr:uid="{025CAD19-B75A-4405-BD2A-79BE3967C312}"/>
    <cellStyle name="Normal 4 4 4 7" xfId="2547" xr:uid="{00000000-0005-0000-0000-0000D9150000}"/>
    <cellStyle name="Normal 4 4 4 7 2" xfId="6831" xr:uid="{00000000-0005-0000-0000-0000DA150000}"/>
    <cellStyle name="Normal 4 4 4 7 2 2" xfId="15267" xr:uid="{0389B47E-CC46-4D25-A92F-537CBA93A4C4}"/>
    <cellStyle name="Normal 4 4 4 7 3" xfId="11049" xr:uid="{30A04763-43B2-4D6C-BE05-16D0D889A629}"/>
    <cellStyle name="Normal 4 4 4 8" xfId="4766" xr:uid="{00000000-0005-0000-0000-0000DB150000}"/>
    <cellStyle name="Normal 4 4 4 8 2" xfId="13202" xr:uid="{B83543A0-AABE-4BB3-B9AD-C773EEC04529}"/>
    <cellStyle name="Normal 4 4 4 9" xfId="8984" xr:uid="{96C44B32-2002-4B60-ADD1-F38781898436}"/>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2" xr:uid="{E707446E-D294-4006-A9E0-D363AB0DB8D5}"/>
    <cellStyle name="Normal 4 4 5 2 2 3" xfId="11544" xr:uid="{BB1FC363-4F5D-4574-8606-23752BF1BD2D}"/>
    <cellStyle name="Normal 4 4 5 2 3" xfId="5181" xr:uid="{00000000-0005-0000-0000-0000E0150000}"/>
    <cellStyle name="Normal 4 4 5 2 3 2" xfId="13617" xr:uid="{5850FACE-5052-4345-AE4F-1B358476C2B8}"/>
    <cellStyle name="Normal 4 4 5 2 4" xfId="9399" xr:uid="{3484E474-4D48-46AE-9E32-4CD12386BDC3}"/>
    <cellStyle name="Normal 4 4 5 3" xfId="1286" xr:uid="{00000000-0005-0000-0000-0000E1150000}"/>
    <cellStyle name="Normal 4 4 5 3 2" xfId="3516" xr:uid="{00000000-0005-0000-0000-0000E2150000}"/>
    <cellStyle name="Normal 4 4 5 3 2 2" xfId="7739" xr:uid="{00000000-0005-0000-0000-0000E3150000}"/>
    <cellStyle name="Normal 4 4 5 3 2 2 2" xfId="16175" xr:uid="{389D37F5-01FB-4C54-98D0-16BFE6392422}"/>
    <cellStyle name="Normal 4 4 5 3 2 3" xfId="11957" xr:uid="{E041C1B8-93F2-42B5-A7D9-048EE41FB98D}"/>
    <cellStyle name="Normal 4 4 5 3 3" xfId="5594" xr:uid="{00000000-0005-0000-0000-0000E4150000}"/>
    <cellStyle name="Normal 4 4 5 3 3 2" xfId="14030" xr:uid="{867700FE-CB8E-472E-B729-22E1862E2D66}"/>
    <cellStyle name="Normal 4 4 5 3 4" xfId="9812" xr:uid="{FF8A9035-A14E-4D17-BFE3-B1A20B9E2F1C}"/>
    <cellStyle name="Normal 4 4 5 4" xfId="1699" xr:uid="{00000000-0005-0000-0000-0000E5150000}"/>
    <cellStyle name="Normal 4 4 5 4 2" xfId="3929" xr:uid="{00000000-0005-0000-0000-0000E6150000}"/>
    <cellStyle name="Normal 4 4 5 4 2 2" xfId="8152" xr:uid="{00000000-0005-0000-0000-0000E7150000}"/>
    <cellStyle name="Normal 4 4 5 4 2 2 2" xfId="16588" xr:uid="{E48AAD22-0112-4AAE-8AC6-67919470CE03}"/>
    <cellStyle name="Normal 4 4 5 4 2 3" xfId="12370" xr:uid="{591EE145-5733-4518-8AF1-6D5434174889}"/>
    <cellStyle name="Normal 4 4 5 4 3" xfId="6007" xr:uid="{00000000-0005-0000-0000-0000E8150000}"/>
    <cellStyle name="Normal 4 4 5 4 3 2" xfId="14443" xr:uid="{198D8189-1C76-4F46-BDB2-4CCEC3A08C73}"/>
    <cellStyle name="Normal 4 4 5 4 4" xfId="10225" xr:uid="{5E1BC843-F0F6-44E8-8A36-6EE56C482760}"/>
    <cellStyle name="Normal 4 4 5 5" xfId="2113" xr:uid="{00000000-0005-0000-0000-0000E9150000}"/>
    <cellStyle name="Normal 4 4 5 5 2" xfId="4342" xr:uid="{00000000-0005-0000-0000-0000EA150000}"/>
    <cellStyle name="Normal 4 4 5 5 2 2" xfId="8565" xr:uid="{00000000-0005-0000-0000-0000EB150000}"/>
    <cellStyle name="Normal 4 4 5 5 2 2 2" xfId="17001" xr:uid="{9293219E-A117-4419-B0B0-6AC198A6C237}"/>
    <cellStyle name="Normal 4 4 5 5 2 3" xfId="12783" xr:uid="{90A95E22-7824-4942-BF47-F65823B03FCF}"/>
    <cellStyle name="Normal 4 4 5 5 3" xfId="6420" xr:uid="{00000000-0005-0000-0000-0000EC150000}"/>
    <cellStyle name="Normal 4 4 5 5 3 2" xfId="14856" xr:uid="{E172A11E-C212-4311-B289-7A4599FF2A2B}"/>
    <cellStyle name="Normal 4 4 5 5 4" xfId="10638" xr:uid="{B4D12402-DBB1-4D7F-A370-7D70A6888BD7}"/>
    <cellStyle name="Normal 4 4 5 6" xfId="2549" xr:uid="{00000000-0005-0000-0000-0000ED150000}"/>
    <cellStyle name="Normal 4 4 5 6 2" xfId="6833" xr:uid="{00000000-0005-0000-0000-0000EE150000}"/>
    <cellStyle name="Normal 4 4 5 6 2 2" xfId="15269" xr:uid="{7BE3219C-A732-4D8F-957A-5237ABDDDDED}"/>
    <cellStyle name="Normal 4 4 5 6 3" xfId="11051" xr:uid="{6863C1DF-7F06-4EEB-B000-6654FB575A92}"/>
    <cellStyle name="Normal 4 4 5 7" xfId="4768" xr:uid="{00000000-0005-0000-0000-0000EF150000}"/>
    <cellStyle name="Normal 4 4 5 7 2" xfId="13204" xr:uid="{BB75B0D3-484C-48C3-803D-8D11533B0330}"/>
    <cellStyle name="Normal 4 4 5 8" xfId="8986" xr:uid="{C11E10BD-12AB-4B24-8EFC-C94E067D3C75}"/>
    <cellStyle name="Normal 4 4 6" xfId="853" xr:uid="{00000000-0005-0000-0000-0000F0150000}"/>
    <cellStyle name="Normal 4 4 6 2" xfId="3088" xr:uid="{00000000-0005-0000-0000-0000F1150000}"/>
    <cellStyle name="Normal 4 4 6 2 2" xfId="7311" xr:uid="{00000000-0005-0000-0000-0000F2150000}"/>
    <cellStyle name="Normal 4 4 6 2 2 2" xfId="15747" xr:uid="{26C6B690-1994-456B-B6C9-2D3A7B57599F}"/>
    <cellStyle name="Normal 4 4 6 2 3" xfId="11529" xr:uid="{A4BCABBA-8D5D-4E9E-9400-014F572D1223}"/>
    <cellStyle name="Normal 4 4 6 3" xfId="5166" xr:uid="{00000000-0005-0000-0000-0000F3150000}"/>
    <cellStyle name="Normal 4 4 6 3 2" xfId="13602" xr:uid="{78312808-9867-40F0-A711-2935962745AD}"/>
    <cellStyle name="Normal 4 4 6 4" xfId="9384" xr:uid="{0EA0C858-1BAA-4C58-84AF-25CA0167BC53}"/>
    <cellStyle name="Normal 4 4 7" xfId="1271" xr:uid="{00000000-0005-0000-0000-0000F4150000}"/>
    <cellStyle name="Normal 4 4 7 2" xfId="3501" xr:uid="{00000000-0005-0000-0000-0000F5150000}"/>
    <cellStyle name="Normal 4 4 7 2 2" xfId="7724" xr:uid="{00000000-0005-0000-0000-0000F6150000}"/>
    <cellStyle name="Normal 4 4 7 2 2 2" xfId="16160" xr:uid="{BC39A13E-1524-496E-A6B1-899C76745F64}"/>
    <cellStyle name="Normal 4 4 7 2 3" xfId="11942" xr:uid="{ECB74645-5856-47E0-B605-240D86D2E8A8}"/>
    <cellStyle name="Normal 4 4 7 3" xfId="5579" xr:uid="{00000000-0005-0000-0000-0000F7150000}"/>
    <cellStyle name="Normal 4 4 7 3 2" xfId="14015" xr:uid="{6CE3C25B-78B9-4A73-8CED-D05377835625}"/>
    <cellStyle name="Normal 4 4 7 4" xfId="9797" xr:uid="{CFE7B649-1CE4-4B5C-903F-EEA3DEEF4744}"/>
    <cellStyle name="Normal 4 4 8" xfId="1684" xr:uid="{00000000-0005-0000-0000-0000F8150000}"/>
    <cellStyle name="Normal 4 4 8 2" xfId="3914" xr:uid="{00000000-0005-0000-0000-0000F9150000}"/>
    <cellStyle name="Normal 4 4 8 2 2" xfId="8137" xr:uid="{00000000-0005-0000-0000-0000FA150000}"/>
    <cellStyle name="Normal 4 4 8 2 2 2" xfId="16573" xr:uid="{E24ACF00-7475-461F-B519-D298C6AD5E57}"/>
    <cellStyle name="Normal 4 4 8 2 3" xfId="12355" xr:uid="{0D47310D-A27F-4219-94EB-A633A55264D2}"/>
    <cellStyle name="Normal 4 4 8 3" xfId="5992" xr:uid="{00000000-0005-0000-0000-0000FB150000}"/>
    <cellStyle name="Normal 4 4 8 3 2" xfId="14428" xr:uid="{87B77931-6D60-4474-921E-D9B2D4057078}"/>
    <cellStyle name="Normal 4 4 8 4" xfId="10210" xr:uid="{97963C71-E5F0-4E89-8112-94D53C1B5C26}"/>
    <cellStyle name="Normal 4 4 9" xfId="2098" xr:uid="{00000000-0005-0000-0000-0000FC150000}"/>
    <cellStyle name="Normal 4 4 9 2" xfId="4327" xr:uid="{00000000-0005-0000-0000-0000FD150000}"/>
    <cellStyle name="Normal 4 4 9 2 2" xfId="8550" xr:uid="{00000000-0005-0000-0000-0000FE150000}"/>
    <cellStyle name="Normal 4 4 9 2 2 2" xfId="16986" xr:uid="{F5841891-CC62-46F7-9FC6-F7DD6B9E76BF}"/>
    <cellStyle name="Normal 4 4 9 2 3" xfId="12768" xr:uid="{17D09DD2-4EE3-4FA1-9E74-0F1DECE1C14B}"/>
    <cellStyle name="Normal 4 4 9 3" xfId="6405" xr:uid="{00000000-0005-0000-0000-0000FF150000}"/>
    <cellStyle name="Normal 4 4 9 3 2" xfId="14841" xr:uid="{36A2A8F6-B2E1-4E1A-AB4D-8BD2159CD925}"/>
    <cellStyle name="Normal 4 4 9 4" xfId="10623" xr:uid="{624C792D-F6E6-4A4C-A741-09FC4A462B1B}"/>
    <cellStyle name="Normal 4 5" xfId="394" xr:uid="{00000000-0005-0000-0000-000000160000}"/>
    <cellStyle name="Normal 4 6" xfId="395" xr:uid="{00000000-0005-0000-0000-000001160000}"/>
    <cellStyle name="Normal 4 6 10" xfId="4769" xr:uid="{00000000-0005-0000-0000-000002160000}"/>
    <cellStyle name="Normal 4 6 10 2" xfId="13205" xr:uid="{04FDD727-A5D2-4BE8-A875-7D984F96A35F}"/>
    <cellStyle name="Normal 4 6 11" xfId="8987" xr:uid="{8448AE98-554F-4B24-ABF9-022E7967E95F}"/>
    <cellStyle name="Normal 4 6 2" xfId="396" xr:uid="{00000000-0005-0000-0000-000003160000}"/>
    <cellStyle name="Normal 4 6 2 10" xfId="8988" xr:uid="{F55A8D67-C14A-4868-B246-114370CCE952}"/>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6" xr:uid="{E4073C71-610A-4AC7-8E4B-34B614633AFC}"/>
    <cellStyle name="Normal 4 6 2 2 2 2 2 3" xfId="11548" xr:uid="{02DDCEF7-364A-4332-A3B9-3D9590746231}"/>
    <cellStyle name="Normal 4 6 2 2 2 2 3" xfId="5185" xr:uid="{00000000-0005-0000-0000-000009160000}"/>
    <cellStyle name="Normal 4 6 2 2 2 2 3 2" xfId="13621" xr:uid="{3885C403-077B-4E20-A723-995EA2748860}"/>
    <cellStyle name="Normal 4 6 2 2 2 2 4" xfId="9403" xr:uid="{DE14C026-C93F-4561-8710-973820DF8611}"/>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79" xr:uid="{6EB730D4-25C2-4667-B82B-68E6EE89659D}"/>
    <cellStyle name="Normal 4 6 2 2 2 3 2 3" xfId="11961" xr:uid="{8C058A77-D9C7-4057-A3C0-6F3A0AD6C954}"/>
    <cellStyle name="Normal 4 6 2 2 2 3 3" xfId="5598" xr:uid="{00000000-0005-0000-0000-00000D160000}"/>
    <cellStyle name="Normal 4 6 2 2 2 3 3 2" xfId="14034" xr:uid="{DE9920E7-FD2D-46E4-BCF7-B848966C0D61}"/>
    <cellStyle name="Normal 4 6 2 2 2 3 4" xfId="9816" xr:uid="{4EFECAD2-0015-4A1D-88A2-E21C326B25EB}"/>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2" xr:uid="{49151224-396B-453D-BA73-B22D1762F8DC}"/>
    <cellStyle name="Normal 4 6 2 2 2 4 2 3" xfId="12374" xr:uid="{993D52FC-D0EC-4364-90DB-15636E8D9E22}"/>
    <cellStyle name="Normal 4 6 2 2 2 4 3" xfId="6011" xr:uid="{00000000-0005-0000-0000-000011160000}"/>
    <cellStyle name="Normal 4 6 2 2 2 4 3 2" xfId="14447" xr:uid="{C0C89EE5-1970-4668-9D41-5B03A1A5E071}"/>
    <cellStyle name="Normal 4 6 2 2 2 4 4" xfId="10229" xr:uid="{B7592B43-5CC0-450B-BC4F-5007254F1608}"/>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5" xr:uid="{50279D71-CE33-442E-BDAB-BC5306C886E6}"/>
    <cellStyle name="Normal 4 6 2 2 2 5 2 3" xfId="12787" xr:uid="{0C2EBEF8-7380-4AB8-A74B-FAFA1C8D6E44}"/>
    <cellStyle name="Normal 4 6 2 2 2 5 3" xfId="6424" xr:uid="{00000000-0005-0000-0000-000015160000}"/>
    <cellStyle name="Normal 4 6 2 2 2 5 3 2" xfId="14860" xr:uid="{12543142-6F40-479C-8F15-030F25D70466}"/>
    <cellStyle name="Normal 4 6 2 2 2 5 4" xfId="10642" xr:uid="{773F86B3-14EC-4774-A2AE-79A8A198CD10}"/>
    <cellStyle name="Normal 4 6 2 2 2 6" xfId="2553" xr:uid="{00000000-0005-0000-0000-000016160000}"/>
    <cellStyle name="Normal 4 6 2 2 2 6 2" xfId="6837" xr:uid="{00000000-0005-0000-0000-000017160000}"/>
    <cellStyle name="Normal 4 6 2 2 2 6 2 2" xfId="15273" xr:uid="{1FA2FD2C-9FB9-4720-9CF4-A38D14F9B70B}"/>
    <cellStyle name="Normal 4 6 2 2 2 6 3" xfId="11055" xr:uid="{513264E4-2CE9-4EA9-81F5-C4944C27151B}"/>
    <cellStyle name="Normal 4 6 2 2 2 7" xfId="4772" xr:uid="{00000000-0005-0000-0000-000018160000}"/>
    <cellStyle name="Normal 4 6 2 2 2 7 2" xfId="13208" xr:uid="{509F045E-521D-4FE8-BCF8-BF8F1CE07CD5}"/>
    <cellStyle name="Normal 4 6 2 2 2 8" xfId="8990" xr:uid="{37F573A2-6029-414F-BAD2-DE697F10D0CB}"/>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5" xr:uid="{776DCE1F-1330-4D36-A45D-1963161814B0}"/>
    <cellStyle name="Normal 4 6 2 2 3 2 3" xfId="11547" xr:uid="{B193DDA7-FD2E-443F-B096-EA249EAFCA44}"/>
    <cellStyle name="Normal 4 6 2 2 3 3" xfId="5184" xr:uid="{00000000-0005-0000-0000-00001C160000}"/>
    <cellStyle name="Normal 4 6 2 2 3 3 2" xfId="13620" xr:uid="{5717EA3A-0AEF-4291-9254-A39B1A500FF7}"/>
    <cellStyle name="Normal 4 6 2 2 3 4" xfId="9402" xr:uid="{2BA3806A-B5C9-46F3-A5F6-E2FC1F4ABAAA}"/>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78" xr:uid="{6507AF36-C392-45E8-AD4A-19B991BCCB7E}"/>
    <cellStyle name="Normal 4 6 2 2 4 2 3" xfId="11960" xr:uid="{1F29A171-090D-46BD-8B97-65EBD862A73F}"/>
    <cellStyle name="Normal 4 6 2 2 4 3" xfId="5597" xr:uid="{00000000-0005-0000-0000-000020160000}"/>
    <cellStyle name="Normal 4 6 2 2 4 3 2" xfId="14033" xr:uid="{5F15D65D-8694-4BB5-9F07-4F90B108E320}"/>
    <cellStyle name="Normal 4 6 2 2 4 4" xfId="9815" xr:uid="{8F7E63CF-26B2-4C6B-B080-23F4F76E3EF5}"/>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1" xr:uid="{9BCA1AEC-1290-4DDF-8CF5-CC8C3AED7C13}"/>
    <cellStyle name="Normal 4 6 2 2 5 2 3" xfId="12373" xr:uid="{4AB11EFB-DFF9-4137-BA4F-49461FD9F306}"/>
    <cellStyle name="Normal 4 6 2 2 5 3" xfId="6010" xr:uid="{00000000-0005-0000-0000-000024160000}"/>
    <cellStyle name="Normal 4 6 2 2 5 3 2" xfId="14446" xr:uid="{ABD53F67-F462-4F62-9212-29FF902FC91F}"/>
    <cellStyle name="Normal 4 6 2 2 5 4" xfId="10228" xr:uid="{58BB7347-C9BC-4C95-A78E-7277AF605CD8}"/>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4" xr:uid="{FAE8D35A-DCF8-4632-B606-571F0249196F}"/>
    <cellStyle name="Normal 4 6 2 2 6 2 3" xfId="12786" xr:uid="{55AC7CF7-B201-4732-AFCB-1C248DE0BB68}"/>
    <cellStyle name="Normal 4 6 2 2 6 3" xfId="6423" xr:uid="{00000000-0005-0000-0000-000028160000}"/>
    <cellStyle name="Normal 4 6 2 2 6 3 2" xfId="14859" xr:uid="{35F28A02-306F-4605-A971-76A03088EAB0}"/>
    <cellStyle name="Normal 4 6 2 2 6 4" xfId="10641" xr:uid="{11074696-85B6-4329-B25E-E790C30CE517}"/>
    <cellStyle name="Normal 4 6 2 2 7" xfId="2552" xr:uid="{00000000-0005-0000-0000-000029160000}"/>
    <cellStyle name="Normal 4 6 2 2 7 2" xfId="6836" xr:uid="{00000000-0005-0000-0000-00002A160000}"/>
    <cellStyle name="Normal 4 6 2 2 7 2 2" xfId="15272" xr:uid="{29C52CBB-DDF3-497D-B11E-ACF1BEE2D3CE}"/>
    <cellStyle name="Normal 4 6 2 2 7 3" xfId="11054" xr:uid="{D53EE88B-A18B-4C54-8A7A-9232758ABFAD}"/>
    <cellStyle name="Normal 4 6 2 2 8" xfId="4771" xr:uid="{00000000-0005-0000-0000-00002B160000}"/>
    <cellStyle name="Normal 4 6 2 2 8 2" xfId="13207" xr:uid="{474C3131-C03C-4D61-8AFA-684FAF101E37}"/>
    <cellStyle name="Normal 4 6 2 2 9" xfId="8989" xr:uid="{85498E12-AFAF-499B-BAB8-8BC4A36CC8E5}"/>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67" xr:uid="{BE532967-BAF6-439A-BDE5-04F4DC97454F}"/>
    <cellStyle name="Normal 4 6 2 3 2 2 3" xfId="11549" xr:uid="{1CF52C85-ED0D-4FD2-955A-0A2E13214A9E}"/>
    <cellStyle name="Normal 4 6 2 3 2 3" xfId="5186" xr:uid="{00000000-0005-0000-0000-000030160000}"/>
    <cellStyle name="Normal 4 6 2 3 2 3 2" xfId="13622" xr:uid="{468DFD08-9A3F-4FF2-B4CA-83A06D7D1EF7}"/>
    <cellStyle name="Normal 4 6 2 3 2 4" xfId="9404" xr:uid="{65277D07-CACE-4806-9C38-551E8B7EE1B4}"/>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0" xr:uid="{B89E54AA-F0A1-480A-AC23-9AFA0689D224}"/>
    <cellStyle name="Normal 4 6 2 3 3 2 3" xfId="11962" xr:uid="{C7BE4008-4806-45CC-AFEB-F8D8211F631E}"/>
    <cellStyle name="Normal 4 6 2 3 3 3" xfId="5599" xr:uid="{00000000-0005-0000-0000-000034160000}"/>
    <cellStyle name="Normal 4 6 2 3 3 3 2" xfId="14035" xr:uid="{947425A1-EC06-4E75-9312-DA8108D809D8}"/>
    <cellStyle name="Normal 4 6 2 3 3 4" xfId="9817" xr:uid="{DD6641E8-A1CE-45B3-A5AD-291D66F982B3}"/>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3" xr:uid="{25A1816E-B106-4218-AE1B-E89711E1F090}"/>
    <cellStyle name="Normal 4 6 2 3 4 2 3" xfId="12375" xr:uid="{08AD89BE-EE68-4BD8-AD81-003AD872E08C}"/>
    <cellStyle name="Normal 4 6 2 3 4 3" xfId="6012" xr:uid="{00000000-0005-0000-0000-000038160000}"/>
    <cellStyle name="Normal 4 6 2 3 4 3 2" xfId="14448" xr:uid="{502CB275-0439-4824-AFC5-FADDFC3514DB}"/>
    <cellStyle name="Normal 4 6 2 3 4 4" xfId="10230" xr:uid="{D26BB95C-99EA-44C0-86AD-5DCE185499B8}"/>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6" xr:uid="{3D2A6E61-06CF-4E18-AC36-1DCAA61D3D80}"/>
    <cellStyle name="Normal 4 6 2 3 5 2 3" xfId="12788" xr:uid="{9DD07F87-74FB-49A6-89FF-B8E137FB9819}"/>
    <cellStyle name="Normal 4 6 2 3 5 3" xfId="6425" xr:uid="{00000000-0005-0000-0000-00003C160000}"/>
    <cellStyle name="Normal 4 6 2 3 5 3 2" xfId="14861" xr:uid="{042FD403-E0C7-41B5-B29F-49B7D661B900}"/>
    <cellStyle name="Normal 4 6 2 3 5 4" xfId="10643" xr:uid="{5F98A9E9-8C6B-43EC-9922-BE8494195746}"/>
    <cellStyle name="Normal 4 6 2 3 6" xfId="2554" xr:uid="{00000000-0005-0000-0000-00003D160000}"/>
    <cellStyle name="Normal 4 6 2 3 6 2" xfId="6838" xr:uid="{00000000-0005-0000-0000-00003E160000}"/>
    <cellStyle name="Normal 4 6 2 3 6 2 2" xfId="15274" xr:uid="{430150AD-7E91-4817-8251-AC7A3362AD15}"/>
    <cellStyle name="Normal 4 6 2 3 6 3" xfId="11056" xr:uid="{CD920C1D-D24A-4AD1-846A-F9A6E8F3DA3D}"/>
    <cellStyle name="Normal 4 6 2 3 7" xfId="4773" xr:uid="{00000000-0005-0000-0000-00003F160000}"/>
    <cellStyle name="Normal 4 6 2 3 7 2" xfId="13209" xr:uid="{4E1D89B5-0EA7-4DC1-89BB-9968AD45C623}"/>
    <cellStyle name="Normal 4 6 2 3 8" xfId="8991" xr:uid="{D1AAF90D-8EC7-49DB-A42D-F16F33ED0AA9}"/>
    <cellStyle name="Normal 4 6 2 4" xfId="870" xr:uid="{00000000-0005-0000-0000-000040160000}"/>
    <cellStyle name="Normal 4 6 2 4 2" xfId="3105" xr:uid="{00000000-0005-0000-0000-000041160000}"/>
    <cellStyle name="Normal 4 6 2 4 2 2" xfId="7328" xr:uid="{00000000-0005-0000-0000-000042160000}"/>
    <cellStyle name="Normal 4 6 2 4 2 2 2" xfId="15764" xr:uid="{2AFA1027-EAD1-4F73-B4D2-25FA074873A4}"/>
    <cellStyle name="Normal 4 6 2 4 2 3" xfId="11546" xr:uid="{69BC3F2C-F2CF-438E-8616-DD6A4154D7D5}"/>
    <cellStyle name="Normal 4 6 2 4 3" xfId="5183" xr:uid="{00000000-0005-0000-0000-000043160000}"/>
    <cellStyle name="Normal 4 6 2 4 3 2" xfId="13619" xr:uid="{E4455927-A709-46C5-8D47-1D3FB55A6528}"/>
    <cellStyle name="Normal 4 6 2 4 4" xfId="9401" xr:uid="{F5A0272F-EB84-40A3-87D3-8F19349FAF10}"/>
    <cellStyle name="Normal 4 6 2 5" xfId="1288" xr:uid="{00000000-0005-0000-0000-000044160000}"/>
    <cellStyle name="Normal 4 6 2 5 2" xfId="3518" xr:uid="{00000000-0005-0000-0000-000045160000}"/>
    <cellStyle name="Normal 4 6 2 5 2 2" xfId="7741" xr:uid="{00000000-0005-0000-0000-000046160000}"/>
    <cellStyle name="Normal 4 6 2 5 2 2 2" xfId="16177" xr:uid="{0A7F6628-F408-4DF6-A686-B3334C4FE598}"/>
    <cellStyle name="Normal 4 6 2 5 2 3" xfId="11959" xr:uid="{60F57BD7-B599-4294-894D-B19EE2EA8BAC}"/>
    <cellStyle name="Normal 4 6 2 5 3" xfId="5596" xr:uid="{00000000-0005-0000-0000-000047160000}"/>
    <cellStyle name="Normal 4 6 2 5 3 2" xfId="14032" xr:uid="{614D8B82-8A1C-4514-B479-CD7C5154AE1E}"/>
    <cellStyle name="Normal 4 6 2 5 4" xfId="9814" xr:uid="{A52319F7-034F-4672-8A5F-B100CA5955F0}"/>
    <cellStyle name="Normal 4 6 2 6" xfId="1701" xr:uid="{00000000-0005-0000-0000-000048160000}"/>
    <cellStyle name="Normal 4 6 2 6 2" xfId="3931" xr:uid="{00000000-0005-0000-0000-000049160000}"/>
    <cellStyle name="Normal 4 6 2 6 2 2" xfId="8154" xr:uid="{00000000-0005-0000-0000-00004A160000}"/>
    <cellStyle name="Normal 4 6 2 6 2 2 2" xfId="16590" xr:uid="{04743942-61A7-4954-B4BE-F35DAFE52917}"/>
    <cellStyle name="Normal 4 6 2 6 2 3" xfId="12372" xr:uid="{4CBC83CA-60EA-4A34-95F4-3B973E295F84}"/>
    <cellStyle name="Normal 4 6 2 6 3" xfId="6009" xr:uid="{00000000-0005-0000-0000-00004B160000}"/>
    <cellStyle name="Normal 4 6 2 6 3 2" xfId="14445" xr:uid="{72606488-F888-4EEA-A95D-CA485A30801D}"/>
    <cellStyle name="Normal 4 6 2 6 4" xfId="10227" xr:uid="{FD8F5E1D-32E8-4BCB-97C5-97DD9BC703E5}"/>
    <cellStyle name="Normal 4 6 2 7" xfId="2115" xr:uid="{00000000-0005-0000-0000-00004C160000}"/>
    <cellStyle name="Normal 4 6 2 7 2" xfId="4344" xr:uid="{00000000-0005-0000-0000-00004D160000}"/>
    <cellStyle name="Normal 4 6 2 7 2 2" xfId="8567" xr:uid="{00000000-0005-0000-0000-00004E160000}"/>
    <cellStyle name="Normal 4 6 2 7 2 2 2" xfId="17003" xr:uid="{08A43E17-141A-42CB-A666-86B3E69A7FBC}"/>
    <cellStyle name="Normal 4 6 2 7 2 3" xfId="12785" xr:uid="{84A0509C-50D9-49D7-86E8-C1761732C1F2}"/>
    <cellStyle name="Normal 4 6 2 7 3" xfId="6422" xr:uid="{00000000-0005-0000-0000-00004F160000}"/>
    <cellStyle name="Normal 4 6 2 7 3 2" xfId="14858" xr:uid="{0839C15C-3F17-4E0D-B4EF-D8CED25FB80B}"/>
    <cellStyle name="Normal 4 6 2 7 4" xfId="10640" xr:uid="{5993CCD6-C6B8-4B63-BF74-8A9FE8F7BAF7}"/>
    <cellStyle name="Normal 4 6 2 8" xfId="2551" xr:uid="{00000000-0005-0000-0000-000050160000}"/>
    <cellStyle name="Normal 4 6 2 8 2" xfId="6835" xr:uid="{00000000-0005-0000-0000-000051160000}"/>
    <cellStyle name="Normal 4 6 2 8 2 2" xfId="15271" xr:uid="{3146E147-9E1A-4617-A892-5D07880A268A}"/>
    <cellStyle name="Normal 4 6 2 8 3" xfId="11053" xr:uid="{6F3471CE-1257-4631-AD15-F0C7136CCF52}"/>
    <cellStyle name="Normal 4 6 2 9" xfId="4770" xr:uid="{00000000-0005-0000-0000-000052160000}"/>
    <cellStyle name="Normal 4 6 2 9 2" xfId="13206" xr:uid="{25DF50AB-731D-496E-A9E9-86631B3CDD99}"/>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69" xr:uid="{13444865-6923-4D3C-8F31-043E09132A41}"/>
    <cellStyle name="Normal 4 6 3 2 2 2 3" xfId="11551" xr:uid="{6B6B8911-81C4-4814-BE59-B9D0B3CE0568}"/>
    <cellStyle name="Normal 4 6 3 2 2 3" xfId="5188" xr:uid="{00000000-0005-0000-0000-000058160000}"/>
    <cellStyle name="Normal 4 6 3 2 2 3 2" xfId="13624" xr:uid="{3AEFE8BB-846E-4DC2-8781-7E8941CBB61B}"/>
    <cellStyle name="Normal 4 6 3 2 2 4" xfId="9406" xr:uid="{62BC7E68-E6C1-4B3E-86E2-014B46DA0563}"/>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2" xr:uid="{81562344-D2F1-4AED-A5C9-16FA5D71F4C3}"/>
    <cellStyle name="Normal 4 6 3 2 3 2 3" xfId="11964" xr:uid="{BA32F0BC-27AF-4486-B3C0-20D8EDA83BBA}"/>
    <cellStyle name="Normal 4 6 3 2 3 3" xfId="5601" xr:uid="{00000000-0005-0000-0000-00005C160000}"/>
    <cellStyle name="Normal 4 6 3 2 3 3 2" xfId="14037" xr:uid="{DF450DF0-317C-45B8-8ED1-2BAE6AFA4D81}"/>
    <cellStyle name="Normal 4 6 3 2 3 4" xfId="9819" xr:uid="{C240355C-6B68-4E37-A787-9CDD0247F74C}"/>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5" xr:uid="{460A63E5-5A51-42E9-90C5-178D4894A8D5}"/>
    <cellStyle name="Normal 4 6 3 2 4 2 3" xfId="12377" xr:uid="{1B547008-0F7C-4923-BAC5-0918CD9E6CD6}"/>
    <cellStyle name="Normal 4 6 3 2 4 3" xfId="6014" xr:uid="{00000000-0005-0000-0000-000060160000}"/>
    <cellStyle name="Normal 4 6 3 2 4 3 2" xfId="14450" xr:uid="{763DF03A-765E-4A23-832E-D079BCDC41E6}"/>
    <cellStyle name="Normal 4 6 3 2 4 4" xfId="10232" xr:uid="{49DED3F2-7255-47FA-8C49-2BAA70B577FC}"/>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08" xr:uid="{91B7ACAB-AD6C-4C28-9FE5-8823C4172301}"/>
    <cellStyle name="Normal 4 6 3 2 5 2 3" xfId="12790" xr:uid="{815B91E9-2CDB-48E3-AB31-E6ECDBF87E52}"/>
    <cellStyle name="Normal 4 6 3 2 5 3" xfId="6427" xr:uid="{00000000-0005-0000-0000-000064160000}"/>
    <cellStyle name="Normal 4 6 3 2 5 3 2" xfId="14863" xr:uid="{2C54A55B-780B-465C-907C-B7452B5055BF}"/>
    <cellStyle name="Normal 4 6 3 2 5 4" xfId="10645" xr:uid="{F01BD10F-5BAE-40C2-8357-A08C6324B73E}"/>
    <cellStyle name="Normal 4 6 3 2 6" xfId="2556" xr:uid="{00000000-0005-0000-0000-000065160000}"/>
    <cellStyle name="Normal 4 6 3 2 6 2" xfId="6840" xr:uid="{00000000-0005-0000-0000-000066160000}"/>
    <cellStyle name="Normal 4 6 3 2 6 2 2" xfId="15276" xr:uid="{9F8DB61E-00E7-4A13-8E8C-E26EF1803AD9}"/>
    <cellStyle name="Normal 4 6 3 2 6 3" xfId="11058" xr:uid="{E6FFF05B-508A-4A03-997D-4977308D303D}"/>
    <cellStyle name="Normal 4 6 3 2 7" xfId="4775" xr:uid="{00000000-0005-0000-0000-000067160000}"/>
    <cellStyle name="Normal 4 6 3 2 7 2" xfId="13211" xr:uid="{3234B841-FAE7-4708-830C-03CF49366B13}"/>
    <cellStyle name="Normal 4 6 3 2 8" xfId="8993" xr:uid="{705DEC00-8C05-4858-9CCE-EC671A66012E}"/>
    <cellStyle name="Normal 4 6 3 3" xfId="874" xr:uid="{00000000-0005-0000-0000-000068160000}"/>
    <cellStyle name="Normal 4 6 3 3 2" xfId="3109" xr:uid="{00000000-0005-0000-0000-000069160000}"/>
    <cellStyle name="Normal 4 6 3 3 2 2" xfId="7332" xr:uid="{00000000-0005-0000-0000-00006A160000}"/>
    <cellStyle name="Normal 4 6 3 3 2 2 2" xfId="15768" xr:uid="{37232CF9-38DB-4234-956C-6585499F706A}"/>
    <cellStyle name="Normal 4 6 3 3 2 3" xfId="11550" xr:uid="{5F7BE865-F841-4E20-A98B-217A2381DEC5}"/>
    <cellStyle name="Normal 4 6 3 3 3" xfId="5187" xr:uid="{00000000-0005-0000-0000-00006B160000}"/>
    <cellStyle name="Normal 4 6 3 3 3 2" xfId="13623" xr:uid="{F2E3EAF8-F2D4-4BB6-A806-0C1C77D6B266}"/>
    <cellStyle name="Normal 4 6 3 3 4" xfId="9405" xr:uid="{CCE8CDAB-67CC-40BF-BFCF-F70D315BA17E}"/>
    <cellStyle name="Normal 4 6 3 4" xfId="1292" xr:uid="{00000000-0005-0000-0000-00006C160000}"/>
    <cellStyle name="Normal 4 6 3 4 2" xfId="3522" xr:uid="{00000000-0005-0000-0000-00006D160000}"/>
    <cellStyle name="Normal 4 6 3 4 2 2" xfId="7745" xr:uid="{00000000-0005-0000-0000-00006E160000}"/>
    <cellStyle name="Normal 4 6 3 4 2 2 2" xfId="16181" xr:uid="{07A677F1-EDDC-4DF0-95EC-98F54B8CD58C}"/>
    <cellStyle name="Normal 4 6 3 4 2 3" xfId="11963" xr:uid="{338291F8-1B75-44E6-A9B0-AC2692846D2D}"/>
    <cellStyle name="Normal 4 6 3 4 3" xfId="5600" xr:uid="{00000000-0005-0000-0000-00006F160000}"/>
    <cellStyle name="Normal 4 6 3 4 3 2" xfId="14036" xr:uid="{AB43F72D-6B87-48AD-AFD6-40D14C8C65E4}"/>
    <cellStyle name="Normal 4 6 3 4 4" xfId="9818" xr:uid="{BFF6DC83-7CB8-4BF1-815D-606E8E5529F7}"/>
    <cellStyle name="Normal 4 6 3 5" xfId="1705" xr:uid="{00000000-0005-0000-0000-000070160000}"/>
    <cellStyle name="Normal 4 6 3 5 2" xfId="3935" xr:uid="{00000000-0005-0000-0000-000071160000}"/>
    <cellStyle name="Normal 4 6 3 5 2 2" xfId="8158" xr:uid="{00000000-0005-0000-0000-000072160000}"/>
    <cellStyle name="Normal 4 6 3 5 2 2 2" xfId="16594" xr:uid="{7E3F60BF-8166-4B59-9BD3-B7F315D4FFA9}"/>
    <cellStyle name="Normal 4 6 3 5 2 3" xfId="12376" xr:uid="{8A50D3F9-F210-4557-B25C-13658307E724}"/>
    <cellStyle name="Normal 4 6 3 5 3" xfId="6013" xr:uid="{00000000-0005-0000-0000-000073160000}"/>
    <cellStyle name="Normal 4 6 3 5 3 2" xfId="14449" xr:uid="{46E01083-3E3C-4764-88CD-949239FB4508}"/>
    <cellStyle name="Normal 4 6 3 5 4" xfId="10231" xr:uid="{EAC72C68-9B61-421F-809C-C90A5DF18CB0}"/>
    <cellStyle name="Normal 4 6 3 6" xfId="2119" xr:uid="{00000000-0005-0000-0000-000074160000}"/>
    <cellStyle name="Normal 4 6 3 6 2" xfId="4348" xr:uid="{00000000-0005-0000-0000-000075160000}"/>
    <cellStyle name="Normal 4 6 3 6 2 2" xfId="8571" xr:uid="{00000000-0005-0000-0000-000076160000}"/>
    <cellStyle name="Normal 4 6 3 6 2 2 2" xfId="17007" xr:uid="{6D6682F5-BE12-4E2F-9D60-32CEDD414265}"/>
    <cellStyle name="Normal 4 6 3 6 2 3" xfId="12789" xr:uid="{42EA21D4-5867-4460-A3E4-BEB18B558B0C}"/>
    <cellStyle name="Normal 4 6 3 6 3" xfId="6426" xr:uid="{00000000-0005-0000-0000-000077160000}"/>
    <cellStyle name="Normal 4 6 3 6 3 2" xfId="14862" xr:uid="{60546AE7-F2AA-45D5-8229-75131B3AB5A8}"/>
    <cellStyle name="Normal 4 6 3 6 4" xfId="10644" xr:uid="{831B30AE-D7A6-4E0F-A736-ADC6EABE8911}"/>
    <cellStyle name="Normal 4 6 3 7" xfId="2555" xr:uid="{00000000-0005-0000-0000-000078160000}"/>
    <cellStyle name="Normal 4 6 3 7 2" xfId="6839" xr:uid="{00000000-0005-0000-0000-000079160000}"/>
    <cellStyle name="Normal 4 6 3 7 2 2" xfId="15275" xr:uid="{4C147771-6B06-4A2A-838F-371FC4A5AD60}"/>
    <cellStyle name="Normal 4 6 3 7 3" xfId="11057" xr:uid="{519F7B18-53EB-4696-B914-839DE5200F6F}"/>
    <cellStyle name="Normal 4 6 3 8" xfId="4774" xr:uid="{00000000-0005-0000-0000-00007A160000}"/>
    <cellStyle name="Normal 4 6 3 8 2" xfId="13210" xr:uid="{DCEAD8C3-9A11-4CB5-9BF1-647C150A9682}"/>
    <cellStyle name="Normal 4 6 3 9" xfId="8992" xr:uid="{1AB2607D-2228-47D3-A6C9-92DE9CEFFB9C}"/>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0" xr:uid="{4EEA10E9-78A0-4C37-B2CF-31BAC141EF5C}"/>
    <cellStyle name="Normal 4 6 4 2 2 3" xfId="11552" xr:uid="{DFCBE6BF-3ADF-45F9-9875-D44A8E859F58}"/>
    <cellStyle name="Normal 4 6 4 2 3" xfId="5189" xr:uid="{00000000-0005-0000-0000-00007F160000}"/>
    <cellStyle name="Normal 4 6 4 2 3 2" xfId="13625" xr:uid="{D60513DF-4C24-443E-87AB-7C8D2A988C36}"/>
    <cellStyle name="Normal 4 6 4 2 4" xfId="9407" xr:uid="{4BAA0301-84BF-4BC5-A2F9-8943AA46DFB1}"/>
    <cellStyle name="Normal 4 6 4 3" xfId="1294" xr:uid="{00000000-0005-0000-0000-000080160000}"/>
    <cellStyle name="Normal 4 6 4 3 2" xfId="3524" xr:uid="{00000000-0005-0000-0000-000081160000}"/>
    <cellStyle name="Normal 4 6 4 3 2 2" xfId="7747" xr:uid="{00000000-0005-0000-0000-000082160000}"/>
    <cellStyle name="Normal 4 6 4 3 2 2 2" xfId="16183" xr:uid="{3F054A70-B6B9-45F5-9941-248E7A2F69C2}"/>
    <cellStyle name="Normal 4 6 4 3 2 3" xfId="11965" xr:uid="{4626665C-AE87-4BEB-B9A4-3A586D4F1D65}"/>
    <cellStyle name="Normal 4 6 4 3 3" xfId="5602" xr:uid="{00000000-0005-0000-0000-000083160000}"/>
    <cellStyle name="Normal 4 6 4 3 3 2" xfId="14038" xr:uid="{EFC4B14C-6D60-4F0E-801C-9AC368223A9E}"/>
    <cellStyle name="Normal 4 6 4 3 4" xfId="9820" xr:uid="{9AE79825-3DAC-4D05-98E7-DF3CD05DCD79}"/>
    <cellStyle name="Normal 4 6 4 4" xfId="1707" xr:uid="{00000000-0005-0000-0000-000084160000}"/>
    <cellStyle name="Normal 4 6 4 4 2" xfId="3937" xr:uid="{00000000-0005-0000-0000-000085160000}"/>
    <cellStyle name="Normal 4 6 4 4 2 2" xfId="8160" xr:uid="{00000000-0005-0000-0000-000086160000}"/>
    <cellStyle name="Normal 4 6 4 4 2 2 2" xfId="16596" xr:uid="{CDC92AD8-51BA-40F6-B514-4619F6F1F601}"/>
    <cellStyle name="Normal 4 6 4 4 2 3" xfId="12378" xr:uid="{E0C9A525-F7AC-43E9-8733-D03AAA9EE39B}"/>
    <cellStyle name="Normal 4 6 4 4 3" xfId="6015" xr:uid="{00000000-0005-0000-0000-000087160000}"/>
    <cellStyle name="Normal 4 6 4 4 3 2" xfId="14451" xr:uid="{0151091E-4E44-4D90-92C6-8765D1A8239E}"/>
    <cellStyle name="Normal 4 6 4 4 4" xfId="10233" xr:uid="{E4BC7C01-EFA8-45FF-94F4-BEA93439A306}"/>
    <cellStyle name="Normal 4 6 4 5" xfId="2121" xr:uid="{00000000-0005-0000-0000-000088160000}"/>
    <cellStyle name="Normal 4 6 4 5 2" xfId="4350" xr:uid="{00000000-0005-0000-0000-000089160000}"/>
    <cellStyle name="Normal 4 6 4 5 2 2" xfId="8573" xr:uid="{00000000-0005-0000-0000-00008A160000}"/>
    <cellStyle name="Normal 4 6 4 5 2 2 2" xfId="17009" xr:uid="{D2AE9E49-E949-42AC-85E9-107CCD505D83}"/>
    <cellStyle name="Normal 4 6 4 5 2 3" xfId="12791" xr:uid="{206A26B7-D407-4990-84FE-0C7F2F802642}"/>
    <cellStyle name="Normal 4 6 4 5 3" xfId="6428" xr:uid="{00000000-0005-0000-0000-00008B160000}"/>
    <cellStyle name="Normal 4 6 4 5 3 2" xfId="14864" xr:uid="{23B6779D-EC41-4703-AC97-C1854655D8C2}"/>
    <cellStyle name="Normal 4 6 4 5 4" xfId="10646" xr:uid="{F69ADEF2-ACCA-42D3-8E22-EC1A1B0FD6CF}"/>
    <cellStyle name="Normal 4 6 4 6" xfId="2557" xr:uid="{00000000-0005-0000-0000-00008C160000}"/>
    <cellStyle name="Normal 4 6 4 6 2" xfId="6841" xr:uid="{00000000-0005-0000-0000-00008D160000}"/>
    <cellStyle name="Normal 4 6 4 6 2 2" xfId="15277" xr:uid="{78ACCDE8-CF82-4CC4-AE67-F1F4DC20A80E}"/>
    <cellStyle name="Normal 4 6 4 6 3" xfId="11059" xr:uid="{17D0D759-C2ED-4A06-A382-32E23F3E0B07}"/>
    <cellStyle name="Normal 4 6 4 7" xfId="4776" xr:uid="{00000000-0005-0000-0000-00008E160000}"/>
    <cellStyle name="Normal 4 6 4 7 2" xfId="13212" xr:uid="{3DE0C1C8-D32E-4790-81E7-8C3B77C70599}"/>
    <cellStyle name="Normal 4 6 4 8" xfId="8994" xr:uid="{F5069D31-2AAA-4840-95AF-6662B2062822}"/>
    <cellStyle name="Normal 4 6 5" xfId="869" xr:uid="{00000000-0005-0000-0000-00008F160000}"/>
    <cellStyle name="Normal 4 6 5 2" xfId="3104" xr:uid="{00000000-0005-0000-0000-000090160000}"/>
    <cellStyle name="Normal 4 6 5 2 2" xfId="7327" xr:uid="{00000000-0005-0000-0000-000091160000}"/>
    <cellStyle name="Normal 4 6 5 2 2 2" xfId="15763" xr:uid="{DB7ED1A5-8F8E-492A-BFC5-7821F8164987}"/>
    <cellStyle name="Normal 4 6 5 2 3" xfId="11545" xr:uid="{7D078FA8-7E40-44B5-A89E-C0E1FFF6C779}"/>
    <cellStyle name="Normal 4 6 5 3" xfId="5182" xr:uid="{00000000-0005-0000-0000-000092160000}"/>
    <cellStyle name="Normal 4 6 5 3 2" xfId="13618" xr:uid="{B88C56F8-42AD-4793-87E0-263FE100E97D}"/>
    <cellStyle name="Normal 4 6 5 4" xfId="9400" xr:uid="{E5EFD55D-C3FC-455E-9899-7F347B065009}"/>
    <cellStyle name="Normal 4 6 6" xfId="1287" xr:uid="{00000000-0005-0000-0000-000093160000}"/>
    <cellStyle name="Normal 4 6 6 2" xfId="3517" xr:uid="{00000000-0005-0000-0000-000094160000}"/>
    <cellStyle name="Normal 4 6 6 2 2" xfId="7740" xr:uid="{00000000-0005-0000-0000-000095160000}"/>
    <cellStyle name="Normal 4 6 6 2 2 2" xfId="16176" xr:uid="{A739D14F-BA38-4A00-B4A5-89A8EB87EA04}"/>
    <cellStyle name="Normal 4 6 6 2 3" xfId="11958" xr:uid="{979C151D-62C6-4849-A379-7A346C250287}"/>
    <cellStyle name="Normal 4 6 6 3" xfId="5595" xr:uid="{00000000-0005-0000-0000-000096160000}"/>
    <cellStyle name="Normal 4 6 6 3 2" xfId="14031" xr:uid="{1D64852A-99A7-4D10-AC4E-97E540545F0E}"/>
    <cellStyle name="Normal 4 6 6 4" xfId="9813" xr:uid="{52F147A3-1337-481E-832B-EE5FC03D3E5D}"/>
    <cellStyle name="Normal 4 6 7" xfId="1700" xr:uid="{00000000-0005-0000-0000-000097160000}"/>
    <cellStyle name="Normal 4 6 7 2" xfId="3930" xr:uid="{00000000-0005-0000-0000-000098160000}"/>
    <cellStyle name="Normal 4 6 7 2 2" xfId="8153" xr:uid="{00000000-0005-0000-0000-000099160000}"/>
    <cellStyle name="Normal 4 6 7 2 2 2" xfId="16589" xr:uid="{562C29FB-BB57-4ED6-8320-64C29DCBB0B8}"/>
    <cellStyle name="Normal 4 6 7 2 3" xfId="12371" xr:uid="{35A6CFC3-0574-4191-A8AE-1A2523872B0E}"/>
    <cellStyle name="Normal 4 6 7 3" xfId="6008" xr:uid="{00000000-0005-0000-0000-00009A160000}"/>
    <cellStyle name="Normal 4 6 7 3 2" xfId="14444" xr:uid="{E231FE25-9D70-4EAE-B5B2-3117FE9FB980}"/>
    <cellStyle name="Normal 4 6 7 4" xfId="10226" xr:uid="{417DC0AD-3B58-412E-836B-9E40646059A8}"/>
    <cellStyle name="Normal 4 6 8" xfId="2114" xr:uid="{00000000-0005-0000-0000-00009B160000}"/>
    <cellStyle name="Normal 4 6 8 2" xfId="4343" xr:uid="{00000000-0005-0000-0000-00009C160000}"/>
    <cellStyle name="Normal 4 6 8 2 2" xfId="8566" xr:uid="{00000000-0005-0000-0000-00009D160000}"/>
    <cellStyle name="Normal 4 6 8 2 2 2" xfId="17002" xr:uid="{731C4756-2FF4-4C69-B7B8-436BCE1F6EAB}"/>
    <cellStyle name="Normal 4 6 8 2 3" xfId="12784" xr:uid="{848DCA9B-179D-4CAC-89AB-135198035843}"/>
    <cellStyle name="Normal 4 6 8 3" xfId="6421" xr:uid="{00000000-0005-0000-0000-00009E160000}"/>
    <cellStyle name="Normal 4 6 8 3 2" xfId="14857" xr:uid="{4BBDE823-4B3D-46C9-A1FC-8D7D45FE074A}"/>
    <cellStyle name="Normal 4 6 8 4" xfId="10639" xr:uid="{51734B45-36BB-4F12-A4FC-156A85480603}"/>
    <cellStyle name="Normal 4 6 9" xfId="2550" xr:uid="{00000000-0005-0000-0000-00009F160000}"/>
    <cellStyle name="Normal 4 6 9 2" xfId="6834" xr:uid="{00000000-0005-0000-0000-0000A0160000}"/>
    <cellStyle name="Normal 4 6 9 2 2" xfId="15270" xr:uid="{63851C4E-9545-459D-AE64-4C750B473F8D}"/>
    <cellStyle name="Normal 4 6 9 3" xfId="11052" xr:uid="{90342005-06A1-4303-BDDC-8D38195850DF}"/>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2" xr:uid="{80D46EE0-57C4-460D-B0F9-B5FF8D888B54}"/>
    <cellStyle name="Normal 4 7 2 2 2 3" xfId="11554" xr:uid="{BCB6568C-1918-4F36-AEF8-F9D7BB1BC5C4}"/>
    <cellStyle name="Normal 4 7 2 2 3" xfId="5191" xr:uid="{00000000-0005-0000-0000-0000A6160000}"/>
    <cellStyle name="Normal 4 7 2 2 3 2" xfId="13627" xr:uid="{1361D036-504A-4E79-BE5C-27CB96AB80AB}"/>
    <cellStyle name="Normal 4 7 2 2 4" xfId="9409" xr:uid="{2E365188-30D1-4FF2-957F-4EA4E9B0F70D}"/>
    <cellStyle name="Normal 4 7 2 3" xfId="1296" xr:uid="{00000000-0005-0000-0000-0000A7160000}"/>
    <cellStyle name="Normal 4 7 2 3 2" xfId="3526" xr:uid="{00000000-0005-0000-0000-0000A8160000}"/>
    <cellStyle name="Normal 4 7 2 3 2 2" xfId="7749" xr:uid="{00000000-0005-0000-0000-0000A9160000}"/>
    <cellStyle name="Normal 4 7 2 3 2 2 2" xfId="16185" xr:uid="{4FDE1702-4CF8-40ED-A271-EBC777C47157}"/>
    <cellStyle name="Normal 4 7 2 3 2 3" xfId="11967" xr:uid="{BB1A3C60-7892-438A-86F0-CFC9C2C58DE1}"/>
    <cellStyle name="Normal 4 7 2 3 3" xfId="5604" xr:uid="{00000000-0005-0000-0000-0000AA160000}"/>
    <cellStyle name="Normal 4 7 2 3 3 2" xfId="14040" xr:uid="{11742B4A-6266-48A3-9E30-CEF4173144AF}"/>
    <cellStyle name="Normal 4 7 2 3 4" xfId="9822" xr:uid="{B98E709D-0A9F-40D5-81B6-CA16CD18FA6D}"/>
    <cellStyle name="Normal 4 7 2 4" xfId="1709" xr:uid="{00000000-0005-0000-0000-0000AB160000}"/>
    <cellStyle name="Normal 4 7 2 4 2" xfId="3939" xr:uid="{00000000-0005-0000-0000-0000AC160000}"/>
    <cellStyle name="Normal 4 7 2 4 2 2" xfId="8162" xr:uid="{00000000-0005-0000-0000-0000AD160000}"/>
    <cellStyle name="Normal 4 7 2 4 2 2 2" xfId="16598" xr:uid="{19D90198-CB0D-40C1-BC94-B3FEADD89F9C}"/>
    <cellStyle name="Normal 4 7 2 4 2 3" xfId="12380" xr:uid="{0BDD5EF1-D179-4421-9065-A6C9DB060535}"/>
    <cellStyle name="Normal 4 7 2 4 3" xfId="6017" xr:uid="{00000000-0005-0000-0000-0000AE160000}"/>
    <cellStyle name="Normal 4 7 2 4 3 2" xfId="14453" xr:uid="{80E2ED20-859E-460F-A086-4A193E8B2F8A}"/>
    <cellStyle name="Normal 4 7 2 4 4" xfId="10235" xr:uid="{FF5CCAA8-3229-4DFD-834C-05B608CABCDF}"/>
    <cellStyle name="Normal 4 7 2 5" xfId="2123" xr:uid="{00000000-0005-0000-0000-0000AF160000}"/>
    <cellStyle name="Normal 4 7 2 5 2" xfId="4352" xr:uid="{00000000-0005-0000-0000-0000B0160000}"/>
    <cellStyle name="Normal 4 7 2 5 2 2" xfId="8575" xr:uid="{00000000-0005-0000-0000-0000B1160000}"/>
    <cellStyle name="Normal 4 7 2 5 2 2 2" xfId="17011" xr:uid="{CA5C602A-E76B-486B-A9F8-E1D4D7546620}"/>
    <cellStyle name="Normal 4 7 2 5 2 3" xfId="12793" xr:uid="{204F0B3B-F7ED-431B-A6CC-CF259075568E}"/>
    <cellStyle name="Normal 4 7 2 5 3" xfId="6430" xr:uid="{00000000-0005-0000-0000-0000B2160000}"/>
    <cellStyle name="Normal 4 7 2 5 3 2" xfId="14866" xr:uid="{B694BA88-25F0-48D5-BAC2-707D764C4406}"/>
    <cellStyle name="Normal 4 7 2 5 4" xfId="10648" xr:uid="{4DBE890E-9BB1-4D30-A908-752C36EA4E9A}"/>
    <cellStyle name="Normal 4 7 2 6" xfId="2559" xr:uid="{00000000-0005-0000-0000-0000B3160000}"/>
    <cellStyle name="Normal 4 7 2 6 2" xfId="6843" xr:uid="{00000000-0005-0000-0000-0000B4160000}"/>
    <cellStyle name="Normal 4 7 2 6 2 2" xfId="15279" xr:uid="{B32F3378-E0DC-490D-9B71-E0449F34F836}"/>
    <cellStyle name="Normal 4 7 2 6 3" xfId="11061" xr:uid="{5802C619-82E1-4558-91BA-8B976457E3F8}"/>
    <cellStyle name="Normal 4 7 2 7" xfId="4778" xr:uid="{00000000-0005-0000-0000-0000B5160000}"/>
    <cellStyle name="Normal 4 7 2 7 2" xfId="13214" xr:uid="{8FA747D3-DD1A-469E-81E9-BD66978AE649}"/>
    <cellStyle name="Normal 4 7 2 8" xfId="8996" xr:uid="{C72A8587-8858-4BFA-A1E9-E2CBAA85EB4D}"/>
    <cellStyle name="Normal 4 7 3" xfId="877" xr:uid="{00000000-0005-0000-0000-0000B6160000}"/>
    <cellStyle name="Normal 4 7 3 2" xfId="3112" xr:uid="{00000000-0005-0000-0000-0000B7160000}"/>
    <cellStyle name="Normal 4 7 3 2 2" xfId="7335" xr:uid="{00000000-0005-0000-0000-0000B8160000}"/>
    <cellStyle name="Normal 4 7 3 2 2 2" xfId="15771" xr:uid="{53655E8F-0C62-48CA-803D-B5B0CFA8F81D}"/>
    <cellStyle name="Normal 4 7 3 2 3" xfId="11553" xr:uid="{3ABB493B-E731-45BF-81B7-6048AAA2B574}"/>
    <cellStyle name="Normal 4 7 3 3" xfId="5190" xr:uid="{00000000-0005-0000-0000-0000B9160000}"/>
    <cellStyle name="Normal 4 7 3 3 2" xfId="13626" xr:uid="{3238F145-EA4F-4707-888B-420C29DAE40F}"/>
    <cellStyle name="Normal 4 7 3 4" xfId="9408" xr:uid="{A18ACA7E-2D77-45D3-BB55-50D59205C64C}"/>
    <cellStyle name="Normal 4 7 4" xfId="1295" xr:uid="{00000000-0005-0000-0000-0000BA160000}"/>
    <cellStyle name="Normal 4 7 4 2" xfId="3525" xr:uid="{00000000-0005-0000-0000-0000BB160000}"/>
    <cellStyle name="Normal 4 7 4 2 2" xfId="7748" xr:uid="{00000000-0005-0000-0000-0000BC160000}"/>
    <cellStyle name="Normal 4 7 4 2 2 2" xfId="16184" xr:uid="{171CD8A3-0C19-4FCB-8E8D-D720B1FEFCA6}"/>
    <cellStyle name="Normal 4 7 4 2 3" xfId="11966" xr:uid="{0C54FD6E-119E-43BE-9E60-3279443BF6AC}"/>
    <cellStyle name="Normal 4 7 4 3" xfId="5603" xr:uid="{00000000-0005-0000-0000-0000BD160000}"/>
    <cellStyle name="Normal 4 7 4 3 2" xfId="14039" xr:uid="{88F06F87-C5DA-4BFE-801D-EA98C4A4C9A9}"/>
    <cellStyle name="Normal 4 7 4 4" xfId="9821" xr:uid="{AAA8124D-48E1-4778-B256-F732C5D04965}"/>
    <cellStyle name="Normal 4 7 5" xfId="1708" xr:uid="{00000000-0005-0000-0000-0000BE160000}"/>
    <cellStyle name="Normal 4 7 5 2" xfId="3938" xr:uid="{00000000-0005-0000-0000-0000BF160000}"/>
    <cellStyle name="Normal 4 7 5 2 2" xfId="8161" xr:uid="{00000000-0005-0000-0000-0000C0160000}"/>
    <cellStyle name="Normal 4 7 5 2 2 2" xfId="16597" xr:uid="{8513BA7F-FAA0-4E60-A839-EF5999160F48}"/>
    <cellStyle name="Normal 4 7 5 2 3" xfId="12379" xr:uid="{E94952D3-445E-4F0B-8AF3-6F095C0FC3D4}"/>
    <cellStyle name="Normal 4 7 5 3" xfId="6016" xr:uid="{00000000-0005-0000-0000-0000C1160000}"/>
    <cellStyle name="Normal 4 7 5 3 2" xfId="14452" xr:uid="{0119A070-A658-4D8F-A86B-07A1F0EC90DC}"/>
    <cellStyle name="Normal 4 7 5 4" xfId="10234" xr:uid="{D2F830FA-F61F-4BDE-AC9D-725906A0E96E}"/>
    <cellStyle name="Normal 4 7 6" xfId="2122" xr:uid="{00000000-0005-0000-0000-0000C2160000}"/>
    <cellStyle name="Normal 4 7 6 2" xfId="4351" xr:uid="{00000000-0005-0000-0000-0000C3160000}"/>
    <cellStyle name="Normal 4 7 6 2 2" xfId="8574" xr:uid="{00000000-0005-0000-0000-0000C4160000}"/>
    <cellStyle name="Normal 4 7 6 2 2 2" xfId="17010" xr:uid="{44CF7BD4-232A-4D09-B625-CB2A81A63ACF}"/>
    <cellStyle name="Normal 4 7 6 2 3" xfId="12792" xr:uid="{661BBF23-5435-4CD5-8AFB-15A3FE56506F}"/>
    <cellStyle name="Normal 4 7 6 3" xfId="6429" xr:uid="{00000000-0005-0000-0000-0000C5160000}"/>
    <cellStyle name="Normal 4 7 6 3 2" xfId="14865" xr:uid="{32285E71-8808-40D3-9DC9-280D96F622EE}"/>
    <cellStyle name="Normal 4 7 6 4" xfId="10647" xr:uid="{6CBE2902-184C-4161-8302-C62862A681E2}"/>
    <cellStyle name="Normal 4 7 7" xfId="2558" xr:uid="{00000000-0005-0000-0000-0000C6160000}"/>
    <cellStyle name="Normal 4 7 7 2" xfId="6842" xr:uid="{00000000-0005-0000-0000-0000C7160000}"/>
    <cellStyle name="Normal 4 7 7 2 2" xfId="15278" xr:uid="{39C490FD-D3A0-4C1C-BE54-70B3D445261F}"/>
    <cellStyle name="Normal 4 7 7 3" xfId="11060" xr:uid="{93B25199-B675-4AB4-B437-8D5043B7C46F}"/>
    <cellStyle name="Normal 4 7 8" xfId="4777" xr:uid="{00000000-0005-0000-0000-0000C8160000}"/>
    <cellStyle name="Normal 4 7 8 2" xfId="13213" xr:uid="{D70070B3-DB13-4B91-9203-2D2A15070884}"/>
    <cellStyle name="Normal 4 7 9" xfId="8995" xr:uid="{CBFE8D77-710E-4FA6-A54A-4702A334F462}"/>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3" xr:uid="{71E47606-0AA9-41E2-B93C-81A444F073F3}"/>
    <cellStyle name="Normal 4 8 2 2 3" xfId="11555" xr:uid="{B0E6C859-7474-4EC9-AE40-9F2E57714F75}"/>
    <cellStyle name="Normal 4 8 2 3" xfId="5192" xr:uid="{00000000-0005-0000-0000-0000CD160000}"/>
    <cellStyle name="Normal 4 8 2 3 2" xfId="13628" xr:uid="{5A96D6EC-5AFD-42E5-A0A9-84EDBCD5B445}"/>
    <cellStyle name="Normal 4 8 2 4" xfId="9410" xr:uid="{C8ACD080-401C-42F2-A60E-17464E98BCED}"/>
    <cellStyle name="Normal 4 8 3" xfId="1297" xr:uid="{00000000-0005-0000-0000-0000CE160000}"/>
    <cellStyle name="Normal 4 8 3 2" xfId="3527" xr:uid="{00000000-0005-0000-0000-0000CF160000}"/>
    <cellStyle name="Normal 4 8 3 2 2" xfId="7750" xr:uid="{00000000-0005-0000-0000-0000D0160000}"/>
    <cellStyle name="Normal 4 8 3 2 2 2" xfId="16186" xr:uid="{91D4AA4A-455F-4911-9F27-8ABE2E90791E}"/>
    <cellStyle name="Normal 4 8 3 2 3" xfId="11968" xr:uid="{82DBCE14-6D25-41F1-A216-CE273B29F793}"/>
    <cellStyle name="Normal 4 8 3 3" xfId="5605" xr:uid="{00000000-0005-0000-0000-0000D1160000}"/>
    <cellStyle name="Normal 4 8 3 3 2" xfId="14041" xr:uid="{05FA9458-5878-4C7B-A25D-AF7F692F1EC6}"/>
    <cellStyle name="Normal 4 8 3 4" xfId="9823" xr:uid="{FDB7921A-AA50-442E-A8AF-4F792FCF3C25}"/>
    <cellStyle name="Normal 4 8 4" xfId="1710" xr:uid="{00000000-0005-0000-0000-0000D2160000}"/>
    <cellStyle name="Normal 4 8 4 2" xfId="3940" xr:uid="{00000000-0005-0000-0000-0000D3160000}"/>
    <cellStyle name="Normal 4 8 4 2 2" xfId="8163" xr:uid="{00000000-0005-0000-0000-0000D4160000}"/>
    <cellStyle name="Normal 4 8 4 2 2 2" xfId="16599" xr:uid="{26E32426-E050-4B7B-8044-8EA40323BA3C}"/>
    <cellStyle name="Normal 4 8 4 2 3" xfId="12381" xr:uid="{C89931FE-104B-4B00-8417-1C08BE92ABB9}"/>
    <cellStyle name="Normal 4 8 4 3" xfId="6018" xr:uid="{00000000-0005-0000-0000-0000D5160000}"/>
    <cellStyle name="Normal 4 8 4 3 2" xfId="14454" xr:uid="{E86C0157-673D-423F-90DB-0C457F674A6A}"/>
    <cellStyle name="Normal 4 8 4 4" xfId="10236" xr:uid="{CB24336E-390C-40C1-883B-D6E002B641F2}"/>
    <cellStyle name="Normal 4 8 5" xfId="2124" xr:uid="{00000000-0005-0000-0000-0000D6160000}"/>
    <cellStyle name="Normal 4 8 5 2" xfId="4353" xr:uid="{00000000-0005-0000-0000-0000D7160000}"/>
    <cellStyle name="Normal 4 8 5 2 2" xfId="8576" xr:uid="{00000000-0005-0000-0000-0000D8160000}"/>
    <cellStyle name="Normal 4 8 5 2 2 2" xfId="17012" xr:uid="{87247105-32B2-4731-869A-F9F62336F74C}"/>
    <cellStyle name="Normal 4 8 5 2 3" xfId="12794" xr:uid="{F5DC1E59-FD2A-4BA6-84D0-B9CCD417F438}"/>
    <cellStyle name="Normal 4 8 5 3" xfId="6431" xr:uid="{00000000-0005-0000-0000-0000D9160000}"/>
    <cellStyle name="Normal 4 8 5 3 2" xfId="14867" xr:uid="{156AD3BE-3D34-427A-9855-59B7CCB03E94}"/>
    <cellStyle name="Normal 4 8 5 4" xfId="10649" xr:uid="{DA3D9C1E-8722-4725-81C7-46A920A95E38}"/>
    <cellStyle name="Normal 4 8 6" xfId="2560" xr:uid="{00000000-0005-0000-0000-0000DA160000}"/>
    <cellStyle name="Normal 4 8 6 2" xfId="6844" xr:uid="{00000000-0005-0000-0000-0000DB160000}"/>
    <cellStyle name="Normal 4 8 6 2 2" xfId="15280" xr:uid="{E9E90522-79DB-46A8-B7D1-31D9767EF99C}"/>
    <cellStyle name="Normal 4 8 6 3" xfId="11062" xr:uid="{485FBC25-90B9-4426-9275-1FD0BEF0A1CF}"/>
    <cellStyle name="Normal 4 8 7" xfId="4779" xr:uid="{00000000-0005-0000-0000-0000DC160000}"/>
    <cellStyle name="Normal 4 8 7 2" xfId="13215" xr:uid="{D3B3B188-EEED-455D-9157-9F2B9C104B30}"/>
    <cellStyle name="Normal 4 8 8" xfId="8997" xr:uid="{FBBE1B42-A98D-4A8C-A8D2-44E51F5BECF9}"/>
    <cellStyle name="Normal 4 9" xfId="4716" xr:uid="{00000000-0005-0000-0000-0000DD160000}"/>
    <cellStyle name="Normal 4 9 2" xfId="13152" xr:uid="{B88B8DD2-14F6-4FFA-8D2A-7C652437D30B}"/>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0" xr:uid="{3797594E-1445-42A6-A107-F44796F071B9}"/>
    <cellStyle name="Normal 5 10 2 3" xfId="12382" xr:uid="{EA2E4B11-CBBF-4777-B9D8-511836401794}"/>
    <cellStyle name="Normal 5 10 3" xfId="6019" xr:uid="{00000000-0005-0000-0000-0000E2160000}"/>
    <cellStyle name="Normal 5 10 3 2" xfId="14455" xr:uid="{75263343-71EC-4EBD-A621-F2723BFA7F08}"/>
    <cellStyle name="Normal 5 10 4" xfId="10237" xr:uid="{DBA2BFCA-7E48-4E46-849E-2C6B33A51236}"/>
    <cellStyle name="Normal 5 11" xfId="2125" xr:uid="{00000000-0005-0000-0000-0000E3160000}"/>
    <cellStyle name="Normal 5 11 2" xfId="4354" xr:uid="{00000000-0005-0000-0000-0000E4160000}"/>
    <cellStyle name="Normal 5 11 2 2" xfId="8577" xr:uid="{00000000-0005-0000-0000-0000E5160000}"/>
    <cellStyle name="Normal 5 11 2 2 2" xfId="17013" xr:uid="{04C3707C-158C-49C7-9EA2-CDFF6B3B8362}"/>
    <cellStyle name="Normal 5 11 2 3" xfId="12795" xr:uid="{CA797EC7-9C9A-4DC9-B2A6-C6DE7CC79DE9}"/>
    <cellStyle name="Normal 5 11 3" xfId="6432" xr:uid="{00000000-0005-0000-0000-0000E6160000}"/>
    <cellStyle name="Normal 5 11 3 2" xfId="14868" xr:uid="{06FDA141-BFC8-41D3-8F4A-C5B3C6AF440D}"/>
    <cellStyle name="Normal 5 11 4" xfId="10650" xr:uid="{B29CC03B-B7D8-4816-813D-44C379416FFD}"/>
    <cellStyle name="Normal 5 12" xfId="2561" xr:uid="{00000000-0005-0000-0000-0000E7160000}"/>
    <cellStyle name="Normal 5 12 2" xfId="6845" xr:uid="{00000000-0005-0000-0000-0000E8160000}"/>
    <cellStyle name="Normal 5 12 2 2" xfId="15281" xr:uid="{8677174C-4A27-4A0C-B56C-C14A7ECD3EA9}"/>
    <cellStyle name="Normal 5 12 3" xfId="11063" xr:uid="{916A3FE0-CF49-4650-874A-B861DF647AF6}"/>
    <cellStyle name="Normal 5 13" xfId="4780" xr:uid="{00000000-0005-0000-0000-0000E9160000}"/>
    <cellStyle name="Normal 5 13 2" xfId="13216" xr:uid="{1B3973BC-8E60-4063-8A5A-FBE5D914B401}"/>
    <cellStyle name="Normal 5 14" xfId="8998" xr:uid="{C343127C-A38E-4531-AADD-5170F95B9E39}"/>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4" xr:uid="{9E46B316-ECCF-4912-8513-9751A4A7C31F}"/>
    <cellStyle name="Normal 5 2 10 2 3" xfId="12796" xr:uid="{7C6E4D31-4473-4121-AB9A-AB9FF7B616AC}"/>
    <cellStyle name="Normal 5 2 10 3" xfId="6433" xr:uid="{00000000-0005-0000-0000-0000EE160000}"/>
    <cellStyle name="Normal 5 2 10 3 2" xfId="14869" xr:uid="{3347169F-8723-4CCC-8BBF-004C218E8655}"/>
    <cellStyle name="Normal 5 2 10 4" xfId="10651" xr:uid="{A9B6CCFD-1BDE-46A6-A902-B2825C581EBE}"/>
    <cellStyle name="Normal 5 2 11" xfId="2562" xr:uid="{00000000-0005-0000-0000-0000EF160000}"/>
    <cellStyle name="Normal 5 2 11 2" xfId="6846" xr:uid="{00000000-0005-0000-0000-0000F0160000}"/>
    <cellStyle name="Normal 5 2 11 2 2" xfId="15282" xr:uid="{402914C0-7AFF-4C98-BE6B-EE9B9B2D0873}"/>
    <cellStyle name="Normal 5 2 11 3" xfId="11064" xr:uid="{4437D0CE-E9EB-4EB4-B23C-1387AD36B12A}"/>
    <cellStyle name="Normal 5 2 12" xfId="4781" xr:uid="{00000000-0005-0000-0000-0000F1160000}"/>
    <cellStyle name="Normal 5 2 12 2" xfId="13217" xr:uid="{22ECDBFD-8DC4-42E7-AF14-A43246FABCE7}"/>
    <cellStyle name="Normal 5 2 13" xfId="8999" xr:uid="{62B16841-77D4-411D-AF3F-4C9F346341B3}"/>
    <cellStyle name="Normal 5 2 2" xfId="408" xr:uid="{00000000-0005-0000-0000-0000F2160000}"/>
    <cellStyle name="Normal 5 2 2 10" xfId="2563" xr:uid="{00000000-0005-0000-0000-0000F3160000}"/>
    <cellStyle name="Normal 5 2 2 10 2" xfId="6847" xr:uid="{00000000-0005-0000-0000-0000F4160000}"/>
    <cellStyle name="Normal 5 2 2 10 2 2" xfId="15283" xr:uid="{CB06303C-DACE-42DC-A458-6BA2127B6776}"/>
    <cellStyle name="Normal 5 2 2 10 3" xfId="11065" xr:uid="{4AD18BFC-F31E-4462-A2F4-4FE632AAB0C2}"/>
    <cellStyle name="Normal 5 2 2 11" xfId="4782" xr:uid="{00000000-0005-0000-0000-0000F5160000}"/>
    <cellStyle name="Normal 5 2 2 11 2" xfId="13218" xr:uid="{005FB650-835E-4ACE-9BE8-D7CDF45DAA55}"/>
    <cellStyle name="Normal 5 2 2 12" xfId="9000" xr:uid="{F32E5B1E-218D-49CD-B40F-6D14D76E9FFA}"/>
    <cellStyle name="Normal 5 2 2 2" xfId="409" xr:uid="{00000000-0005-0000-0000-0000F6160000}"/>
    <cellStyle name="Normal 5 2 2 2 10" xfId="4783" xr:uid="{00000000-0005-0000-0000-0000F7160000}"/>
    <cellStyle name="Normal 5 2 2 2 10 2" xfId="13219" xr:uid="{9B35747D-F189-47EA-BB8A-8BACE2D527F3}"/>
    <cellStyle name="Normal 5 2 2 2 11" xfId="9001" xr:uid="{5F1C730A-D09B-4791-8484-2B1A1A0032D0}"/>
    <cellStyle name="Normal 5 2 2 2 2" xfId="410" xr:uid="{00000000-0005-0000-0000-0000F8160000}"/>
    <cellStyle name="Normal 5 2 2 2 2 10" xfId="9002" xr:uid="{00828762-B421-4D19-BD54-26EE028E60D4}"/>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0" xr:uid="{4191C822-5132-4366-A6B8-7BBF3EDB416C}"/>
    <cellStyle name="Normal 5 2 2 2 2 2 2 2 2 3" xfId="11562" xr:uid="{6DB07F4E-DFDD-4505-9378-27B2AF30C729}"/>
    <cellStyle name="Normal 5 2 2 2 2 2 2 2 3" xfId="5199" xr:uid="{00000000-0005-0000-0000-0000FE160000}"/>
    <cellStyle name="Normal 5 2 2 2 2 2 2 2 3 2" xfId="13635" xr:uid="{AE527108-1FD1-46E4-9749-DA31073FC806}"/>
    <cellStyle name="Normal 5 2 2 2 2 2 2 2 4" xfId="9417" xr:uid="{025BB71A-4D41-4590-A122-3DD09BCBCCDC}"/>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3" xr:uid="{ADD0264C-9FCA-4350-BED9-645A52269A02}"/>
    <cellStyle name="Normal 5 2 2 2 2 2 2 3 2 3" xfId="11975" xr:uid="{FAD1315C-7879-40A0-B366-B83F16542564}"/>
    <cellStyle name="Normal 5 2 2 2 2 2 2 3 3" xfId="5612" xr:uid="{00000000-0005-0000-0000-000002170000}"/>
    <cellStyle name="Normal 5 2 2 2 2 2 2 3 3 2" xfId="14048" xr:uid="{1A99361D-6329-490A-A312-DE70CEB5566D}"/>
    <cellStyle name="Normal 5 2 2 2 2 2 2 3 4" xfId="9830" xr:uid="{32B14CFC-FDB5-4547-A49C-18EF26D14EF4}"/>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6" xr:uid="{6BA520ED-CBE3-4F03-B236-ED5411660B09}"/>
    <cellStyle name="Normal 5 2 2 2 2 2 2 4 2 3" xfId="12388" xr:uid="{5D068866-A040-4815-84A0-F14CAD950F2B}"/>
    <cellStyle name="Normal 5 2 2 2 2 2 2 4 3" xfId="6025" xr:uid="{00000000-0005-0000-0000-000006170000}"/>
    <cellStyle name="Normal 5 2 2 2 2 2 2 4 3 2" xfId="14461" xr:uid="{40612B20-035F-42FC-8C95-E0166D8A8E47}"/>
    <cellStyle name="Normal 5 2 2 2 2 2 2 4 4" xfId="10243" xr:uid="{736E667E-96B3-43F4-BB4C-E803D0DB092B}"/>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19" xr:uid="{63F58E14-C08D-40CF-959E-A369477F26BA}"/>
    <cellStyle name="Normal 5 2 2 2 2 2 2 5 2 3" xfId="12801" xr:uid="{C1D23935-987A-405D-B100-23AAE181FDE4}"/>
    <cellStyle name="Normal 5 2 2 2 2 2 2 5 3" xfId="6438" xr:uid="{00000000-0005-0000-0000-00000A170000}"/>
    <cellStyle name="Normal 5 2 2 2 2 2 2 5 3 2" xfId="14874" xr:uid="{44316CE2-A694-49BF-B2F0-BAA935A977D2}"/>
    <cellStyle name="Normal 5 2 2 2 2 2 2 5 4" xfId="10656" xr:uid="{4248F433-65D2-4B24-B097-C9008791CBFE}"/>
    <cellStyle name="Normal 5 2 2 2 2 2 2 6" xfId="2567" xr:uid="{00000000-0005-0000-0000-00000B170000}"/>
    <cellStyle name="Normal 5 2 2 2 2 2 2 6 2" xfId="6851" xr:uid="{00000000-0005-0000-0000-00000C170000}"/>
    <cellStyle name="Normal 5 2 2 2 2 2 2 6 2 2" xfId="15287" xr:uid="{E9DF63CB-677A-4F25-A6F6-25A4E4894555}"/>
    <cellStyle name="Normal 5 2 2 2 2 2 2 6 3" xfId="11069" xr:uid="{644F499E-6165-491D-A1CF-FF2F8D273DE0}"/>
    <cellStyle name="Normal 5 2 2 2 2 2 2 7" xfId="4786" xr:uid="{00000000-0005-0000-0000-00000D170000}"/>
    <cellStyle name="Normal 5 2 2 2 2 2 2 7 2" xfId="13222" xr:uid="{4CD36801-E77D-4A0F-96EF-D5BDAC2DE1C5}"/>
    <cellStyle name="Normal 5 2 2 2 2 2 2 8" xfId="9004" xr:uid="{6BC99EB1-43C6-4371-A6E0-1F0CC875C91C}"/>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79" xr:uid="{5DCE3F47-5D7D-4791-BEC8-A4FF1CE57607}"/>
    <cellStyle name="Normal 5 2 2 2 2 2 3 2 3" xfId="11561" xr:uid="{A0357715-990C-4D97-9FF3-517A173157B7}"/>
    <cellStyle name="Normal 5 2 2 2 2 2 3 3" xfId="5198" xr:uid="{00000000-0005-0000-0000-000011170000}"/>
    <cellStyle name="Normal 5 2 2 2 2 2 3 3 2" xfId="13634" xr:uid="{928B9948-E32A-4CBC-ABB3-280558E9F632}"/>
    <cellStyle name="Normal 5 2 2 2 2 2 3 4" xfId="9416" xr:uid="{44BF1309-1481-4D6C-9A98-091916FF9E3E}"/>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2" xr:uid="{D0CCD41B-459C-4862-A52F-7BCE92264251}"/>
    <cellStyle name="Normal 5 2 2 2 2 2 4 2 3" xfId="11974" xr:uid="{3EF5E3A7-DB0A-43AF-B38B-441E54D5AC1F}"/>
    <cellStyle name="Normal 5 2 2 2 2 2 4 3" xfId="5611" xr:uid="{00000000-0005-0000-0000-000015170000}"/>
    <cellStyle name="Normal 5 2 2 2 2 2 4 3 2" xfId="14047" xr:uid="{EBBFE24A-ACEE-4998-9419-1C3475ABFAAC}"/>
    <cellStyle name="Normal 5 2 2 2 2 2 4 4" xfId="9829" xr:uid="{9070CEC5-C867-4937-B3D8-5E4AE8CCE466}"/>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5" xr:uid="{89FACEE3-C4E1-4953-AD73-5DF6A4725938}"/>
    <cellStyle name="Normal 5 2 2 2 2 2 5 2 3" xfId="12387" xr:uid="{0CFBEFFC-AD92-410F-821D-A6C13ED17F12}"/>
    <cellStyle name="Normal 5 2 2 2 2 2 5 3" xfId="6024" xr:uid="{00000000-0005-0000-0000-000019170000}"/>
    <cellStyle name="Normal 5 2 2 2 2 2 5 3 2" xfId="14460" xr:uid="{529D437E-998B-4FB7-A8B8-E572313A3888}"/>
    <cellStyle name="Normal 5 2 2 2 2 2 5 4" xfId="10242" xr:uid="{BFB7471E-D94C-4E66-823F-FD57132B923C}"/>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18" xr:uid="{603FE249-D397-4AB3-9726-F9C67534355C}"/>
    <cellStyle name="Normal 5 2 2 2 2 2 6 2 3" xfId="12800" xr:uid="{15515C4B-6A27-4C15-9156-24C0E3CEEB82}"/>
    <cellStyle name="Normal 5 2 2 2 2 2 6 3" xfId="6437" xr:uid="{00000000-0005-0000-0000-00001D170000}"/>
    <cellStyle name="Normal 5 2 2 2 2 2 6 3 2" xfId="14873" xr:uid="{7EDC49C1-7DF1-4AB4-A562-1603BE5F990C}"/>
    <cellStyle name="Normal 5 2 2 2 2 2 6 4" xfId="10655" xr:uid="{C14D19F9-67D4-4C70-AD17-5393D059229E}"/>
    <cellStyle name="Normal 5 2 2 2 2 2 7" xfId="2566" xr:uid="{00000000-0005-0000-0000-00001E170000}"/>
    <cellStyle name="Normal 5 2 2 2 2 2 7 2" xfId="6850" xr:uid="{00000000-0005-0000-0000-00001F170000}"/>
    <cellStyle name="Normal 5 2 2 2 2 2 7 2 2" xfId="15286" xr:uid="{DB69E0E2-3540-476D-B066-425252940452}"/>
    <cellStyle name="Normal 5 2 2 2 2 2 7 3" xfId="11068" xr:uid="{5395CE69-D847-494D-A082-778854BF4C89}"/>
    <cellStyle name="Normal 5 2 2 2 2 2 8" xfId="4785" xr:uid="{00000000-0005-0000-0000-000020170000}"/>
    <cellStyle name="Normal 5 2 2 2 2 2 8 2" xfId="13221" xr:uid="{60E4D1B3-E3F0-4D68-943C-6F91F370C3D8}"/>
    <cellStyle name="Normal 5 2 2 2 2 2 9" xfId="9003" xr:uid="{8FEA38A1-06BB-43A3-8234-595BC06A289D}"/>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1" xr:uid="{6BD82253-8197-4C73-99F4-E2690E103B57}"/>
    <cellStyle name="Normal 5 2 2 2 2 3 2 2 3" xfId="11563" xr:uid="{8D293B7C-33B3-4C33-8420-F974F19B8D7C}"/>
    <cellStyle name="Normal 5 2 2 2 2 3 2 3" xfId="5200" xr:uid="{00000000-0005-0000-0000-000025170000}"/>
    <cellStyle name="Normal 5 2 2 2 2 3 2 3 2" xfId="13636" xr:uid="{5DB89757-1015-499E-9157-5E6B15FB85A3}"/>
    <cellStyle name="Normal 5 2 2 2 2 3 2 4" xfId="9418" xr:uid="{7F0ACF3F-56AB-4FDF-BA6B-D0435B3BDB63}"/>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4" xr:uid="{0F72E72A-A598-4980-8DC0-B851930D117C}"/>
    <cellStyle name="Normal 5 2 2 2 2 3 3 2 3" xfId="11976" xr:uid="{F00D6EFB-E1A8-4E62-A259-0F9DB2398D51}"/>
    <cellStyle name="Normal 5 2 2 2 2 3 3 3" xfId="5613" xr:uid="{00000000-0005-0000-0000-000029170000}"/>
    <cellStyle name="Normal 5 2 2 2 2 3 3 3 2" xfId="14049" xr:uid="{61FB1B4C-E320-4CCD-9237-335892005A0C}"/>
    <cellStyle name="Normal 5 2 2 2 2 3 3 4" xfId="9831" xr:uid="{5F8CCD85-C28F-4C0B-A36F-59DE85F1E7FB}"/>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07" xr:uid="{33DD19A7-C4C0-4215-BD27-21DA4C59D10D}"/>
    <cellStyle name="Normal 5 2 2 2 2 3 4 2 3" xfId="12389" xr:uid="{0D08BEA2-0E07-4435-A8F8-1CAC0537213C}"/>
    <cellStyle name="Normal 5 2 2 2 2 3 4 3" xfId="6026" xr:uid="{00000000-0005-0000-0000-00002D170000}"/>
    <cellStyle name="Normal 5 2 2 2 2 3 4 3 2" xfId="14462" xr:uid="{C199BF83-62DD-41FA-8343-5C461CFE9B24}"/>
    <cellStyle name="Normal 5 2 2 2 2 3 4 4" xfId="10244" xr:uid="{C2B97800-36D9-499C-8BE4-510929C9B9B4}"/>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0" xr:uid="{FFDF1AAC-10AD-4E2A-9D78-F30EB37A8BE5}"/>
    <cellStyle name="Normal 5 2 2 2 2 3 5 2 3" xfId="12802" xr:uid="{387FF3F1-EF33-4361-9FAF-94DB5E0FA469}"/>
    <cellStyle name="Normal 5 2 2 2 2 3 5 3" xfId="6439" xr:uid="{00000000-0005-0000-0000-000031170000}"/>
    <cellStyle name="Normal 5 2 2 2 2 3 5 3 2" xfId="14875" xr:uid="{A5D351D3-133C-4F93-A5F2-A1320702427A}"/>
    <cellStyle name="Normal 5 2 2 2 2 3 5 4" xfId="10657" xr:uid="{1B040AB1-4595-4D18-AC4D-32AAAEAD94EC}"/>
    <cellStyle name="Normal 5 2 2 2 2 3 6" xfId="2568" xr:uid="{00000000-0005-0000-0000-000032170000}"/>
    <cellStyle name="Normal 5 2 2 2 2 3 6 2" xfId="6852" xr:uid="{00000000-0005-0000-0000-000033170000}"/>
    <cellStyle name="Normal 5 2 2 2 2 3 6 2 2" xfId="15288" xr:uid="{81433A44-2878-4D69-9606-3288BFAAD8A4}"/>
    <cellStyle name="Normal 5 2 2 2 2 3 6 3" xfId="11070" xr:uid="{C3D1A548-9AD6-4BDB-BE6D-9ABE1F4871B5}"/>
    <cellStyle name="Normal 5 2 2 2 2 3 7" xfId="4787" xr:uid="{00000000-0005-0000-0000-000034170000}"/>
    <cellStyle name="Normal 5 2 2 2 2 3 7 2" xfId="13223" xr:uid="{29ED03D5-B154-4A93-BA71-3BED0B343433}"/>
    <cellStyle name="Normal 5 2 2 2 2 3 8" xfId="9005" xr:uid="{6D3830DE-E378-49E5-9E96-C8971FDEDDB3}"/>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78" xr:uid="{2E728252-8518-423F-A28C-BEDA8D321050}"/>
    <cellStyle name="Normal 5 2 2 2 2 4 2 3" xfId="11560" xr:uid="{B8B1A6F3-A27A-4BA7-9C69-75FBE9F814CE}"/>
    <cellStyle name="Normal 5 2 2 2 2 4 3" xfId="5197" xr:uid="{00000000-0005-0000-0000-000038170000}"/>
    <cellStyle name="Normal 5 2 2 2 2 4 3 2" xfId="13633" xr:uid="{66BC08D2-0A50-4437-AD7F-E7F7A48D2C08}"/>
    <cellStyle name="Normal 5 2 2 2 2 4 4" xfId="9415" xr:uid="{554AC15B-C309-4671-B1BB-AA6D84C13783}"/>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1" xr:uid="{B112588B-063D-4A31-8678-347131C00BC1}"/>
    <cellStyle name="Normal 5 2 2 2 2 5 2 3" xfId="11973" xr:uid="{C1583083-F013-48FB-984F-DA0F75E5B08C}"/>
    <cellStyle name="Normal 5 2 2 2 2 5 3" xfId="5610" xr:uid="{00000000-0005-0000-0000-00003C170000}"/>
    <cellStyle name="Normal 5 2 2 2 2 5 3 2" xfId="14046" xr:uid="{EFFFB508-8BD3-430C-97ED-D9B68F56B84C}"/>
    <cellStyle name="Normal 5 2 2 2 2 5 4" xfId="9828" xr:uid="{BBFEF85F-DDB2-40EB-943C-1A5C10D67573}"/>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4" xr:uid="{07A14D50-156F-4697-B297-00E4C40EE310}"/>
    <cellStyle name="Normal 5 2 2 2 2 6 2 3" xfId="12386" xr:uid="{672F45F6-FB36-4837-899F-DBF9873A4633}"/>
    <cellStyle name="Normal 5 2 2 2 2 6 3" xfId="6023" xr:uid="{00000000-0005-0000-0000-000040170000}"/>
    <cellStyle name="Normal 5 2 2 2 2 6 3 2" xfId="14459" xr:uid="{D010F718-635C-4A08-B29A-FA01E9520977}"/>
    <cellStyle name="Normal 5 2 2 2 2 6 4" xfId="10241" xr:uid="{12C69D4D-984C-4AA8-8D5E-F1AABDEC165B}"/>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17" xr:uid="{626A7EA8-5D09-408A-8CFC-FCE2DC617287}"/>
    <cellStyle name="Normal 5 2 2 2 2 7 2 3" xfId="12799" xr:uid="{50AB0EAD-4FA9-41C5-AE1F-0A9EDDE275F8}"/>
    <cellStyle name="Normal 5 2 2 2 2 7 3" xfId="6436" xr:uid="{00000000-0005-0000-0000-000044170000}"/>
    <cellStyle name="Normal 5 2 2 2 2 7 3 2" xfId="14872" xr:uid="{0483257E-032B-454A-9289-140A38B9E4D1}"/>
    <cellStyle name="Normal 5 2 2 2 2 7 4" xfId="10654" xr:uid="{D89AEAB6-23A4-4859-8539-A122F968E11B}"/>
    <cellStyle name="Normal 5 2 2 2 2 8" xfId="2565" xr:uid="{00000000-0005-0000-0000-000045170000}"/>
    <cellStyle name="Normal 5 2 2 2 2 8 2" xfId="6849" xr:uid="{00000000-0005-0000-0000-000046170000}"/>
    <cellStyle name="Normal 5 2 2 2 2 8 2 2" xfId="15285" xr:uid="{99C71C10-A4D4-4C74-90F3-1CEFCB1BB00A}"/>
    <cellStyle name="Normal 5 2 2 2 2 8 3" xfId="11067" xr:uid="{832C0279-CE34-40FE-A07F-FF22BA1E9C19}"/>
    <cellStyle name="Normal 5 2 2 2 2 9" xfId="4784" xr:uid="{00000000-0005-0000-0000-000047170000}"/>
    <cellStyle name="Normal 5 2 2 2 2 9 2" xfId="13220" xr:uid="{B5B60B4A-CFDB-4D8F-9B01-4AD83A794DEC}"/>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3" xr:uid="{05A55962-5850-4E6F-B420-DE217CAF5EFE}"/>
    <cellStyle name="Normal 5 2 2 2 3 2 2 2 3" xfId="11565" xr:uid="{34E384C1-CA3B-42A8-B10F-46A935558793}"/>
    <cellStyle name="Normal 5 2 2 2 3 2 2 3" xfId="5202" xr:uid="{00000000-0005-0000-0000-00004D170000}"/>
    <cellStyle name="Normal 5 2 2 2 3 2 2 3 2" xfId="13638" xr:uid="{9CB4B7FA-34DB-49B7-BFC3-FDB337A302E0}"/>
    <cellStyle name="Normal 5 2 2 2 3 2 2 4" xfId="9420" xr:uid="{9E0FCF99-66DC-4FF2-B4FF-2D198CCDBECE}"/>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6" xr:uid="{7B7E3502-4B93-47AE-86F5-BF8D45EB3E8B}"/>
    <cellStyle name="Normal 5 2 2 2 3 2 3 2 3" xfId="11978" xr:uid="{1F291E43-9283-45B7-998D-1CE6AC1CE071}"/>
    <cellStyle name="Normal 5 2 2 2 3 2 3 3" xfId="5615" xr:uid="{00000000-0005-0000-0000-000051170000}"/>
    <cellStyle name="Normal 5 2 2 2 3 2 3 3 2" xfId="14051" xr:uid="{9D27C5DB-5E60-4DF9-9435-6C35D55089A8}"/>
    <cellStyle name="Normal 5 2 2 2 3 2 3 4" xfId="9833" xr:uid="{28548489-8E59-4106-913C-6279CC0A5FE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09" xr:uid="{58B633E1-1618-43C0-95E7-E0B760E1EA6D}"/>
    <cellStyle name="Normal 5 2 2 2 3 2 4 2 3" xfId="12391" xr:uid="{DC782FF3-AD98-4E27-8F13-1EE51E9C1410}"/>
    <cellStyle name="Normal 5 2 2 2 3 2 4 3" xfId="6028" xr:uid="{00000000-0005-0000-0000-000055170000}"/>
    <cellStyle name="Normal 5 2 2 2 3 2 4 3 2" xfId="14464" xr:uid="{AF12E821-CB72-4378-A32F-AB094A1D5F57}"/>
    <cellStyle name="Normal 5 2 2 2 3 2 4 4" xfId="10246" xr:uid="{55BA0692-2DFF-4628-8815-701CD6AD16F5}"/>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2" xr:uid="{08D7A4DF-90A8-41C8-A239-4C4351BEABEE}"/>
    <cellStyle name="Normal 5 2 2 2 3 2 5 2 3" xfId="12804" xr:uid="{7CE0E96B-A7E7-47C0-BC8C-ADA97CD49FA9}"/>
    <cellStyle name="Normal 5 2 2 2 3 2 5 3" xfId="6441" xr:uid="{00000000-0005-0000-0000-000059170000}"/>
    <cellStyle name="Normal 5 2 2 2 3 2 5 3 2" xfId="14877" xr:uid="{55DB28BD-F367-4CD5-B051-DAC1261C8C20}"/>
    <cellStyle name="Normal 5 2 2 2 3 2 5 4" xfId="10659" xr:uid="{FE6C69E9-5F1D-4EF1-B328-3A2640E8949C}"/>
    <cellStyle name="Normal 5 2 2 2 3 2 6" xfId="2570" xr:uid="{00000000-0005-0000-0000-00005A170000}"/>
    <cellStyle name="Normal 5 2 2 2 3 2 6 2" xfId="6854" xr:uid="{00000000-0005-0000-0000-00005B170000}"/>
    <cellStyle name="Normal 5 2 2 2 3 2 6 2 2" xfId="15290" xr:uid="{AAA19759-E5E0-475F-9A99-E77B29ADCE35}"/>
    <cellStyle name="Normal 5 2 2 2 3 2 6 3" xfId="11072" xr:uid="{38165A78-BFB3-4DC6-B118-F931FBB24252}"/>
    <cellStyle name="Normal 5 2 2 2 3 2 7" xfId="4789" xr:uid="{00000000-0005-0000-0000-00005C170000}"/>
    <cellStyle name="Normal 5 2 2 2 3 2 7 2" xfId="13225" xr:uid="{FE23264B-D3E9-4E25-96BE-896C04C857C8}"/>
    <cellStyle name="Normal 5 2 2 2 3 2 8" xfId="9007" xr:uid="{33FCD408-4F08-4406-9C81-FFE7AC9511EA}"/>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2" xr:uid="{7FB78AE2-A1D7-475A-85ED-FCEA2795589F}"/>
    <cellStyle name="Normal 5 2 2 2 3 3 2 3" xfId="11564" xr:uid="{C80270B7-77D0-4E71-8199-4573B6D47651}"/>
    <cellStyle name="Normal 5 2 2 2 3 3 3" xfId="5201" xr:uid="{00000000-0005-0000-0000-000060170000}"/>
    <cellStyle name="Normal 5 2 2 2 3 3 3 2" xfId="13637" xr:uid="{AB77211D-7139-4890-A67D-DB21B766A307}"/>
    <cellStyle name="Normal 5 2 2 2 3 3 4" xfId="9419" xr:uid="{C793D430-9CAF-4CDE-BE3F-0A8B3602F76D}"/>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5" xr:uid="{7A8C3113-4755-4E7D-897C-E70B80F660F9}"/>
    <cellStyle name="Normal 5 2 2 2 3 4 2 3" xfId="11977" xr:uid="{47C7E501-CB56-4F12-9DB1-1978714B8938}"/>
    <cellStyle name="Normal 5 2 2 2 3 4 3" xfId="5614" xr:uid="{00000000-0005-0000-0000-000064170000}"/>
    <cellStyle name="Normal 5 2 2 2 3 4 3 2" xfId="14050" xr:uid="{B98481FE-DB55-42BB-94FE-D3DD60D3048F}"/>
    <cellStyle name="Normal 5 2 2 2 3 4 4" xfId="9832" xr:uid="{0F1EA262-4AC6-4DD6-B79D-F93C18677B1E}"/>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08" xr:uid="{547C9C08-43B8-43B5-9FF3-25416D7AC60C}"/>
    <cellStyle name="Normal 5 2 2 2 3 5 2 3" xfId="12390" xr:uid="{3BF32DFD-82B7-4277-9A0B-28567B98A121}"/>
    <cellStyle name="Normal 5 2 2 2 3 5 3" xfId="6027" xr:uid="{00000000-0005-0000-0000-000068170000}"/>
    <cellStyle name="Normal 5 2 2 2 3 5 3 2" xfId="14463" xr:uid="{6564BE63-5215-4A4E-9BE5-C4115CA7F023}"/>
    <cellStyle name="Normal 5 2 2 2 3 5 4" xfId="10245" xr:uid="{42DDC106-ADE9-4F30-95B7-95E845E7227F}"/>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1" xr:uid="{C7A5F60E-9C97-426E-9ECC-FB87C7453E7D}"/>
    <cellStyle name="Normal 5 2 2 2 3 6 2 3" xfId="12803" xr:uid="{31D9FA45-FD49-4751-9172-225C22492A45}"/>
    <cellStyle name="Normal 5 2 2 2 3 6 3" xfId="6440" xr:uid="{00000000-0005-0000-0000-00006C170000}"/>
    <cellStyle name="Normal 5 2 2 2 3 6 3 2" xfId="14876" xr:uid="{ABB43BC6-D896-4C6A-934F-001C52522B8B}"/>
    <cellStyle name="Normal 5 2 2 2 3 6 4" xfId="10658" xr:uid="{F1158087-D85B-4E72-870A-3AA70A601374}"/>
    <cellStyle name="Normal 5 2 2 2 3 7" xfId="2569" xr:uid="{00000000-0005-0000-0000-00006D170000}"/>
    <cellStyle name="Normal 5 2 2 2 3 7 2" xfId="6853" xr:uid="{00000000-0005-0000-0000-00006E170000}"/>
    <cellStyle name="Normal 5 2 2 2 3 7 2 2" xfId="15289" xr:uid="{9321EF6F-DEE2-4208-B4B6-7F7333219667}"/>
    <cellStyle name="Normal 5 2 2 2 3 7 3" xfId="11071" xr:uid="{DF03F4EC-67E3-40AC-A66C-F9AA114AB131}"/>
    <cellStyle name="Normal 5 2 2 2 3 8" xfId="4788" xr:uid="{00000000-0005-0000-0000-00006F170000}"/>
    <cellStyle name="Normal 5 2 2 2 3 8 2" xfId="13224" xr:uid="{A98D81D5-C74B-4525-8D6C-E9378F07E692}"/>
    <cellStyle name="Normal 5 2 2 2 3 9" xfId="9006" xr:uid="{8A05CB54-A21A-475F-BAD6-AE1A7E987667}"/>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4" xr:uid="{7DED062E-8F6E-4931-87D3-4D7FFE1B0547}"/>
    <cellStyle name="Normal 5 2 2 2 4 2 2 3" xfId="11566" xr:uid="{B20D0D83-1412-4D52-B969-317649D1934C}"/>
    <cellStyle name="Normal 5 2 2 2 4 2 3" xfId="5203" xr:uid="{00000000-0005-0000-0000-000074170000}"/>
    <cellStyle name="Normal 5 2 2 2 4 2 3 2" xfId="13639" xr:uid="{E9D74D26-B6A6-4021-9BAB-3E8B0143DE1D}"/>
    <cellStyle name="Normal 5 2 2 2 4 2 4" xfId="9421" xr:uid="{BBE337CC-DA60-4A41-9CE0-B7FC57D5C42A}"/>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197" xr:uid="{1082409F-D360-4130-B9C6-B94F66B3632E}"/>
    <cellStyle name="Normal 5 2 2 2 4 3 2 3" xfId="11979" xr:uid="{EA3816BF-DCBA-42B0-9EA9-580FBE328CF2}"/>
    <cellStyle name="Normal 5 2 2 2 4 3 3" xfId="5616" xr:uid="{00000000-0005-0000-0000-000078170000}"/>
    <cellStyle name="Normal 5 2 2 2 4 3 3 2" xfId="14052" xr:uid="{489220FB-353C-463B-A762-29205FB3CB44}"/>
    <cellStyle name="Normal 5 2 2 2 4 3 4" xfId="9834" xr:uid="{ADAF4B4D-971F-4644-8B78-FF9C9B51B519}"/>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0" xr:uid="{F1464B3E-8FFB-4ABD-80C2-1F581A3DF660}"/>
    <cellStyle name="Normal 5 2 2 2 4 4 2 3" xfId="12392" xr:uid="{6C6E91CE-ECF5-4419-8BEB-B752A15C3073}"/>
    <cellStyle name="Normal 5 2 2 2 4 4 3" xfId="6029" xr:uid="{00000000-0005-0000-0000-00007C170000}"/>
    <cellStyle name="Normal 5 2 2 2 4 4 3 2" xfId="14465" xr:uid="{B21538CB-F719-4CDD-991E-1D1990B6DFE2}"/>
    <cellStyle name="Normal 5 2 2 2 4 4 4" xfId="10247" xr:uid="{D470C70C-02CE-46EA-A4C4-61994E0A6BBE}"/>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3" xr:uid="{11EF5DEE-4925-4234-96F8-80ACCB8F3C40}"/>
    <cellStyle name="Normal 5 2 2 2 4 5 2 3" xfId="12805" xr:uid="{F1BCEF50-0EBA-4D11-AF4E-4022EB55507F}"/>
    <cellStyle name="Normal 5 2 2 2 4 5 3" xfId="6442" xr:uid="{00000000-0005-0000-0000-000080170000}"/>
    <cellStyle name="Normal 5 2 2 2 4 5 3 2" xfId="14878" xr:uid="{CCC1D219-9B61-4EC3-A8A7-DD72D1982256}"/>
    <cellStyle name="Normal 5 2 2 2 4 5 4" xfId="10660" xr:uid="{945B42C7-C934-430F-ACDA-72538885CE31}"/>
    <cellStyle name="Normal 5 2 2 2 4 6" xfId="2571" xr:uid="{00000000-0005-0000-0000-000081170000}"/>
    <cellStyle name="Normal 5 2 2 2 4 6 2" xfId="6855" xr:uid="{00000000-0005-0000-0000-000082170000}"/>
    <cellStyle name="Normal 5 2 2 2 4 6 2 2" xfId="15291" xr:uid="{44B36995-C373-46CA-A68B-E8E8735AA061}"/>
    <cellStyle name="Normal 5 2 2 2 4 6 3" xfId="11073" xr:uid="{19878DD2-E742-4832-B36C-249318354EFA}"/>
    <cellStyle name="Normal 5 2 2 2 4 7" xfId="4790" xr:uid="{00000000-0005-0000-0000-000083170000}"/>
    <cellStyle name="Normal 5 2 2 2 4 7 2" xfId="13226" xr:uid="{0B699E4C-83B6-4039-BFE7-2C35F68262C9}"/>
    <cellStyle name="Normal 5 2 2 2 4 8" xfId="9008" xr:uid="{AAA41364-C833-408C-B976-050AE7177C19}"/>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77" xr:uid="{88F08C97-2435-4FEE-8399-704F6059FE28}"/>
    <cellStyle name="Normal 5 2 2 2 5 2 3" xfId="11559" xr:uid="{FA0E1040-919A-4343-A033-D0D6D762D42E}"/>
    <cellStyle name="Normal 5 2 2 2 5 3" xfId="5196" xr:uid="{00000000-0005-0000-0000-000087170000}"/>
    <cellStyle name="Normal 5 2 2 2 5 3 2" xfId="13632" xr:uid="{64F80020-8FED-417C-B461-6D15582D65D2}"/>
    <cellStyle name="Normal 5 2 2 2 5 4" xfId="9414" xr:uid="{A3E94854-B16B-40ED-B745-56E63338A969}"/>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0" xr:uid="{B37E28D7-25F0-416F-A1AE-2B1D6A70D107}"/>
    <cellStyle name="Normal 5 2 2 2 6 2 3" xfId="11972" xr:uid="{C53E2BD7-EC20-41A8-85EE-7362534F4A2E}"/>
    <cellStyle name="Normal 5 2 2 2 6 3" xfId="5609" xr:uid="{00000000-0005-0000-0000-00008B170000}"/>
    <cellStyle name="Normal 5 2 2 2 6 3 2" xfId="14045" xr:uid="{814158C1-5FCE-46CC-866B-738D7DAC6CBF}"/>
    <cellStyle name="Normal 5 2 2 2 6 4" xfId="9827" xr:uid="{E9CFF1C3-ACBE-4B22-8BFA-53EDAC41838C}"/>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3" xr:uid="{3A28FC58-68EF-4FED-AAF1-0EA13097161D}"/>
    <cellStyle name="Normal 5 2 2 2 7 2 3" xfId="12385" xr:uid="{2D6E7830-3FD2-4157-B3A5-182D7DE30C96}"/>
    <cellStyle name="Normal 5 2 2 2 7 3" xfId="6022" xr:uid="{00000000-0005-0000-0000-00008F170000}"/>
    <cellStyle name="Normal 5 2 2 2 7 3 2" xfId="14458" xr:uid="{E5C72A17-7BFA-4F4C-B4CB-93DDA3D625AD}"/>
    <cellStyle name="Normal 5 2 2 2 7 4" xfId="10240" xr:uid="{E85CE981-7CB5-476D-B3CB-BD9D4402DAE2}"/>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6" xr:uid="{9B17F0CF-F182-4C76-B46E-9C23376DAF96}"/>
    <cellStyle name="Normal 5 2 2 2 8 2 3" xfId="12798" xr:uid="{D18C9969-EA88-4AA3-AB2D-AA28E3E83B36}"/>
    <cellStyle name="Normal 5 2 2 2 8 3" xfId="6435" xr:uid="{00000000-0005-0000-0000-000093170000}"/>
    <cellStyle name="Normal 5 2 2 2 8 3 2" xfId="14871" xr:uid="{3487EB42-492A-411C-AFC7-0076E05E1F19}"/>
    <cellStyle name="Normal 5 2 2 2 8 4" xfId="10653" xr:uid="{040FD7AC-EBD0-4126-9D6D-9FB6075AC8B8}"/>
    <cellStyle name="Normal 5 2 2 2 9" xfId="2564" xr:uid="{00000000-0005-0000-0000-000094170000}"/>
    <cellStyle name="Normal 5 2 2 2 9 2" xfId="6848" xr:uid="{00000000-0005-0000-0000-000095170000}"/>
    <cellStyle name="Normal 5 2 2 2 9 2 2" xfId="15284" xr:uid="{10F2A198-30AD-4611-B1EE-A77DCEB04F1F}"/>
    <cellStyle name="Normal 5 2 2 2 9 3" xfId="11066" xr:uid="{7A0F98EF-B428-44C1-A1FD-34C9DA664A65}"/>
    <cellStyle name="Normal 5 2 2 3" xfId="417" xr:uid="{00000000-0005-0000-0000-000096170000}"/>
    <cellStyle name="Normal 5 2 2 3 10" xfId="9009" xr:uid="{9D29A60D-9953-4711-8B85-CFA8B4745C2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87" xr:uid="{3DAA5E41-876F-457D-A469-B251158EBDD7}"/>
    <cellStyle name="Normal 5 2 2 3 2 2 2 2 3" xfId="11569" xr:uid="{3D43A1BD-426B-43A4-AC7E-2F4ECE335B42}"/>
    <cellStyle name="Normal 5 2 2 3 2 2 2 3" xfId="5206" xr:uid="{00000000-0005-0000-0000-00009C170000}"/>
    <cellStyle name="Normal 5 2 2 3 2 2 2 3 2" xfId="13642" xr:uid="{DE1626AC-71C8-4266-9859-4197384061B7}"/>
    <cellStyle name="Normal 5 2 2 3 2 2 2 4" xfId="9424" xr:uid="{AE5A2DB7-6D36-4189-B9F3-4F85A69891E5}"/>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0" xr:uid="{CCF3B766-2BF2-4E07-917A-126DE67C5E77}"/>
    <cellStyle name="Normal 5 2 2 3 2 2 3 2 3" xfId="11982" xr:uid="{522B785A-4C2E-41CF-AF4A-0488447B3F84}"/>
    <cellStyle name="Normal 5 2 2 3 2 2 3 3" xfId="5619" xr:uid="{00000000-0005-0000-0000-0000A0170000}"/>
    <cellStyle name="Normal 5 2 2 3 2 2 3 3 2" xfId="14055" xr:uid="{89E90826-7AC4-46CE-83FB-D55E0E4F4F29}"/>
    <cellStyle name="Normal 5 2 2 3 2 2 3 4" xfId="9837" xr:uid="{09DE3692-6AAE-427D-BABD-B5D216EE042A}"/>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3" xr:uid="{20D63E56-C3FD-49E0-B2B3-9F6A56B34C4F}"/>
    <cellStyle name="Normal 5 2 2 3 2 2 4 2 3" xfId="12395" xr:uid="{C0341921-DBAE-481C-BEDD-E0E47FA32B1B}"/>
    <cellStyle name="Normal 5 2 2 3 2 2 4 3" xfId="6032" xr:uid="{00000000-0005-0000-0000-0000A4170000}"/>
    <cellStyle name="Normal 5 2 2 3 2 2 4 3 2" xfId="14468" xr:uid="{4FB07BF3-AA17-44B8-84A7-193DBEB9FD9B}"/>
    <cellStyle name="Normal 5 2 2 3 2 2 4 4" xfId="10250" xr:uid="{5F90711A-3814-4F0F-9196-C4DCC1C4EFF2}"/>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6" xr:uid="{84E6428C-9182-467E-9BC6-526B21E1173C}"/>
    <cellStyle name="Normal 5 2 2 3 2 2 5 2 3" xfId="12808" xr:uid="{0247900C-C283-4245-B5BC-D0E465D147BE}"/>
    <cellStyle name="Normal 5 2 2 3 2 2 5 3" xfId="6445" xr:uid="{00000000-0005-0000-0000-0000A8170000}"/>
    <cellStyle name="Normal 5 2 2 3 2 2 5 3 2" xfId="14881" xr:uid="{F77A3667-16AC-495C-9742-3A06C15ACBB5}"/>
    <cellStyle name="Normal 5 2 2 3 2 2 5 4" xfId="10663" xr:uid="{45FDBEF9-2170-4DF5-9F07-05F22A428217}"/>
    <cellStyle name="Normal 5 2 2 3 2 2 6" xfId="2574" xr:uid="{00000000-0005-0000-0000-0000A9170000}"/>
    <cellStyle name="Normal 5 2 2 3 2 2 6 2" xfId="6858" xr:uid="{00000000-0005-0000-0000-0000AA170000}"/>
    <cellStyle name="Normal 5 2 2 3 2 2 6 2 2" xfId="15294" xr:uid="{03B6B0DD-457A-4C42-935F-8C8DFFB05AED}"/>
    <cellStyle name="Normal 5 2 2 3 2 2 6 3" xfId="11076" xr:uid="{45F77B62-676D-4F14-AA1A-5F0735699521}"/>
    <cellStyle name="Normal 5 2 2 3 2 2 7" xfId="4793" xr:uid="{00000000-0005-0000-0000-0000AB170000}"/>
    <cellStyle name="Normal 5 2 2 3 2 2 7 2" xfId="13229" xr:uid="{64E6FEBB-11E8-4423-8842-6A2EFD688FCF}"/>
    <cellStyle name="Normal 5 2 2 3 2 2 8" xfId="9011" xr:uid="{0C4C6BB1-C61A-4790-B332-F1F9F62EB8A2}"/>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6" xr:uid="{7D2C1A47-3068-4728-8A2F-F18F98E25A49}"/>
    <cellStyle name="Normal 5 2 2 3 2 3 2 3" xfId="11568" xr:uid="{8BC1528F-3ED1-46CD-99A9-92B6C8AD5768}"/>
    <cellStyle name="Normal 5 2 2 3 2 3 3" xfId="5205" xr:uid="{00000000-0005-0000-0000-0000AF170000}"/>
    <cellStyle name="Normal 5 2 2 3 2 3 3 2" xfId="13641" xr:uid="{EBC1F6B8-CC69-44C6-B856-F44FBBE99C44}"/>
    <cellStyle name="Normal 5 2 2 3 2 3 4" xfId="9423" xr:uid="{5E344B3B-F9E4-4B20-BB3C-0EDD6DBCBA72}"/>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199" xr:uid="{EC8D3243-DBEA-4C9B-B1A3-A1E47B7D098E}"/>
    <cellStyle name="Normal 5 2 2 3 2 4 2 3" xfId="11981" xr:uid="{0D7602FB-E1D3-4494-9F57-D5AF4DFB3CEA}"/>
    <cellStyle name="Normal 5 2 2 3 2 4 3" xfId="5618" xr:uid="{00000000-0005-0000-0000-0000B3170000}"/>
    <cellStyle name="Normal 5 2 2 3 2 4 3 2" xfId="14054" xr:uid="{4A7A75D0-32A8-40E9-99FB-86FC456326E8}"/>
    <cellStyle name="Normal 5 2 2 3 2 4 4" xfId="9836" xr:uid="{C51BD03A-0771-4411-9EF4-71EE4C4E6CB7}"/>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2" xr:uid="{5B34F72D-3A2E-4BC8-8B31-80A492064B99}"/>
    <cellStyle name="Normal 5 2 2 3 2 5 2 3" xfId="12394" xr:uid="{8819F259-55EF-4474-B23F-5E2A3ECC5C77}"/>
    <cellStyle name="Normal 5 2 2 3 2 5 3" xfId="6031" xr:uid="{00000000-0005-0000-0000-0000B7170000}"/>
    <cellStyle name="Normal 5 2 2 3 2 5 3 2" xfId="14467" xr:uid="{26449C28-7924-4191-AB7A-E90CE36675E8}"/>
    <cellStyle name="Normal 5 2 2 3 2 5 4" xfId="10249" xr:uid="{C3AAD241-F153-432E-80EE-68739417A582}"/>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5" xr:uid="{DBAC6E88-89B0-4DE6-8E52-22F70DA60372}"/>
    <cellStyle name="Normal 5 2 2 3 2 6 2 3" xfId="12807" xr:uid="{BF270B41-65FC-4741-8685-E09827DF69B9}"/>
    <cellStyle name="Normal 5 2 2 3 2 6 3" xfId="6444" xr:uid="{00000000-0005-0000-0000-0000BB170000}"/>
    <cellStyle name="Normal 5 2 2 3 2 6 3 2" xfId="14880" xr:uid="{4D03228D-3F41-447D-B618-043A64562526}"/>
    <cellStyle name="Normal 5 2 2 3 2 6 4" xfId="10662" xr:uid="{4A9CF746-24CE-4E35-A8AB-BD1E91AE3979}"/>
    <cellStyle name="Normal 5 2 2 3 2 7" xfId="2573" xr:uid="{00000000-0005-0000-0000-0000BC170000}"/>
    <cellStyle name="Normal 5 2 2 3 2 7 2" xfId="6857" xr:uid="{00000000-0005-0000-0000-0000BD170000}"/>
    <cellStyle name="Normal 5 2 2 3 2 7 2 2" xfId="15293" xr:uid="{7DA43775-2BD4-4CAA-8B51-05B47B8EF7C4}"/>
    <cellStyle name="Normal 5 2 2 3 2 7 3" xfId="11075" xr:uid="{2E7A768D-5886-4C2D-847B-196E3CF7FB23}"/>
    <cellStyle name="Normal 5 2 2 3 2 8" xfId="4792" xr:uid="{00000000-0005-0000-0000-0000BE170000}"/>
    <cellStyle name="Normal 5 2 2 3 2 8 2" xfId="13228" xr:uid="{9A813DA6-E7E1-476C-9457-EBF9DCDF2503}"/>
    <cellStyle name="Normal 5 2 2 3 2 9" xfId="9010" xr:uid="{643A5658-DF9E-42D3-800C-1CCFC75D92B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88" xr:uid="{CA8891C2-1A0E-4720-A3DD-4B12D2B8C9FC}"/>
    <cellStyle name="Normal 5 2 2 3 3 2 2 3" xfId="11570" xr:uid="{31EC4358-7F42-4F1D-998F-2EFEB28ABD2C}"/>
    <cellStyle name="Normal 5 2 2 3 3 2 3" xfId="5207" xr:uid="{00000000-0005-0000-0000-0000C3170000}"/>
    <cellStyle name="Normal 5 2 2 3 3 2 3 2" xfId="13643" xr:uid="{DFCFC858-CA59-4B72-8E6B-318062961971}"/>
    <cellStyle name="Normal 5 2 2 3 3 2 4" xfId="9425" xr:uid="{1F2B2A5F-F06B-4AF0-8316-ECFD48F75E99}"/>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1" xr:uid="{AE1D5B0D-C666-4937-B410-042740BB8362}"/>
    <cellStyle name="Normal 5 2 2 3 3 3 2 3" xfId="11983" xr:uid="{E17C3EF7-E05D-4846-9190-12BBD28B30C9}"/>
    <cellStyle name="Normal 5 2 2 3 3 3 3" xfId="5620" xr:uid="{00000000-0005-0000-0000-0000C7170000}"/>
    <cellStyle name="Normal 5 2 2 3 3 3 3 2" xfId="14056" xr:uid="{D8CFCCF1-3416-41B5-B4E5-BFC99A2B97E8}"/>
    <cellStyle name="Normal 5 2 2 3 3 3 4" xfId="9838" xr:uid="{3E0B23A0-2319-4AC2-960E-218BB3F8D71C}"/>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4" xr:uid="{7D001169-50C9-4A51-B975-687F1BF04558}"/>
    <cellStyle name="Normal 5 2 2 3 3 4 2 3" xfId="12396" xr:uid="{1EF5C977-3828-4147-8542-75946DCDDDA8}"/>
    <cellStyle name="Normal 5 2 2 3 3 4 3" xfId="6033" xr:uid="{00000000-0005-0000-0000-0000CB170000}"/>
    <cellStyle name="Normal 5 2 2 3 3 4 3 2" xfId="14469" xr:uid="{17D1A20C-BFA4-43E6-9933-4EC00364418F}"/>
    <cellStyle name="Normal 5 2 2 3 3 4 4" xfId="10251" xr:uid="{07D6CC33-E34B-4BED-A55C-984E27FAC18E}"/>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27" xr:uid="{8FD9C7B0-6A05-4EF4-841D-B2148C1C274D}"/>
    <cellStyle name="Normal 5 2 2 3 3 5 2 3" xfId="12809" xr:uid="{F5C6D1FC-2890-46B0-B760-822A3B2FEDCE}"/>
    <cellStyle name="Normal 5 2 2 3 3 5 3" xfId="6446" xr:uid="{00000000-0005-0000-0000-0000CF170000}"/>
    <cellStyle name="Normal 5 2 2 3 3 5 3 2" xfId="14882" xr:uid="{005A43B6-A3D4-4439-A22B-326889956ED2}"/>
    <cellStyle name="Normal 5 2 2 3 3 5 4" xfId="10664" xr:uid="{8176BC2A-E6BF-404F-9E59-8E713A417D02}"/>
    <cellStyle name="Normal 5 2 2 3 3 6" xfId="2575" xr:uid="{00000000-0005-0000-0000-0000D0170000}"/>
    <cellStyle name="Normal 5 2 2 3 3 6 2" xfId="6859" xr:uid="{00000000-0005-0000-0000-0000D1170000}"/>
    <cellStyle name="Normal 5 2 2 3 3 6 2 2" xfId="15295" xr:uid="{37CA0B01-A7A6-41A5-94C5-C3B3D57758BC}"/>
    <cellStyle name="Normal 5 2 2 3 3 6 3" xfId="11077" xr:uid="{88E8720C-6C50-45FD-99D8-54524C265C83}"/>
    <cellStyle name="Normal 5 2 2 3 3 7" xfId="4794" xr:uid="{00000000-0005-0000-0000-0000D2170000}"/>
    <cellStyle name="Normal 5 2 2 3 3 7 2" xfId="13230" xr:uid="{F5530DDA-14D9-49A4-9A86-340B2704CACD}"/>
    <cellStyle name="Normal 5 2 2 3 3 8" xfId="9012" xr:uid="{8B7766A3-14B1-4519-B1C6-61345E70D722}"/>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5" xr:uid="{6B7863A2-E633-44B8-81A5-31713D810F2F}"/>
    <cellStyle name="Normal 5 2 2 3 4 2 3" xfId="11567" xr:uid="{5F9F12E5-274D-4221-9FA0-5E7BB9327180}"/>
    <cellStyle name="Normal 5 2 2 3 4 3" xfId="5204" xr:uid="{00000000-0005-0000-0000-0000D6170000}"/>
    <cellStyle name="Normal 5 2 2 3 4 3 2" xfId="13640" xr:uid="{2AF0C6A9-457E-4AE9-9860-1F43C2DABD2C}"/>
    <cellStyle name="Normal 5 2 2 3 4 4" xfId="9422" xr:uid="{B7019882-F3DB-4204-AD5D-37688284527E}"/>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198" xr:uid="{4E045017-5BCE-40A3-8359-BD15A00A6340}"/>
    <cellStyle name="Normal 5 2 2 3 5 2 3" xfId="11980" xr:uid="{C16AA610-F17E-407E-B8C6-B78BA403BBE1}"/>
    <cellStyle name="Normal 5 2 2 3 5 3" xfId="5617" xr:uid="{00000000-0005-0000-0000-0000DA170000}"/>
    <cellStyle name="Normal 5 2 2 3 5 3 2" xfId="14053" xr:uid="{D575EBA3-9B8B-419F-9DC4-90BE75DA681A}"/>
    <cellStyle name="Normal 5 2 2 3 5 4" xfId="9835" xr:uid="{A767C5FE-9397-4CC9-BF90-2BE0F2222A4A}"/>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1" xr:uid="{B14AACD7-6868-486E-8A17-BA61986AF893}"/>
    <cellStyle name="Normal 5 2 2 3 6 2 3" xfId="12393" xr:uid="{AE2B66FC-D521-4D13-8390-727935F747E9}"/>
    <cellStyle name="Normal 5 2 2 3 6 3" xfId="6030" xr:uid="{00000000-0005-0000-0000-0000DE170000}"/>
    <cellStyle name="Normal 5 2 2 3 6 3 2" xfId="14466" xr:uid="{AEA20BDE-BDB1-4280-ACF4-A5B9ED233834}"/>
    <cellStyle name="Normal 5 2 2 3 6 4" xfId="10248" xr:uid="{929CE789-3A9C-4577-9325-533E71A8C35C}"/>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4" xr:uid="{84BE2921-1360-46B1-B3A4-EB2634943855}"/>
    <cellStyle name="Normal 5 2 2 3 7 2 3" xfId="12806" xr:uid="{669BFE73-65ED-4223-A412-A33415559A5D}"/>
    <cellStyle name="Normal 5 2 2 3 7 3" xfId="6443" xr:uid="{00000000-0005-0000-0000-0000E2170000}"/>
    <cellStyle name="Normal 5 2 2 3 7 3 2" xfId="14879" xr:uid="{2579DD35-4EDF-4E48-9D67-8DFA6DDFD26F}"/>
    <cellStyle name="Normal 5 2 2 3 7 4" xfId="10661" xr:uid="{F780A487-8EF4-49A9-9680-AC04BFE117E9}"/>
    <cellStyle name="Normal 5 2 2 3 8" xfId="2572" xr:uid="{00000000-0005-0000-0000-0000E3170000}"/>
    <cellStyle name="Normal 5 2 2 3 8 2" xfId="6856" xr:uid="{00000000-0005-0000-0000-0000E4170000}"/>
    <cellStyle name="Normal 5 2 2 3 8 2 2" xfId="15292" xr:uid="{CF40946C-53D3-4FE6-BDE4-9CD9830F8D0F}"/>
    <cellStyle name="Normal 5 2 2 3 8 3" xfId="11074" xr:uid="{8AED165E-4BFA-4040-81DE-5DEEA2FF762D}"/>
    <cellStyle name="Normal 5 2 2 3 9" xfId="4791" xr:uid="{00000000-0005-0000-0000-0000E5170000}"/>
    <cellStyle name="Normal 5 2 2 3 9 2" xfId="13227" xr:uid="{8471C8BB-6225-40CA-BB06-F9FE150E660A}"/>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0" xr:uid="{2984AC6D-F265-4A55-BE66-102460AF5945}"/>
    <cellStyle name="Normal 5 2 2 4 2 2 2 3" xfId="11572" xr:uid="{9BDEA4AA-7402-4E19-8761-84AAB229E41F}"/>
    <cellStyle name="Normal 5 2 2 4 2 2 3" xfId="5209" xr:uid="{00000000-0005-0000-0000-0000EB170000}"/>
    <cellStyle name="Normal 5 2 2 4 2 2 3 2" xfId="13645" xr:uid="{79C089CB-1B0F-45F5-BC8E-E1D923DB15BE}"/>
    <cellStyle name="Normal 5 2 2 4 2 2 4" xfId="9427" xr:uid="{9D736D51-D1AF-40DF-AFA5-63E65644FDAB}"/>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3" xr:uid="{63E3E77C-DE7F-4AEE-95E7-560F4FF81B85}"/>
    <cellStyle name="Normal 5 2 2 4 2 3 2 3" xfId="11985" xr:uid="{B29C01CC-B65A-49AD-97A3-AC8377FA6DD0}"/>
    <cellStyle name="Normal 5 2 2 4 2 3 3" xfId="5622" xr:uid="{00000000-0005-0000-0000-0000EF170000}"/>
    <cellStyle name="Normal 5 2 2 4 2 3 3 2" xfId="14058" xr:uid="{81D66C25-3047-4D4A-B4EA-0726E318DC6C}"/>
    <cellStyle name="Normal 5 2 2 4 2 3 4" xfId="9840" xr:uid="{9C0514FF-D92E-47D2-9749-9E0631E864D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6" xr:uid="{206758FD-1664-42AF-B05B-02D6D18F945B}"/>
    <cellStyle name="Normal 5 2 2 4 2 4 2 3" xfId="12398" xr:uid="{B0894BBC-F172-4A81-BF3C-92877C5606B3}"/>
    <cellStyle name="Normal 5 2 2 4 2 4 3" xfId="6035" xr:uid="{00000000-0005-0000-0000-0000F3170000}"/>
    <cellStyle name="Normal 5 2 2 4 2 4 3 2" xfId="14471" xr:uid="{9B34CA41-358B-4004-A241-019B6D21D961}"/>
    <cellStyle name="Normal 5 2 2 4 2 4 4" xfId="10253" xr:uid="{67E6A3CF-20F2-4D6E-9722-6DA7729CAF74}"/>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29" xr:uid="{92292B79-F0C2-4308-85C9-C07BA9526FB4}"/>
    <cellStyle name="Normal 5 2 2 4 2 5 2 3" xfId="12811" xr:uid="{B6A9A6FD-0ED7-4F8A-AF55-EA7D3764F496}"/>
    <cellStyle name="Normal 5 2 2 4 2 5 3" xfId="6448" xr:uid="{00000000-0005-0000-0000-0000F7170000}"/>
    <cellStyle name="Normal 5 2 2 4 2 5 3 2" xfId="14884" xr:uid="{22875137-DE6C-4A03-B13D-44C866BD3B85}"/>
    <cellStyle name="Normal 5 2 2 4 2 5 4" xfId="10666" xr:uid="{710BEA8B-C0A8-47AB-9890-835B3C5DD35F}"/>
    <cellStyle name="Normal 5 2 2 4 2 6" xfId="2577" xr:uid="{00000000-0005-0000-0000-0000F8170000}"/>
    <cellStyle name="Normal 5 2 2 4 2 6 2" xfId="6861" xr:uid="{00000000-0005-0000-0000-0000F9170000}"/>
    <cellStyle name="Normal 5 2 2 4 2 6 2 2" xfId="15297" xr:uid="{7FAC0029-F546-4E72-81AB-BDEFE4D8C16E}"/>
    <cellStyle name="Normal 5 2 2 4 2 6 3" xfId="11079" xr:uid="{A9078BF0-34BA-489B-A9A0-CA6F73F951D5}"/>
    <cellStyle name="Normal 5 2 2 4 2 7" xfId="4796" xr:uid="{00000000-0005-0000-0000-0000FA170000}"/>
    <cellStyle name="Normal 5 2 2 4 2 7 2" xfId="13232" xr:uid="{153674E0-61ED-40BF-8428-6514289EEB6D}"/>
    <cellStyle name="Normal 5 2 2 4 2 8" xfId="9014" xr:uid="{FD1A3C45-A774-476F-A1FE-B7E89C89695A}"/>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89" xr:uid="{4D38261C-5AB9-4E13-A72E-EE3D47F99CAA}"/>
    <cellStyle name="Normal 5 2 2 4 3 2 3" xfId="11571" xr:uid="{9FE98212-C3DB-4C2C-8A1F-CDBCDAC8341B}"/>
    <cellStyle name="Normal 5 2 2 4 3 3" xfId="5208" xr:uid="{00000000-0005-0000-0000-0000FE170000}"/>
    <cellStyle name="Normal 5 2 2 4 3 3 2" xfId="13644" xr:uid="{B22CFB32-A2B5-495A-8800-2F7BFEC3230B}"/>
    <cellStyle name="Normal 5 2 2 4 3 4" xfId="9426" xr:uid="{825A02FF-215D-4590-BFD9-33909B150D26}"/>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2" xr:uid="{7E46895D-676A-47DC-9329-DBB7C2BD8640}"/>
    <cellStyle name="Normal 5 2 2 4 4 2 3" xfId="11984" xr:uid="{E4A40343-13E9-4C2C-8F11-0C87DD29BB43}"/>
    <cellStyle name="Normal 5 2 2 4 4 3" xfId="5621" xr:uid="{00000000-0005-0000-0000-000002180000}"/>
    <cellStyle name="Normal 5 2 2 4 4 3 2" xfId="14057" xr:uid="{27ED1486-712F-41E2-B5A6-4A016A43D9E7}"/>
    <cellStyle name="Normal 5 2 2 4 4 4" xfId="9839" xr:uid="{40127149-0FB3-4E31-BECE-3C863F845B9E}"/>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5" xr:uid="{909D0172-2FED-46CC-8E8A-B1998C940702}"/>
    <cellStyle name="Normal 5 2 2 4 5 2 3" xfId="12397" xr:uid="{DF51918F-553E-408B-A4FD-896929EA93AD}"/>
    <cellStyle name="Normal 5 2 2 4 5 3" xfId="6034" xr:uid="{00000000-0005-0000-0000-000006180000}"/>
    <cellStyle name="Normal 5 2 2 4 5 3 2" xfId="14470" xr:uid="{01C5997F-A035-447C-8704-E31046E0E9F3}"/>
    <cellStyle name="Normal 5 2 2 4 5 4" xfId="10252" xr:uid="{46BAAE7E-6E07-455B-8380-8B81F2333403}"/>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28" xr:uid="{0406D727-2471-4FDD-B3B2-091AA268DA91}"/>
    <cellStyle name="Normal 5 2 2 4 6 2 3" xfId="12810" xr:uid="{EDC51D66-E22C-4F72-971B-2C4CE54B41A4}"/>
    <cellStyle name="Normal 5 2 2 4 6 3" xfId="6447" xr:uid="{00000000-0005-0000-0000-00000A180000}"/>
    <cellStyle name="Normal 5 2 2 4 6 3 2" xfId="14883" xr:uid="{17F5C6D7-349E-4102-B2E3-79DC0E832E3E}"/>
    <cellStyle name="Normal 5 2 2 4 6 4" xfId="10665" xr:uid="{46F6F066-04E6-4E3C-B90E-0DE2698B6CAD}"/>
    <cellStyle name="Normal 5 2 2 4 7" xfId="2576" xr:uid="{00000000-0005-0000-0000-00000B180000}"/>
    <cellStyle name="Normal 5 2 2 4 7 2" xfId="6860" xr:uid="{00000000-0005-0000-0000-00000C180000}"/>
    <cellStyle name="Normal 5 2 2 4 7 2 2" xfId="15296" xr:uid="{1BE83BD9-33F9-45EE-94EE-A4C1A758D823}"/>
    <cellStyle name="Normal 5 2 2 4 7 3" xfId="11078" xr:uid="{2CFB1CBB-C9F6-4894-814B-E417FC59C4D2}"/>
    <cellStyle name="Normal 5 2 2 4 8" xfId="4795" xr:uid="{00000000-0005-0000-0000-00000D180000}"/>
    <cellStyle name="Normal 5 2 2 4 8 2" xfId="13231" xr:uid="{DDD89BD2-FD39-4BF9-9A71-17BC959D1FCE}"/>
    <cellStyle name="Normal 5 2 2 4 9" xfId="9013" xr:uid="{DE3EB0AC-A5BD-4560-876F-B197850BB02B}"/>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1" xr:uid="{B67A867F-E471-401D-A94C-811BAEE3B6E8}"/>
    <cellStyle name="Normal 5 2 2 5 2 2 3" xfId="11573" xr:uid="{D23428BE-8948-4ECF-B71C-6D5A7AB31D7A}"/>
    <cellStyle name="Normal 5 2 2 5 2 3" xfId="5210" xr:uid="{00000000-0005-0000-0000-000012180000}"/>
    <cellStyle name="Normal 5 2 2 5 2 3 2" xfId="13646" xr:uid="{FCEF6907-3075-4DA1-81C7-9FDFAC3F5385}"/>
    <cellStyle name="Normal 5 2 2 5 2 4" xfId="9428" xr:uid="{DBCFD99E-8519-4061-97BA-98B1304DDAAE}"/>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4" xr:uid="{DBB776E4-22B8-414F-BA24-3B17EAAA9809}"/>
    <cellStyle name="Normal 5 2 2 5 3 2 3" xfId="11986" xr:uid="{1ADAF202-D9C7-4D49-889A-9B6BE08B72CB}"/>
    <cellStyle name="Normal 5 2 2 5 3 3" xfId="5623" xr:uid="{00000000-0005-0000-0000-000016180000}"/>
    <cellStyle name="Normal 5 2 2 5 3 3 2" xfId="14059" xr:uid="{0621F5CF-9AA4-4DB7-8F92-FE7563B1ABC7}"/>
    <cellStyle name="Normal 5 2 2 5 3 4" xfId="9841" xr:uid="{F10CBF09-95CF-450C-98F2-DC3FDA71D94D}"/>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17" xr:uid="{F049B44F-A43A-49A3-820E-BC765A309FDD}"/>
    <cellStyle name="Normal 5 2 2 5 4 2 3" xfId="12399" xr:uid="{A07D2813-024C-4AFC-958D-8CD10E54ACF5}"/>
    <cellStyle name="Normal 5 2 2 5 4 3" xfId="6036" xr:uid="{00000000-0005-0000-0000-00001A180000}"/>
    <cellStyle name="Normal 5 2 2 5 4 3 2" xfId="14472" xr:uid="{C8DA5A58-CA2B-491E-AE26-CCBAFBA8B3F7}"/>
    <cellStyle name="Normal 5 2 2 5 4 4" xfId="10254" xr:uid="{B80C8D24-0885-422A-A9A5-046D04BDF956}"/>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0" xr:uid="{781C031D-4996-4530-9D25-9ABE986FAB20}"/>
    <cellStyle name="Normal 5 2 2 5 5 2 3" xfId="12812" xr:uid="{517FA0E2-7A75-42F6-8BDB-14982C45A480}"/>
    <cellStyle name="Normal 5 2 2 5 5 3" xfId="6449" xr:uid="{00000000-0005-0000-0000-00001E180000}"/>
    <cellStyle name="Normal 5 2 2 5 5 3 2" xfId="14885" xr:uid="{E682A5DD-EF7C-4D81-AFCB-289C9BFA7C47}"/>
    <cellStyle name="Normal 5 2 2 5 5 4" xfId="10667" xr:uid="{F1E0114D-BF6F-4FC5-9CCC-4D8E17055E66}"/>
    <cellStyle name="Normal 5 2 2 5 6" xfId="2578" xr:uid="{00000000-0005-0000-0000-00001F180000}"/>
    <cellStyle name="Normal 5 2 2 5 6 2" xfId="6862" xr:uid="{00000000-0005-0000-0000-000020180000}"/>
    <cellStyle name="Normal 5 2 2 5 6 2 2" xfId="15298" xr:uid="{8C8D1834-6981-494F-AA76-1777C6077E05}"/>
    <cellStyle name="Normal 5 2 2 5 6 3" xfId="11080" xr:uid="{F5E039D2-A772-4C33-AF72-E12938C8E2D7}"/>
    <cellStyle name="Normal 5 2 2 5 7" xfId="4797" xr:uid="{00000000-0005-0000-0000-000021180000}"/>
    <cellStyle name="Normal 5 2 2 5 7 2" xfId="13233" xr:uid="{769CF78B-6D49-44E3-905D-0E5A647BE277}"/>
    <cellStyle name="Normal 5 2 2 5 8" xfId="9015" xr:uid="{32D5D6F9-9457-4C16-BA3C-1DEA7B440B7B}"/>
    <cellStyle name="Normal 5 2 2 6" xfId="882" xr:uid="{00000000-0005-0000-0000-000022180000}"/>
    <cellStyle name="Normal 5 2 2 6 2" xfId="3117" xr:uid="{00000000-0005-0000-0000-000023180000}"/>
    <cellStyle name="Normal 5 2 2 6 2 2" xfId="7340" xr:uid="{00000000-0005-0000-0000-000024180000}"/>
    <cellStyle name="Normal 5 2 2 6 2 2 2" xfId="15776" xr:uid="{9E1EFC2C-7AB4-4119-BBC3-3B9DCF01D3CF}"/>
    <cellStyle name="Normal 5 2 2 6 2 3" xfId="11558" xr:uid="{31DB3646-5906-4FDD-8572-43CA021D6062}"/>
    <cellStyle name="Normal 5 2 2 6 3" xfId="5195" xr:uid="{00000000-0005-0000-0000-000025180000}"/>
    <cellStyle name="Normal 5 2 2 6 3 2" xfId="13631" xr:uid="{049C5942-A8CB-45F8-9B23-9F64B42E4470}"/>
    <cellStyle name="Normal 5 2 2 6 4" xfId="9413" xr:uid="{29A9DA80-AF03-4B34-B2E4-51EB32987F48}"/>
    <cellStyle name="Normal 5 2 2 7" xfId="1300" xr:uid="{00000000-0005-0000-0000-000026180000}"/>
    <cellStyle name="Normal 5 2 2 7 2" xfId="3530" xr:uid="{00000000-0005-0000-0000-000027180000}"/>
    <cellStyle name="Normal 5 2 2 7 2 2" xfId="7753" xr:uid="{00000000-0005-0000-0000-000028180000}"/>
    <cellStyle name="Normal 5 2 2 7 2 2 2" xfId="16189" xr:uid="{E90C21E5-7F1E-430D-B5BF-7281AD3244CA}"/>
    <cellStyle name="Normal 5 2 2 7 2 3" xfId="11971" xr:uid="{90298E69-647C-4DC5-BD1E-8D8618D34F48}"/>
    <cellStyle name="Normal 5 2 2 7 3" xfId="5608" xr:uid="{00000000-0005-0000-0000-000029180000}"/>
    <cellStyle name="Normal 5 2 2 7 3 2" xfId="14044" xr:uid="{8262C73D-40ED-4E34-9265-D9257F1D05F8}"/>
    <cellStyle name="Normal 5 2 2 7 4" xfId="9826" xr:uid="{6FD4E2C3-C195-4CF0-BCFC-1208C5FCA078}"/>
    <cellStyle name="Normal 5 2 2 8" xfId="1713" xr:uid="{00000000-0005-0000-0000-00002A180000}"/>
    <cellStyle name="Normal 5 2 2 8 2" xfId="3943" xr:uid="{00000000-0005-0000-0000-00002B180000}"/>
    <cellStyle name="Normal 5 2 2 8 2 2" xfId="8166" xr:uid="{00000000-0005-0000-0000-00002C180000}"/>
    <cellStyle name="Normal 5 2 2 8 2 2 2" xfId="16602" xr:uid="{F0A85DCA-8271-4B1F-BA4F-A870EB0B112D}"/>
    <cellStyle name="Normal 5 2 2 8 2 3" xfId="12384" xr:uid="{A4D0C13F-03DC-42FC-BD3B-8BC5F30003F0}"/>
    <cellStyle name="Normal 5 2 2 8 3" xfId="6021" xr:uid="{00000000-0005-0000-0000-00002D180000}"/>
    <cellStyle name="Normal 5 2 2 8 3 2" xfId="14457" xr:uid="{655909B7-0DE3-4BE2-B721-F01A0EC804B9}"/>
    <cellStyle name="Normal 5 2 2 8 4" xfId="10239" xr:uid="{38149CE5-C03D-462E-943C-91B828695BA1}"/>
    <cellStyle name="Normal 5 2 2 9" xfId="2127" xr:uid="{00000000-0005-0000-0000-00002E180000}"/>
    <cellStyle name="Normal 5 2 2 9 2" xfId="4356" xr:uid="{00000000-0005-0000-0000-00002F180000}"/>
    <cellStyle name="Normal 5 2 2 9 2 2" xfId="8579" xr:uid="{00000000-0005-0000-0000-000030180000}"/>
    <cellStyle name="Normal 5 2 2 9 2 2 2" xfId="17015" xr:uid="{81BA7DAD-5FCF-470E-AF1F-09D998A99294}"/>
    <cellStyle name="Normal 5 2 2 9 2 3" xfId="12797" xr:uid="{D12EDC30-2867-4891-8E67-568779699C1D}"/>
    <cellStyle name="Normal 5 2 2 9 3" xfId="6434" xr:uid="{00000000-0005-0000-0000-000031180000}"/>
    <cellStyle name="Normal 5 2 2 9 3 2" xfId="14870" xr:uid="{66C1C2D5-E311-475F-BEA0-1ED46B31264B}"/>
    <cellStyle name="Normal 5 2 2 9 4" xfId="10652" xr:uid="{F928B489-C681-402E-B96C-BF3AF5A51B71}"/>
    <cellStyle name="Normal 5 2 3" xfId="424" xr:uid="{00000000-0005-0000-0000-000032180000}"/>
    <cellStyle name="Normal 5 2 3 10" xfId="4798" xr:uid="{00000000-0005-0000-0000-000033180000}"/>
    <cellStyle name="Normal 5 2 3 10 2" xfId="13234" xr:uid="{0D488DA2-4841-42F2-AF0A-A30BA772F73A}"/>
    <cellStyle name="Normal 5 2 3 11" xfId="9016" xr:uid="{0A11CC62-63D5-4DF3-81AD-9D32594064A4}"/>
    <cellStyle name="Normal 5 2 3 2" xfId="425" xr:uid="{00000000-0005-0000-0000-000034180000}"/>
    <cellStyle name="Normal 5 2 3 2 10" xfId="9017" xr:uid="{EE6D9B53-E68F-40EC-BF44-58B3FF0992CD}"/>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5" xr:uid="{E25E7930-4FE1-41A0-9564-C04330CC7DCF}"/>
    <cellStyle name="Normal 5 2 3 2 2 2 2 2 3" xfId="11577" xr:uid="{A93FC52E-79C1-4487-B0E4-66350615C2A6}"/>
    <cellStyle name="Normal 5 2 3 2 2 2 2 3" xfId="5214" xr:uid="{00000000-0005-0000-0000-00003A180000}"/>
    <cellStyle name="Normal 5 2 3 2 2 2 2 3 2" xfId="13650" xr:uid="{FA294CD8-BF7B-4917-8419-06253C4D2A0E}"/>
    <cellStyle name="Normal 5 2 3 2 2 2 2 4" xfId="9432" xr:uid="{4B6B950C-9A22-48DA-88D4-9FC3F3E9048C}"/>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08" xr:uid="{609BE14C-5506-4266-A7F2-8F5B3DAE69F2}"/>
    <cellStyle name="Normal 5 2 3 2 2 2 3 2 3" xfId="11990" xr:uid="{DBC37FBC-20AA-490D-8400-A045B1FE5FAB}"/>
    <cellStyle name="Normal 5 2 3 2 2 2 3 3" xfId="5627" xr:uid="{00000000-0005-0000-0000-00003E180000}"/>
    <cellStyle name="Normal 5 2 3 2 2 2 3 3 2" xfId="14063" xr:uid="{EFF341FB-22FB-4192-A97E-DEADD334D8E8}"/>
    <cellStyle name="Normal 5 2 3 2 2 2 3 4" xfId="9845" xr:uid="{A11E8572-532E-42B3-9469-E0BECEF77834}"/>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1" xr:uid="{152D8641-E681-4D27-B429-424AF4E55460}"/>
    <cellStyle name="Normal 5 2 3 2 2 2 4 2 3" xfId="12403" xr:uid="{9638FCBD-1E38-4837-AE6A-1D1D40F6D8BA}"/>
    <cellStyle name="Normal 5 2 3 2 2 2 4 3" xfId="6040" xr:uid="{00000000-0005-0000-0000-000042180000}"/>
    <cellStyle name="Normal 5 2 3 2 2 2 4 3 2" xfId="14476" xr:uid="{37BD6FCE-6FF8-4CB7-9A5F-3E0905FD2B85}"/>
    <cellStyle name="Normal 5 2 3 2 2 2 4 4" xfId="10258" xr:uid="{72B54934-A464-4D65-A080-7B1E4DBB3E62}"/>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4" xr:uid="{016B5E17-6474-4DC8-97A8-A5094FDC24BB}"/>
    <cellStyle name="Normal 5 2 3 2 2 2 5 2 3" xfId="12816" xr:uid="{F5A59248-BA2C-4A7F-9440-55C59CCFECA9}"/>
    <cellStyle name="Normal 5 2 3 2 2 2 5 3" xfId="6453" xr:uid="{00000000-0005-0000-0000-000046180000}"/>
    <cellStyle name="Normal 5 2 3 2 2 2 5 3 2" xfId="14889" xr:uid="{BF80F020-4756-4D14-96CB-393731364DB0}"/>
    <cellStyle name="Normal 5 2 3 2 2 2 5 4" xfId="10671" xr:uid="{0D4E533B-E61C-41FD-872D-E8F55ED3AE33}"/>
    <cellStyle name="Normal 5 2 3 2 2 2 6" xfId="2582" xr:uid="{00000000-0005-0000-0000-000047180000}"/>
    <cellStyle name="Normal 5 2 3 2 2 2 6 2" xfId="6866" xr:uid="{00000000-0005-0000-0000-000048180000}"/>
    <cellStyle name="Normal 5 2 3 2 2 2 6 2 2" xfId="15302" xr:uid="{E6808D50-CA90-42C9-9153-38B49D3607E8}"/>
    <cellStyle name="Normal 5 2 3 2 2 2 6 3" xfId="11084" xr:uid="{541AA1BE-9977-412E-9D98-A8D6967DC22D}"/>
    <cellStyle name="Normal 5 2 3 2 2 2 7" xfId="4801" xr:uid="{00000000-0005-0000-0000-000049180000}"/>
    <cellStyle name="Normal 5 2 3 2 2 2 7 2" xfId="13237" xr:uid="{AFEAE599-8EFC-4308-8209-B9CC68B00D0B}"/>
    <cellStyle name="Normal 5 2 3 2 2 2 8" xfId="9019" xr:uid="{E506C0B9-9465-4233-8A77-8499FEECA228}"/>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4" xr:uid="{6CAE1AB9-EF60-48D4-B79A-AFA60986A440}"/>
    <cellStyle name="Normal 5 2 3 2 2 3 2 3" xfId="11576" xr:uid="{4F0519C5-B3E1-412A-A973-8C27DA95890E}"/>
    <cellStyle name="Normal 5 2 3 2 2 3 3" xfId="5213" xr:uid="{00000000-0005-0000-0000-00004D180000}"/>
    <cellStyle name="Normal 5 2 3 2 2 3 3 2" xfId="13649" xr:uid="{9140CE8B-3339-47D1-B07F-9F758283D293}"/>
    <cellStyle name="Normal 5 2 3 2 2 3 4" xfId="9431" xr:uid="{5454DB74-8404-42E5-8316-F17A0EADB511}"/>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07" xr:uid="{21F5A0B3-F196-4B7D-B891-214B8F4642E5}"/>
    <cellStyle name="Normal 5 2 3 2 2 4 2 3" xfId="11989" xr:uid="{A7149178-BA5D-4FC6-9FDF-417F5931A858}"/>
    <cellStyle name="Normal 5 2 3 2 2 4 3" xfId="5626" xr:uid="{00000000-0005-0000-0000-000051180000}"/>
    <cellStyle name="Normal 5 2 3 2 2 4 3 2" xfId="14062" xr:uid="{F7375919-020D-49F4-86B5-EBAAB1B0D26A}"/>
    <cellStyle name="Normal 5 2 3 2 2 4 4" xfId="9844" xr:uid="{CA1A3068-A6AD-4C54-B875-3977EC040552}"/>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0" xr:uid="{2E8C16A1-20AD-49B5-A3C0-EFD628E7C20C}"/>
    <cellStyle name="Normal 5 2 3 2 2 5 2 3" xfId="12402" xr:uid="{7C0CC2D9-56C9-47AC-B44A-E266E5D1240B}"/>
    <cellStyle name="Normal 5 2 3 2 2 5 3" xfId="6039" xr:uid="{00000000-0005-0000-0000-000055180000}"/>
    <cellStyle name="Normal 5 2 3 2 2 5 3 2" xfId="14475" xr:uid="{D6044425-81E3-4971-96B8-B29EF1EFD8E8}"/>
    <cellStyle name="Normal 5 2 3 2 2 5 4" xfId="10257" xr:uid="{B66B2E7F-907D-450D-940B-6A6EEF2C27DC}"/>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3" xr:uid="{03A094E7-99FC-48DD-8D8F-C64D0938B3E8}"/>
    <cellStyle name="Normal 5 2 3 2 2 6 2 3" xfId="12815" xr:uid="{C4FDB740-3BCD-41E2-9560-9FF85C1221CB}"/>
    <cellStyle name="Normal 5 2 3 2 2 6 3" xfId="6452" xr:uid="{00000000-0005-0000-0000-000059180000}"/>
    <cellStyle name="Normal 5 2 3 2 2 6 3 2" xfId="14888" xr:uid="{21A67DF5-CD1E-4D05-9038-CA8A92A91923}"/>
    <cellStyle name="Normal 5 2 3 2 2 6 4" xfId="10670" xr:uid="{5E1A3860-8FE3-4F9D-BC92-AC75F8840CCB}"/>
    <cellStyle name="Normal 5 2 3 2 2 7" xfId="2581" xr:uid="{00000000-0005-0000-0000-00005A180000}"/>
    <cellStyle name="Normal 5 2 3 2 2 7 2" xfId="6865" xr:uid="{00000000-0005-0000-0000-00005B180000}"/>
    <cellStyle name="Normal 5 2 3 2 2 7 2 2" xfId="15301" xr:uid="{8232B9DE-2E6C-4B25-8230-53AC83010F20}"/>
    <cellStyle name="Normal 5 2 3 2 2 7 3" xfId="11083" xr:uid="{91169A02-D277-46B0-9205-362F9DA0B57B}"/>
    <cellStyle name="Normal 5 2 3 2 2 8" xfId="4800" xr:uid="{00000000-0005-0000-0000-00005C180000}"/>
    <cellStyle name="Normal 5 2 3 2 2 8 2" xfId="13236" xr:uid="{3EEC598D-CE9B-429A-82C1-5BCC128BD728}"/>
    <cellStyle name="Normal 5 2 3 2 2 9" xfId="9018" xr:uid="{1C1D394F-A8A2-46AF-9E6B-F22B3A77652B}"/>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6" xr:uid="{7A8BFC34-0D79-4C6E-9C04-49BB9C44679D}"/>
    <cellStyle name="Normal 5 2 3 2 3 2 2 3" xfId="11578" xr:uid="{4BC6CEF0-5F19-4CEC-8EA3-115C1AEE6A27}"/>
    <cellStyle name="Normal 5 2 3 2 3 2 3" xfId="5215" xr:uid="{00000000-0005-0000-0000-000061180000}"/>
    <cellStyle name="Normal 5 2 3 2 3 2 3 2" xfId="13651" xr:uid="{D47F6A54-4D07-44C5-B5FB-58B01A61F936}"/>
    <cellStyle name="Normal 5 2 3 2 3 2 4" xfId="9433" xr:uid="{24DC855B-3925-496F-B956-8530BE1848C3}"/>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09" xr:uid="{F230ACC7-E63F-4981-A7CE-A87E7664DDA3}"/>
    <cellStyle name="Normal 5 2 3 2 3 3 2 3" xfId="11991" xr:uid="{85E926A8-9316-410D-8B75-0365E9C20D08}"/>
    <cellStyle name="Normal 5 2 3 2 3 3 3" xfId="5628" xr:uid="{00000000-0005-0000-0000-000065180000}"/>
    <cellStyle name="Normal 5 2 3 2 3 3 3 2" xfId="14064" xr:uid="{41663669-5F94-4705-8E62-349E59FF1730}"/>
    <cellStyle name="Normal 5 2 3 2 3 3 4" xfId="9846" xr:uid="{84E164EF-EDD0-4B9B-A1F7-1EDA0C5F1BC8}"/>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2" xr:uid="{E50F8622-5607-4CB1-9157-17ADE8E159B2}"/>
    <cellStyle name="Normal 5 2 3 2 3 4 2 3" xfId="12404" xr:uid="{6905187E-E5AA-4903-AE75-DB90E9AA64FB}"/>
    <cellStyle name="Normal 5 2 3 2 3 4 3" xfId="6041" xr:uid="{00000000-0005-0000-0000-000069180000}"/>
    <cellStyle name="Normal 5 2 3 2 3 4 3 2" xfId="14477" xr:uid="{16F98F3A-201A-414C-B772-B67F19280D04}"/>
    <cellStyle name="Normal 5 2 3 2 3 4 4" xfId="10259" xr:uid="{D6271BC6-BDD8-4201-AF02-2CD6468C9729}"/>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5" xr:uid="{12C5EE29-D656-4090-B522-88735E6838CD}"/>
    <cellStyle name="Normal 5 2 3 2 3 5 2 3" xfId="12817" xr:uid="{6E8011EC-1052-495B-8068-B50264ACDAEC}"/>
    <cellStyle name="Normal 5 2 3 2 3 5 3" xfId="6454" xr:uid="{00000000-0005-0000-0000-00006D180000}"/>
    <cellStyle name="Normal 5 2 3 2 3 5 3 2" xfId="14890" xr:uid="{4512E0E9-4449-4D88-BE7E-BD3D22B46CCB}"/>
    <cellStyle name="Normal 5 2 3 2 3 5 4" xfId="10672" xr:uid="{5D91F261-6379-4DE6-A9D0-20EF8874B9EA}"/>
    <cellStyle name="Normal 5 2 3 2 3 6" xfId="2583" xr:uid="{00000000-0005-0000-0000-00006E180000}"/>
    <cellStyle name="Normal 5 2 3 2 3 6 2" xfId="6867" xr:uid="{00000000-0005-0000-0000-00006F180000}"/>
    <cellStyle name="Normal 5 2 3 2 3 6 2 2" xfId="15303" xr:uid="{025B7B41-C988-42B8-8748-E89E06A5F331}"/>
    <cellStyle name="Normal 5 2 3 2 3 6 3" xfId="11085" xr:uid="{29858BA8-2098-4994-911B-30E5A8D27188}"/>
    <cellStyle name="Normal 5 2 3 2 3 7" xfId="4802" xr:uid="{00000000-0005-0000-0000-000070180000}"/>
    <cellStyle name="Normal 5 2 3 2 3 7 2" xfId="13238" xr:uid="{C00B1499-23A8-4F03-A659-1E777071C81A}"/>
    <cellStyle name="Normal 5 2 3 2 3 8" xfId="9020" xr:uid="{50AB9BCC-66A8-4715-8CB0-4D07C6D0592D}"/>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3" xr:uid="{53CB559C-B020-45C9-A5CA-A8FA362BC335}"/>
    <cellStyle name="Normal 5 2 3 2 4 2 3" xfId="11575" xr:uid="{FCE53151-F3A7-46C2-B968-DEDF3AB5D592}"/>
    <cellStyle name="Normal 5 2 3 2 4 3" xfId="5212" xr:uid="{00000000-0005-0000-0000-000074180000}"/>
    <cellStyle name="Normal 5 2 3 2 4 3 2" xfId="13648" xr:uid="{8665E106-9DE6-4291-94F4-794752BC6236}"/>
    <cellStyle name="Normal 5 2 3 2 4 4" xfId="9430" xr:uid="{9FD92C2F-9D55-434D-9681-ADB5405CA723}"/>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6" xr:uid="{D21F4928-61A0-4ACA-AF84-C7D25078211E}"/>
    <cellStyle name="Normal 5 2 3 2 5 2 3" xfId="11988" xr:uid="{D4A8E52C-C2B3-4A45-A4DC-399D03A1E585}"/>
    <cellStyle name="Normal 5 2 3 2 5 3" xfId="5625" xr:uid="{00000000-0005-0000-0000-000078180000}"/>
    <cellStyle name="Normal 5 2 3 2 5 3 2" xfId="14061" xr:uid="{78B32369-6ACC-431B-82ED-EE9DD9B5983B}"/>
    <cellStyle name="Normal 5 2 3 2 5 4" xfId="9843" xr:uid="{5C1043F3-FCC6-4EF1-B454-0FB5FF4D9964}"/>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19" xr:uid="{06F46D80-F63F-474D-B161-4E7AB3A49DDF}"/>
    <cellStyle name="Normal 5 2 3 2 6 2 3" xfId="12401" xr:uid="{7BB98CD5-64CF-481F-9F37-F0ADB0C45DE1}"/>
    <cellStyle name="Normal 5 2 3 2 6 3" xfId="6038" xr:uid="{00000000-0005-0000-0000-00007C180000}"/>
    <cellStyle name="Normal 5 2 3 2 6 3 2" xfId="14474" xr:uid="{E24D072D-5297-424C-A8F8-FE384741CFD4}"/>
    <cellStyle name="Normal 5 2 3 2 6 4" xfId="10256" xr:uid="{8FD6E271-B074-49AC-995D-5DBE8C7293D3}"/>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2" xr:uid="{7DE46676-07D8-46D1-A7F4-B0997A1F0E4D}"/>
    <cellStyle name="Normal 5 2 3 2 7 2 3" xfId="12814" xr:uid="{E9F7D5E1-50F0-4E30-8463-A4392066B889}"/>
    <cellStyle name="Normal 5 2 3 2 7 3" xfId="6451" xr:uid="{00000000-0005-0000-0000-000080180000}"/>
    <cellStyle name="Normal 5 2 3 2 7 3 2" xfId="14887" xr:uid="{48F9A28E-6306-4298-B306-857954AE6EA9}"/>
    <cellStyle name="Normal 5 2 3 2 7 4" xfId="10669" xr:uid="{2A519762-F4C8-4AB6-BE6E-C9B6CD313A95}"/>
    <cellStyle name="Normal 5 2 3 2 8" xfId="2580" xr:uid="{00000000-0005-0000-0000-000081180000}"/>
    <cellStyle name="Normal 5 2 3 2 8 2" xfId="6864" xr:uid="{00000000-0005-0000-0000-000082180000}"/>
    <cellStyle name="Normal 5 2 3 2 8 2 2" xfId="15300" xr:uid="{E059563E-8D38-4C6A-A448-0475D29251D1}"/>
    <cellStyle name="Normal 5 2 3 2 8 3" xfId="11082" xr:uid="{D361D757-1931-4919-B57D-BB665CB81F3F}"/>
    <cellStyle name="Normal 5 2 3 2 9" xfId="4799" xr:uid="{00000000-0005-0000-0000-000083180000}"/>
    <cellStyle name="Normal 5 2 3 2 9 2" xfId="13235" xr:uid="{82150940-B39A-4BB0-9B43-64EDDEF09ECB}"/>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798" xr:uid="{83CC0985-6BA3-46AD-83F3-59836AE1136C}"/>
    <cellStyle name="Normal 5 2 3 3 2 2 2 3" xfId="11580" xr:uid="{568FA837-C2C5-4353-AD08-C7C791469B81}"/>
    <cellStyle name="Normal 5 2 3 3 2 2 3" xfId="5217" xr:uid="{00000000-0005-0000-0000-000089180000}"/>
    <cellStyle name="Normal 5 2 3 3 2 2 3 2" xfId="13653" xr:uid="{306F0888-B588-46AE-A0AE-F614123D6E92}"/>
    <cellStyle name="Normal 5 2 3 3 2 2 4" xfId="9435" xr:uid="{D69ED0AD-9804-48F2-9E8F-8E92A63FD9D4}"/>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1" xr:uid="{9417AE2E-3C8C-40F9-AE74-55A20165EBCD}"/>
    <cellStyle name="Normal 5 2 3 3 2 3 2 3" xfId="11993" xr:uid="{C11A5A59-810E-4D74-98F9-53E1F19C7089}"/>
    <cellStyle name="Normal 5 2 3 3 2 3 3" xfId="5630" xr:uid="{00000000-0005-0000-0000-00008D180000}"/>
    <cellStyle name="Normal 5 2 3 3 2 3 3 2" xfId="14066" xr:uid="{7AAB1843-0380-4F8A-B47F-4474DF1D80D6}"/>
    <cellStyle name="Normal 5 2 3 3 2 3 4" xfId="9848" xr:uid="{FC73A555-3EFF-4965-8B1D-607C9C05E515}"/>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4" xr:uid="{B4F266B4-4A1B-43FB-909F-ECD1C9CF543E}"/>
    <cellStyle name="Normal 5 2 3 3 2 4 2 3" xfId="12406" xr:uid="{AE1EEF74-162E-4BA3-B7AD-894326099E91}"/>
    <cellStyle name="Normal 5 2 3 3 2 4 3" xfId="6043" xr:uid="{00000000-0005-0000-0000-000091180000}"/>
    <cellStyle name="Normal 5 2 3 3 2 4 3 2" xfId="14479" xr:uid="{ACA99A8A-5FE5-45B8-A093-2845FC3C667A}"/>
    <cellStyle name="Normal 5 2 3 3 2 4 4" xfId="10261" xr:uid="{03468068-F009-4CAB-8C68-CF2E252A55CF}"/>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37" xr:uid="{D703663D-8754-4753-BEED-571AEACF031B}"/>
    <cellStyle name="Normal 5 2 3 3 2 5 2 3" xfId="12819" xr:uid="{B735423C-1DBC-4249-9053-EA1B1F011FFF}"/>
    <cellStyle name="Normal 5 2 3 3 2 5 3" xfId="6456" xr:uid="{00000000-0005-0000-0000-000095180000}"/>
    <cellStyle name="Normal 5 2 3 3 2 5 3 2" xfId="14892" xr:uid="{D3D22608-3BA9-420B-B86C-300AE08931B3}"/>
    <cellStyle name="Normal 5 2 3 3 2 5 4" xfId="10674" xr:uid="{7B324689-DE2D-4A2F-B6C5-A244B10107BA}"/>
    <cellStyle name="Normal 5 2 3 3 2 6" xfId="2585" xr:uid="{00000000-0005-0000-0000-000096180000}"/>
    <cellStyle name="Normal 5 2 3 3 2 6 2" xfId="6869" xr:uid="{00000000-0005-0000-0000-000097180000}"/>
    <cellStyle name="Normal 5 2 3 3 2 6 2 2" xfId="15305" xr:uid="{AC32C889-B0E5-4804-ACFA-3CE500C5143D}"/>
    <cellStyle name="Normal 5 2 3 3 2 6 3" xfId="11087" xr:uid="{3AE07C1E-6CF9-41FE-9AC6-F805D5409E7A}"/>
    <cellStyle name="Normal 5 2 3 3 2 7" xfId="4804" xr:uid="{00000000-0005-0000-0000-000098180000}"/>
    <cellStyle name="Normal 5 2 3 3 2 7 2" xfId="13240" xr:uid="{CA866AE2-F1C3-486C-A05D-86E874AAE99D}"/>
    <cellStyle name="Normal 5 2 3 3 2 8" xfId="9022" xr:uid="{D8340128-BB95-42AB-AD69-3144DE3DD3F2}"/>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797" xr:uid="{5FB46892-AB73-494C-A49A-D14A03C4482B}"/>
    <cellStyle name="Normal 5 2 3 3 3 2 3" xfId="11579" xr:uid="{C6F84853-09D3-413F-B3E6-11703AC0FD5E}"/>
    <cellStyle name="Normal 5 2 3 3 3 3" xfId="5216" xr:uid="{00000000-0005-0000-0000-00009C180000}"/>
    <cellStyle name="Normal 5 2 3 3 3 3 2" xfId="13652" xr:uid="{F2EA537F-5A96-47F8-9D66-E34468A7FB9C}"/>
    <cellStyle name="Normal 5 2 3 3 3 4" xfId="9434" xr:uid="{63397A83-52F7-499D-97BB-B1AE153A386E}"/>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0" xr:uid="{33A497D0-9263-4118-90DE-CC9440307230}"/>
    <cellStyle name="Normal 5 2 3 3 4 2 3" xfId="11992" xr:uid="{4C10B15F-BB0E-4CAC-8CE2-7D4651BB4027}"/>
    <cellStyle name="Normal 5 2 3 3 4 3" xfId="5629" xr:uid="{00000000-0005-0000-0000-0000A0180000}"/>
    <cellStyle name="Normal 5 2 3 3 4 3 2" xfId="14065" xr:uid="{6004B58F-D860-4D2F-9C69-D397E727D0C3}"/>
    <cellStyle name="Normal 5 2 3 3 4 4" xfId="9847" xr:uid="{71245AEB-2BF1-4D40-9B57-CCBEC962E5E5}"/>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3" xr:uid="{42373FE1-35C9-444A-915F-2A8EF4B1996E}"/>
    <cellStyle name="Normal 5 2 3 3 5 2 3" xfId="12405" xr:uid="{7A5486DA-9209-4955-A9EC-19CE71FC3B0A}"/>
    <cellStyle name="Normal 5 2 3 3 5 3" xfId="6042" xr:uid="{00000000-0005-0000-0000-0000A4180000}"/>
    <cellStyle name="Normal 5 2 3 3 5 3 2" xfId="14478" xr:uid="{2101BC49-8A39-4811-808F-F1173081C635}"/>
    <cellStyle name="Normal 5 2 3 3 5 4" xfId="10260" xr:uid="{CC26DEC0-FF72-478C-B917-8D6A17DF3A9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6" xr:uid="{1D2EF2BC-9DC7-4570-A9E1-9C532B214119}"/>
    <cellStyle name="Normal 5 2 3 3 6 2 3" xfId="12818" xr:uid="{BCE08D04-FC17-4CD8-8E69-55E116F315A6}"/>
    <cellStyle name="Normal 5 2 3 3 6 3" xfId="6455" xr:uid="{00000000-0005-0000-0000-0000A8180000}"/>
    <cellStyle name="Normal 5 2 3 3 6 3 2" xfId="14891" xr:uid="{BB5B8198-137E-45A8-B9FB-8F59FFCECBDE}"/>
    <cellStyle name="Normal 5 2 3 3 6 4" xfId="10673" xr:uid="{6CE136E1-4BC1-4695-814F-2416B5F34A5B}"/>
    <cellStyle name="Normal 5 2 3 3 7" xfId="2584" xr:uid="{00000000-0005-0000-0000-0000A9180000}"/>
    <cellStyle name="Normal 5 2 3 3 7 2" xfId="6868" xr:uid="{00000000-0005-0000-0000-0000AA180000}"/>
    <cellStyle name="Normal 5 2 3 3 7 2 2" xfId="15304" xr:uid="{CC2BA943-A949-4DD4-8B29-102B36A156BE}"/>
    <cellStyle name="Normal 5 2 3 3 7 3" xfId="11086" xr:uid="{DED8CCFB-0B24-43FF-B82E-30B1C80724B7}"/>
    <cellStyle name="Normal 5 2 3 3 8" xfId="4803" xr:uid="{00000000-0005-0000-0000-0000AB180000}"/>
    <cellStyle name="Normal 5 2 3 3 8 2" xfId="13239" xr:uid="{979120C7-CAB1-4CA0-8E92-06C13E821E61}"/>
    <cellStyle name="Normal 5 2 3 3 9" xfId="9021" xr:uid="{64485693-6038-494E-9E90-2F6D445D39ED}"/>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799" xr:uid="{FD8486A8-E6FA-4E6F-8C19-A09326A17747}"/>
    <cellStyle name="Normal 5 2 3 4 2 2 3" xfId="11581" xr:uid="{752AB4C0-4DC2-4C9B-AB2C-6FB167C6502D}"/>
    <cellStyle name="Normal 5 2 3 4 2 3" xfId="5218" xr:uid="{00000000-0005-0000-0000-0000B0180000}"/>
    <cellStyle name="Normal 5 2 3 4 2 3 2" xfId="13654" xr:uid="{8C6F6634-14CB-4EDA-9D78-D8C83B3E1149}"/>
    <cellStyle name="Normal 5 2 3 4 2 4" xfId="9436" xr:uid="{7F4DCF75-A2FE-400B-BAC8-27A2CD8BDFF6}"/>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2" xr:uid="{8CDA67A5-5272-42E9-A787-5A257CEF7151}"/>
    <cellStyle name="Normal 5 2 3 4 3 2 3" xfId="11994" xr:uid="{555BE1DC-4FE1-475C-BECE-944A8B26DC18}"/>
    <cellStyle name="Normal 5 2 3 4 3 3" xfId="5631" xr:uid="{00000000-0005-0000-0000-0000B4180000}"/>
    <cellStyle name="Normal 5 2 3 4 3 3 2" xfId="14067" xr:uid="{FFE57308-A36F-4DBE-AEBA-F2505DD30132}"/>
    <cellStyle name="Normal 5 2 3 4 3 4" xfId="9849" xr:uid="{2DB25A6E-288F-4551-BE3A-FD94EFF4ED04}"/>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5" xr:uid="{2AC65192-9856-43A7-9FB0-2244C45C1BD0}"/>
    <cellStyle name="Normal 5 2 3 4 4 2 3" xfId="12407" xr:uid="{78400FF8-95D2-49DB-B6B8-4A559015001A}"/>
    <cellStyle name="Normal 5 2 3 4 4 3" xfId="6044" xr:uid="{00000000-0005-0000-0000-0000B8180000}"/>
    <cellStyle name="Normal 5 2 3 4 4 3 2" xfId="14480" xr:uid="{EA17C8B3-0443-4DB7-BF3E-F05C5C9C5595}"/>
    <cellStyle name="Normal 5 2 3 4 4 4" xfId="10262" xr:uid="{21F8D7C2-ABB8-4D96-B4F1-60A7832390D2}"/>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38" xr:uid="{2CBA96E4-7F61-45DE-8763-DB7001B79924}"/>
    <cellStyle name="Normal 5 2 3 4 5 2 3" xfId="12820" xr:uid="{473B41CC-A7FE-40DE-9A32-8C597828CD0A}"/>
    <cellStyle name="Normal 5 2 3 4 5 3" xfId="6457" xr:uid="{00000000-0005-0000-0000-0000BC180000}"/>
    <cellStyle name="Normal 5 2 3 4 5 3 2" xfId="14893" xr:uid="{93320F8E-58EC-416A-B6C2-1E785B0AD6BA}"/>
    <cellStyle name="Normal 5 2 3 4 5 4" xfId="10675" xr:uid="{13540DAC-57B9-4BB0-86BF-833278B4B49E}"/>
    <cellStyle name="Normal 5 2 3 4 6" xfId="2586" xr:uid="{00000000-0005-0000-0000-0000BD180000}"/>
    <cellStyle name="Normal 5 2 3 4 6 2" xfId="6870" xr:uid="{00000000-0005-0000-0000-0000BE180000}"/>
    <cellStyle name="Normal 5 2 3 4 6 2 2" xfId="15306" xr:uid="{1B46DC5D-369A-4CF5-9C75-22419CD9CE12}"/>
    <cellStyle name="Normal 5 2 3 4 6 3" xfId="11088" xr:uid="{BDEB302F-7CB5-4571-9079-0D26A1DBE319}"/>
    <cellStyle name="Normal 5 2 3 4 7" xfId="4805" xr:uid="{00000000-0005-0000-0000-0000BF180000}"/>
    <cellStyle name="Normal 5 2 3 4 7 2" xfId="13241" xr:uid="{4688F282-A41F-400F-890E-11A5233CB97A}"/>
    <cellStyle name="Normal 5 2 3 4 8" xfId="9023" xr:uid="{38238F67-4C6B-4263-A65C-A82EC7C82DA0}"/>
    <cellStyle name="Normal 5 2 3 5" xfId="898" xr:uid="{00000000-0005-0000-0000-0000C0180000}"/>
    <cellStyle name="Normal 5 2 3 5 2" xfId="3133" xr:uid="{00000000-0005-0000-0000-0000C1180000}"/>
    <cellStyle name="Normal 5 2 3 5 2 2" xfId="7356" xr:uid="{00000000-0005-0000-0000-0000C2180000}"/>
    <cellStyle name="Normal 5 2 3 5 2 2 2" xfId="15792" xr:uid="{351F6ECA-6366-4A0C-9749-601DC5F0F86A}"/>
    <cellStyle name="Normal 5 2 3 5 2 3" xfId="11574" xr:uid="{2CD8CEC9-551E-4278-BC58-DDB12DECF76E}"/>
    <cellStyle name="Normal 5 2 3 5 3" xfId="5211" xr:uid="{00000000-0005-0000-0000-0000C3180000}"/>
    <cellStyle name="Normal 5 2 3 5 3 2" xfId="13647" xr:uid="{3B53D048-F32A-42F1-A5D6-880612202DA8}"/>
    <cellStyle name="Normal 5 2 3 5 4" xfId="9429" xr:uid="{2D711EC2-FE6E-4747-8D28-2729AE300264}"/>
    <cellStyle name="Normal 5 2 3 6" xfId="1316" xr:uid="{00000000-0005-0000-0000-0000C4180000}"/>
    <cellStyle name="Normal 5 2 3 6 2" xfId="3546" xr:uid="{00000000-0005-0000-0000-0000C5180000}"/>
    <cellStyle name="Normal 5 2 3 6 2 2" xfId="7769" xr:uid="{00000000-0005-0000-0000-0000C6180000}"/>
    <cellStyle name="Normal 5 2 3 6 2 2 2" xfId="16205" xr:uid="{FA76984F-9A57-4C11-999E-D84AA0E482BB}"/>
    <cellStyle name="Normal 5 2 3 6 2 3" xfId="11987" xr:uid="{030AAD0D-90DA-4347-BE98-1851D24AFCD7}"/>
    <cellStyle name="Normal 5 2 3 6 3" xfId="5624" xr:uid="{00000000-0005-0000-0000-0000C7180000}"/>
    <cellStyle name="Normal 5 2 3 6 3 2" xfId="14060" xr:uid="{3919063F-47FB-4020-95F6-0FAC7D62E212}"/>
    <cellStyle name="Normal 5 2 3 6 4" xfId="9842" xr:uid="{34317E37-6824-45A5-AE36-9CC436018596}"/>
    <cellStyle name="Normal 5 2 3 7" xfId="1729" xr:uid="{00000000-0005-0000-0000-0000C8180000}"/>
    <cellStyle name="Normal 5 2 3 7 2" xfId="3959" xr:uid="{00000000-0005-0000-0000-0000C9180000}"/>
    <cellStyle name="Normal 5 2 3 7 2 2" xfId="8182" xr:uid="{00000000-0005-0000-0000-0000CA180000}"/>
    <cellStyle name="Normal 5 2 3 7 2 2 2" xfId="16618" xr:uid="{F66AF697-084E-4609-B03B-DE808E379865}"/>
    <cellStyle name="Normal 5 2 3 7 2 3" xfId="12400" xr:uid="{E51D2DAD-C9A0-4A3E-8678-2FB613D8B3DE}"/>
    <cellStyle name="Normal 5 2 3 7 3" xfId="6037" xr:uid="{00000000-0005-0000-0000-0000CB180000}"/>
    <cellStyle name="Normal 5 2 3 7 3 2" xfId="14473" xr:uid="{9E16B9F0-7E92-40DB-AC37-0E7896EE29F3}"/>
    <cellStyle name="Normal 5 2 3 7 4" xfId="10255" xr:uid="{67D7CAFF-5D06-4E31-8880-E1F8C44B55DD}"/>
    <cellStyle name="Normal 5 2 3 8" xfId="2143" xr:uid="{00000000-0005-0000-0000-0000CC180000}"/>
    <cellStyle name="Normal 5 2 3 8 2" xfId="4372" xr:uid="{00000000-0005-0000-0000-0000CD180000}"/>
    <cellStyle name="Normal 5 2 3 8 2 2" xfId="8595" xr:uid="{00000000-0005-0000-0000-0000CE180000}"/>
    <cellStyle name="Normal 5 2 3 8 2 2 2" xfId="17031" xr:uid="{1435DEE9-13D3-4BE5-902A-A6EC5152C1FD}"/>
    <cellStyle name="Normal 5 2 3 8 2 3" xfId="12813" xr:uid="{86DADBC4-8B3F-4BCD-8D18-6D3CC679FAD7}"/>
    <cellStyle name="Normal 5 2 3 8 3" xfId="6450" xr:uid="{00000000-0005-0000-0000-0000CF180000}"/>
    <cellStyle name="Normal 5 2 3 8 3 2" xfId="14886" xr:uid="{A4AB8BF0-826D-48E2-A38D-4B058CC696F0}"/>
    <cellStyle name="Normal 5 2 3 8 4" xfId="10668" xr:uid="{9EFEE5C9-FD9C-48BA-921B-2E9772FA2BDB}"/>
    <cellStyle name="Normal 5 2 3 9" xfId="2579" xr:uid="{00000000-0005-0000-0000-0000D0180000}"/>
    <cellStyle name="Normal 5 2 3 9 2" xfId="6863" xr:uid="{00000000-0005-0000-0000-0000D1180000}"/>
    <cellStyle name="Normal 5 2 3 9 2 2" xfId="15299" xr:uid="{9B28F582-11B1-47D6-8BD3-23D2E8CC6C99}"/>
    <cellStyle name="Normal 5 2 3 9 3" xfId="11081" xr:uid="{48CDC9F5-A34E-426E-834E-D774E0773A96}"/>
    <cellStyle name="Normal 5 2 4" xfId="432" xr:uid="{00000000-0005-0000-0000-0000D2180000}"/>
    <cellStyle name="Normal 5 2 4 10" xfId="9024" xr:uid="{C9FAE27A-863E-4CEF-989F-B08CF073DABC}"/>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2" xr:uid="{A52917AB-0E2D-4755-B801-3624563C189C}"/>
    <cellStyle name="Normal 5 2 4 2 2 2 2 3" xfId="11584" xr:uid="{46F4ED34-0636-45A8-B1C4-C1CF5319399C}"/>
    <cellStyle name="Normal 5 2 4 2 2 2 3" xfId="5221" xr:uid="{00000000-0005-0000-0000-0000D8180000}"/>
    <cellStyle name="Normal 5 2 4 2 2 2 3 2" xfId="13657" xr:uid="{C6E98DBA-40E8-43E1-A9F4-883E924BF813}"/>
    <cellStyle name="Normal 5 2 4 2 2 2 4" xfId="9439" xr:uid="{E165B8CC-3490-4562-B4AE-798D164F1C77}"/>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5" xr:uid="{ED126011-05E7-4DA2-817E-4B05937C539D}"/>
    <cellStyle name="Normal 5 2 4 2 2 3 2 3" xfId="11997" xr:uid="{78B69271-42E5-451F-862A-46503373F563}"/>
    <cellStyle name="Normal 5 2 4 2 2 3 3" xfId="5634" xr:uid="{00000000-0005-0000-0000-0000DC180000}"/>
    <cellStyle name="Normal 5 2 4 2 2 3 3 2" xfId="14070" xr:uid="{4CD34E41-5306-4AF3-B71D-433518AC0B17}"/>
    <cellStyle name="Normal 5 2 4 2 2 3 4" xfId="9852" xr:uid="{84601BAD-F2CB-4580-A84B-33BE09B7ABAF}"/>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28" xr:uid="{DA1B3A1B-9696-46CB-AB12-C0AD5ACD3B14}"/>
    <cellStyle name="Normal 5 2 4 2 2 4 2 3" xfId="12410" xr:uid="{105A8E66-40F5-42C5-B58B-3FF6B927D0BC}"/>
    <cellStyle name="Normal 5 2 4 2 2 4 3" xfId="6047" xr:uid="{00000000-0005-0000-0000-0000E0180000}"/>
    <cellStyle name="Normal 5 2 4 2 2 4 3 2" xfId="14483" xr:uid="{F28BF9E9-67AB-496E-AA9D-DEE000F17991}"/>
    <cellStyle name="Normal 5 2 4 2 2 4 4" xfId="10265" xr:uid="{110009A0-CF3B-4C8C-8714-D789EF6C1C2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1" xr:uid="{BB5B1EA8-C33E-4B89-BE90-41A431869A61}"/>
    <cellStyle name="Normal 5 2 4 2 2 5 2 3" xfId="12823" xr:uid="{99F5A575-F213-4EED-871C-CABD656983BF}"/>
    <cellStyle name="Normal 5 2 4 2 2 5 3" xfId="6460" xr:uid="{00000000-0005-0000-0000-0000E4180000}"/>
    <cellStyle name="Normal 5 2 4 2 2 5 3 2" xfId="14896" xr:uid="{B6E2F658-4573-451B-93B9-45C26F7ADAB4}"/>
    <cellStyle name="Normal 5 2 4 2 2 5 4" xfId="10678" xr:uid="{557C3D3D-4516-4A45-86B1-FF50AB70156E}"/>
    <cellStyle name="Normal 5 2 4 2 2 6" xfId="2589" xr:uid="{00000000-0005-0000-0000-0000E5180000}"/>
    <cellStyle name="Normal 5 2 4 2 2 6 2" xfId="6873" xr:uid="{00000000-0005-0000-0000-0000E6180000}"/>
    <cellStyle name="Normal 5 2 4 2 2 6 2 2" xfId="15309" xr:uid="{937C32DE-D79E-4EC2-8B2A-65F2F7CDC3A3}"/>
    <cellStyle name="Normal 5 2 4 2 2 6 3" xfId="11091" xr:uid="{0471253C-1B86-4C17-8256-0FC2FD93B40A}"/>
    <cellStyle name="Normal 5 2 4 2 2 7" xfId="4808" xr:uid="{00000000-0005-0000-0000-0000E7180000}"/>
    <cellStyle name="Normal 5 2 4 2 2 7 2" xfId="13244" xr:uid="{E021C9AB-52A7-4C14-82E6-0E99C1EC4742}"/>
    <cellStyle name="Normal 5 2 4 2 2 8" xfId="9026" xr:uid="{F24388B7-543F-4525-ABB5-F46CA0D897BB}"/>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1" xr:uid="{3500EEBA-AB08-4CA7-BC98-713F90953970}"/>
    <cellStyle name="Normal 5 2 4 2 3 2 3" xfId="11583" xr:uid="{73C99648-20FA-4220-A46E-D7E0A650DF88}"/>
    <cellStyle name="Normal 5 2 4 2 3 3" xfId="5220" xr:uid="{00000000-0005-0000-0000-0000EB180000}"/>
    <cellStyle name="Normal 5 2 4 2 3 3 2" xfId="13656" xr:uid="{7F5758FA-4A71-49C3-B726-AD02B704E5D5}"/>
    <cellStyle name="Normal 5 2 4 2 3 4" xfId="9438" xr:uid="{BA0F8D46-0A6E-4EC8-9C05-1E463B316954}"/>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4" xr:uid="{12F115D3-5700-428F-98FF-2D96A287C37D}"/>
    <cellStyle name="Normal 5 2 4 2 4 2 3" xfId="11996" xr:uid="{8B73E71A-684C-4E0C-B69E-2AAC439B987B}"/>
    <cellStyle name="Normal 5 2 4 2 4 3" xfId="5633" xr:uid="{00000000-0005-0000-0000-0000EF180000}"/>
    <cellStyle name="Normal 5 2 4 2 4 3 2" xfId="14069" xr:uid="{74A7154D-CB85-4470-A145-6EADA3166E7A}"/>
    <cellStyle name="Normal 5 2 4 2 4 4" xfId="9851" xr:uid="{B8993E26-CFB1-4365-B77C-370ADDFDA6FE}"/>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27" xr:uid="{11CD4071-E5F0-4135-9543-E576E2BADEBC}"/>
    <cellStyle name="Normal 5 2 4 2 5 2 3" xfId="12409" xr:uid="{71469ADE-01FC-4FDB-AA57-AC91A32783C5}"/>
    <cellStyle name="Normal 5 2 4 2 5 3" xfId="6046" xr:uid="{00000000-0005-0000-0000-0000F3180000}"/>
    <cellStyle name="Normal 5 2 4 2 5 3 2" xfId="14482" xr:uid="{6FFA8B71-B4CF-428B-99D7-B65B51EFD702}"/>
    <cellStyle name="Normal 5 2 4 2 5 4" xfId="10264" xr:uid="{7ACC7011-945C-4DBA-9BB3-7F1FAA8FE1F1}"/>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0" xr:uid="{2B483ECF-8735-4554-AEDC-901D9D1D79A8}"/>
    <cellStyle name="Normal 5 2 4 2 6 2 3" xfId="12822" xr:uid="{03949DF8-5227-4875-874C-CCD70ACCCBA5}"/>
    <cellStyle name="Normal 5 2 4 2 6 3" xfId="6459" xr:uid="{00000000-0005-0000-0000-0000F7180000}"/>
    <cellStyle name="Normal 5 2 4 2 6 3 2" xfId="14895" xr:uid="{88C19E98-875E-4D26-B68F-8B8B8272C016}"/>
    <cellStyle name="Normal 5 2 4 2 6 4" xfId="10677" xr:uid="{36CD32CB-3E26-42A9-B5FD-EC623A9DAB81}"/>
    <cellStyle name="Normal 5 2 4 2 7" xfId="2588" xr:uid="{00000000-0005-0000-0000-0000F8180000}"/>
    <cellStyle name="Normal 5 2 4 2 7 2" xfId="6872" xr:uid="{00000000-0005-0000-0000-0000F9180000}"/>
    <cellStyle name="Normal 5 2 4 2 7 2 2" xfId="15308" xr:uid="{47C58A0E-7828-42C2-8C9C-787202B6E9F1}"/>
    <cellStyle name="Normal 5 2 4 2 7 3" xfId="11090" xr:uid="{405E199A-010A-42DF-B2DC-DC1FB46DE8C9}"/>
    <cellStyle name="Normal 5 2 4 2 8" xfId="4807" xr:uid="{00000000-0005-0000-0000-0000FA180000}"/>
    <cellStyle name="Normal 5 2 4 2 8 2" xfId="13243" xr:uid="{571C1473-9143-4599-BC46-12BA76258F55}"/>
    <cellStyle name="Normal 5 2 4 2 9" xfId="9025" xr:uid="{95BB0D30-975E-4261-B0B8-E4758DDA788B}"/>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3" xr:uid="{F97C2A27-ECB4-4300-98DB-8E1D405B1A4A}"/>
    <cellStyle name="Normal 5 2 4 3 2 2 3" xfId="11585" xr:uid="{133EADA4-5C5A-47E1-BC44-362E41431817}"/>
    <cellStyle name="Normal 5 2 4 3 2 3" xfId="5222" xr:uid="{00000000-0005-0000-0000-0000FF180000}"/>
    <cellStyle name="Normal 5 2 4 3 2 3 2" xfId="13658" xr:uid="{140974AF-93A7-4610-BF39-04AADEC62731}"/>
    <cellStyle name="Normal 5 2 4 3 2 4" xfId="9440" xr:uid="{5A5DF98A-2436-4DBF-A3E3-06C0BC4427E1}"/>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6" xr:uid="{2706FD16-EB19-4580-8A5C-1F52AE1C95D8}"/>
    <cellStyle name="Normal 5 2 4 3 3 2 3" xfId="11998" xr:uid="{E0696BF8-2F92-4B5A-9DE8-F3F2D85D52EC}"/>
    <cellStyle name="Normal 5 2 4 3 3 3" xfId="5635" xr:uid="{00000000-0005-0000-0000-000003190000}"/>
    <cellStyle name="Normal 5 2 4 3 3 3 2" xfId="14071" xr:uid="{9BCDF594-B030-4ABE-A140-875E79B31F75}"/>
    <cellStyle name="Normal 5 2 4 3 3 4" xfId="9853" xr:uid="{F8F97485-8E2A-4FBA-B351-CB5E0279E975}"/>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29" xr:uid="{88A1DBC4-D977-483B-B754-A4ECC23821AD}"/>
    <cellStyle name="Normal 5 2 4 3 4 2 3" xfId="12411" xr:uid="{50A309C6-C525-4242-AFE8-C55633C1BFE4}"/>
    <cellStyle name="Normal 5 2 4 3 4 3" xfId="6048" xr:uid="{00000000-0005-0000-0000-000007190000}"/>
    <cellStyle name="Normal 5 2 4 3 4 3 2" xfId="14484" xr:uid="{F676AECA-67E6-4662-BA78-B34ECF0A4329}"/>
    <cellStyle name="Normal 5 2 4 3 4 4" xfId="10266" xr:uid="{9DD578DC-E6BD-45BD-90CC-6DFF4FAB5C2B}"/>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2" xr:uid="{8456E8C2-D677-4B1E-B638-664EC009D513}"/>
    <cellStyle name="Normal 5 2 4 3 5 2 3" xfId="12824" xr:uid="{68FF158F-503C-4E90-A84B-EF397D039A15}"/>
    <cellStyle name="Normal 5 2 4 3 5 3" xfId="6461" xr:uid="{00000000-0005-0000-0000-00000B190000}"/>
    <cellStyle name="Normal 5 2 4 3 5 3 2" xfId="14897" xr:uid="{78255CDF-10F2-4CE6-9E9E-039C4D780409}"/>
    <cellStyle name="Normal 5 2 4 3 5 4" xfId="10679" xr:uid="{1697EBDA-E646-4D00-A5F2-6234815015B8}"/>
    <cellStyle name="Normal 5 2 4 3 6" xfId="2590" xr:uid="{00000000-0005-0000-0000-00000C190000}"/>
    <cellStyle name="Normal 5 2 4 3 6 2" xfId="6874" xr:uid="{00000000-0005-0000-0000-00000D190000}"/>
    <cellStyle name="Normal 5 2 4 3 6 2 2" xfId="15310" xr:uid="{AFC230A2-C5D8-4005-9662-07951A05EF21}"/>
    <cellStyle name="Normal 5 2 4 3 6 3" xfId="11092" xr:uid="{8998296A-9AD8-442B-A443-195F8CBD7695}"/>
    <cellStyle name="Normal 5 2 4 3 7" xfId="4809" xr:uid="{00000000-0005-0000-0000-00000E190000}"/>
    <cellStyle name="Normal 5 2 4 3 7 2" xfId="13245" xr:uid="{01192ED0-1660-4CBE-A2BF-02A43E7B0058}"/>
    <cellStyle name="Normal 5 2 4 3 8" xfId="9027" xr:uid="{CC956451-8FC9-471E-A13B-1BB136F920CF}"/>
    <cellStyle name="Normal 5 2 4 4" xfId="906" xr:uid="{00000000-0005-0000-0000-00000F190000}"/>
    <cellStyle name="Normal 5 2 4 4 2" xfId="3141" xr:uid="{00000000-0005-0000-0000-000010190000}"/>
    <cellStyle name="Normal 5 2 4 4 2 2" xfId="7364" xr:uid="{00000000-0005-0000-0000-000011190000}"/>
    <cellStyle name="Normal 5 2 4 4 2 2 2" xfId="15800" xr:uid="{207EEADB-5E57-40FF-96DF-A2FD160EEAAB}"/>
    <cellStyle name="Normal 5 2 4 4 2 3" xfId="11582" xr:uid="{3F2D529C-64B5-48B3-936E-427AAD9B72AE}"/>
    <cellStyle name="Normal 5 2 4 4 3" xfId="5219" xr:uid="{00000000-0005-0000-0000-000012190000}"/>
    <cellStyle name="Normal 5 2 4 4 3 2" xfId="13655" xr:uid="{E61817BB-CC5E-4F12-926F-898CDB47F171}"/>
    <cellStyle name="Normal 5 2 4 4 4" xfId="9437" xr:uid="{DC852F11-5F02-4372-8525-76B1ACD9E20B}"/>
    <cellStyle name="Normal 5 2 4 5" xfId="1324" xr:uid="{00000000-0005-0000-0000-000013190000}"/>
    <cellStyle name="Normal 5 2 4 5 2" xfId="3554" xr:uid="{00000000-0005-0000-0000-000014190000}"/>
    <cellStyle name="Normal 5 2 4 5 2 2" xfId="7777" xr:uid="{00000000-0005-0000-0000-000015190000}"/>
    <cellStyle name="Normal 5 2 4 5 2 2 2" xfId="16213" xr:uid="{84D85425-4969-4602-BBFC-97E130F845D1}"/>
    <cellStyle name="Normal 5 2 4 5 2 3" xfId="11995" xr:uid="{4A32BCAB-707D-473A-B891-5DC34789302C}"/>
    <cellStyle name="Normal 5 2 4 5 3" xfId="5632" xr:uid="{00000000-0005-0000-0000-000016190000}"/>
    <cellStyle name="Normal 5 2 4 5 3 2" xfId="14068" xr:uid="{72BE0FCC-09E9-422F-B7E5-C338C1C75139}"/>
    <cellStyle name="Normal 5 2 4 5 4" xfId="9850" xr:uid="{DC3E3DF2-36DB-4F96-8CBE-926A410939E7}"/>
    <cellStyle name="Normal 5 2 4 6" xfId="1737" xr:uid="{00000000-0005-0000-0000-000017190000}"/>
    <cellStyle name="Normal 5 2 4 6 2" xfId="3967" xr:uid="{00000000-0005-0000-0000-000018190000}"/>
    <cellStyle name="Normal 5 2 4 6 2 2" xfId="8190" xr:uid="{00000000-0005-0000-0000-000019190000}"/>
    <cellStyle name="Normal 5 2 4 6 2 2 2" xfId="16626" xr:uid="{A1FF2996-23BA-47F6-80EA-6E8E3FB1B10A}"/>
    <cellStyle name="Normal 5 2 4 6 2 3" xfId="12408" xr:uid="{2D3416B5-4D2E-486F-992B-CCCE79C3BDB7}"/>
    <cellStyle name="Normal 5 2 4 6 3" xfId="6045" xr:uid="{00000000-0005-0000-0000-00001A190000}"/>
    <cellStyle name="Normal 5 2 4 6 3 2" xfId="14481" xr:uid="{277CD627-1C3F-47E3-BDCB-3AE04DE7300E}"/>
    <cellStyle name="Normal 5 2 4 6 4" xfId="10263" xr:uid="{21BB0D29-6EB4-47D6-914C-DCA62B1999CC}"/>
    <cellStyle name="Normal 5 2 4 7" xfId="2151" xr:uid="{00000000-0005-0000-0000-00001B190000}"/>
    <cellStyle name="Normal 5 2 4 7 2" xfId="4380" xr:uid="{00000000-0005-0000-0000-00001C190000}"/>
    <cellStyle name="Normal 5 2 4 7 2 2" xfId="8603" xr:uid="{00000000-0005-0000-0000-00001D190000}"/>
    <cellStyle name="Normal 5 2 4 7 2 2 2" xfId="17039" xr:uid="{D51FF5DF-0B69-4E8B-ABAF-929411C5EE95}"/>
    <cellStyle name="Normal 5 2 4 7 2 3" xfId="12821" xr:uid="{64962C2E-EEA2-4EDB-B9C4-229E2D3EED60}"/>
    <cellStyle name="Normal 5 2 4 7 3" xfId="6458" xr:uid="{00000000-0005-0000-0000-00001E190000}"/>
    <cellStyle name="Normal 5 2 4 7 3 2" xfId="14894" xr:uid="{08EFB263-911D-44FF-A07D-F74D21DB8A2A}"/>
    <cellStyle name="Normal 5 2 4 7 4" xfId="10676" xr:uid="{75324588-5012-4252-B538-B8B140931889}"/>
    <cellStyle name="Normal 5 2 4 8" xfId="2587" xr:uid="{00000000-0005-0000-0000-00001F190000}"/>
    <cellStyle name="Normal 5 2 4 8 2" xfId="6871" xr:uid="{00000000-0005-0000-0000-000020190000}"/>
    <cellStyle name="Normal 5 2 4 8 2 2" xfId="15307" xr:uid="{9ED3AF09-732E-46F8-B897-7E89C113943F}"/>
    <cellStyle name="Normal 5 2 4 8 3" xfId="11089" xr:uid="{30D03B91-682B-4475-9BB7-42EE9FB9F4CA}"/>
    <cellStyle name="Normal 5 2 4 9" xfId="4806" xr:uid="{00000000-0005-0000-0000-000021190000}"/>
    <cellStyle name="Normal 5 2 4 9 2" xfId="13242" xr:uid="{7E75A28E-8713-43B4-A365-A824730FCC3F}"/>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5" xr:uid="{145BD97C-381E-4FAC-A8CA-E486AAB5812A}"/>
    <cellStyle name="Normal 5 2 5 2 2 2 3" xfId="11587" xr:uid="{E678F952-7FE7-49F9-8E46-0F544E6397DB}"/>
    <cellStyle name="Normal 5 2 5 2 2 3" xfId="5224" xr:uid="{00000000-0005-0000-0000-000027190000}"/>
    <cellStyle name="Normal 5 2 5 2 2 3 2" xfId="13660" xr:uid="{0F1268AA-7C8D-432F-BCBB-063F5F91D80B}"/>
    <cellStyle name="Normal 5 2 5 2 2 4" xfId="9442" xr:uid="{422175CE-558A-45F8-B78D-A987C193C313}"/>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18" xr:uid="{EBCF5BA9-B652-46C8-BC91-3F0FD34FB01E}"/>
    <cellStyle name="Normal 5 2 5 2 3 2 3" xfId="12000" xr:uid="{442A41C4-1EA6-4E17-8A47-274BE5B3806C}"/>
    <cellStyle name="Normal 5 2 5 2 3 3" xfId="5637" xr:uid="{00000000-0005-0000-0000-00002B190000}"/>
    <cellStyle name="Normal 5 2 5 2 3 3 2" xfId="14073" xr:uid="{9CE90C12-9B98-4835-843C-FC348B05AD5B}"/>
    <cellStyle name="Normal 5 2 5 2 3 4" xfId="9855" xr:uid="{9DACAFF1-F7CD-48D9-8D89-D09CFCF150DE}"/>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1" xr:uid="{0C670BFD-9711-4090-BB93-62C948E602D8}"/>
    <cellStyle name="Normal 5 2 5 2 4 2 3" xfId="12413" xr:uid="{B0126D2A-CCE3-4820-AD9F-78A7623EDEE5}"/>
    <cellStyle name="Normal 5 2 5 2 4 3" xfId="6050" xr:uid="{00000000-0005-0000-0000-00002F190000}"/>
    <cellStyle name="Normal 5 2 5 2 4 3 2" xfId="14486" xr:uid="{07B859CF-C61E-48BB-AFE2-A2417555CA13}"/>
    <cellStyle name="Normal 5 2 5 2 4 4" xfId="10268" xr:uid="{A5CE9BB3-DCE3-4938-BC98-06F0AF8AD499}"/>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4" xr:uid="{06E6E17D-A720-4E35-9E7E-3F2F0B059A20}"/>
    <cellStyle name="Normal 5 2 5 2 5 2 3" xfId="12826" xr:uid="{9E2A5947-0796-462D-B9C8-B32C5016B5A0}"/>
    <cellStyle name="Normal 5 2 5 2 5 3" xfId="6463" xr:uid="{00000000-0005-0000-0000-000033190000}"/>
    <cellStyle name="Normal 5 2 5 2 5 3 2" xfId="14899" xr:uid="{2115FDD7-B61F-4C20-928E-F744E791D04F}"/>
    <cellStyle name="Normal 5 2 5 2 5 4" xfId="10681" xr:uid="{E965BD9B-0E48-40C5-BDD5-1123233CBF27}"/>
    <cellStyle name="Normal 5 2 5 2 6" xfId="2592" xr:uid="{00000000-0005-0000-0000-000034190000}"/>
    <cellStyle name="Normal 5 2 5 2 6 2" xfId="6876" xr:uid="{00000000-0005-0000-0000-000035190000}"/>
    <cellStyle name="Normal 5 2 5 2 6 2 2" xfId="15312" xr:uid="{01FDB6EF-9BA8-4C1D-868C-7B65D7031D73}"/>
    <cellStyle name="Normal 5 2 5 2 6 3" xfId="11094" xr:uid="{C9C93457-B105-42AA-AD69-7F150A969740}"/>
    <cellStyle name="Normal 5 2 5 2 7" xfId="4811" xr:uid="{00000000-0005-0000-0000-000036190000}"/>
    <cellStyle name="Normal 5 2 5 2 7 2" xfId="13247" xr:uid="{B9242506-7E73-480F-B4BC-2CC10B6FA2D0}"/>
    <cellStyle name="Normal 5 2 5 2 8" xfId="9029" xr:uid="{3305C553-CD60-48A2-9D3B-7CD49950D357}"/>
    <cellStyle name="Normal 5 2 5 3" xfId="910" xr:uid="{00000000-0005-0000-0000-000037190000}"/>
    <cellStyle name="Normal 5 2 5 3 2" xfId="3145" xr:uid="{00000000-0005-0000-0000-000038190000}"/>
    <cellStyle name="Normal 5 2 5 3 2 2" xfId="7368" xr:uid="{00000000-0005-0000-0000-000039190000}"/>
    <cellStyle name="Normal 5 2 5 3 2 2 2" xfId="15804" xr:uid="{5B654F9A-B54C-48E9-8B6B-6D102D68363B}"/>
    <cellStyle name="Normal 5 2 5 3 2 3" xfId="11586" xr:uid="{024FE18C-6447-46EB-89EE-B10C79519E07}"/>
    <cellStyle name="Normal 5 2 5 3 3" xfId="5223" xr:uid="{00000000-0005-0000-0000-00003A190000}"/>
    <cellStyle name="Normal 5 2 5 3 3 2" xfId="13659" xr:uid="{9CE44771-FC3B-4AB7-88BB-E62B713B71A5}"/>
    <cellStyle name="Normal 5 2 5 3 4" xfId="9441" xr:uid="{9E58129B-3804-4F58-B417-C2B676976E05}"/>
    <cellStyle name="Normal 5 2 5 4" xfId="1328" xr:uid="{00000000-0005-0000-0000-00003B190000}"/>
    <cellStyle name="Normal 5 2 5 4 2" xfId="3558" xr:uid="{00000000-0005-0000-0000-00003C190000}"/>
    <cellStyle name="Normal 5 2 5 4 2 2" xfId="7781" xr:uid="{00000000-0005-0000-0000-00003D190000}"/>
    <cellStyle name="Normal 5 2 5 4 2 2 2" xfId="16217" xr:uid="{8908D3CD-6F2F-428B-A85E-35C42396B168}"/>
    <cellStyle name="Normal 5 2 5 4 2 3" xfId="11999" xr:uid="{26C1544C-B439-470D-8A38-8B24EF9E8A2E}"/>
    <cellStyle name="Normal 5 2 5 4 3" xfId="5636" xr:uid="{00000000-0005-0000-0000-00003E190000}"/>
    <cellStyle name="Normal 5 2 5 4 3 2" xfId="14072" xr:uid="{61358485-38BF-46DF-BBC8-288FE6B5D23E}"/>
    <cellStyle name="Normal 5 2 5 4 4" xfId="9854" xr:uid="{89115A59-61A1-4E1E-BB7B-4DEEC1AACC0A}"/>
    <cellStyle name="Normal 5 2 5 5" xfId="1741" xr:uid="{00000000-0005-0000-0000-00003F190000}"/>
    <cellStyle name="Normal 5 2 5 5 2" xfId="3971" xr:uid="{00000000-0005-0000-0000-000040190000}"/>
    <cellStyle name="Normal 5 2 5 5 2 2" xfId="8194" xr:uid="{00000000-0005-0000-0000-000041190000}"/>
    <cellStyle name="Normal 5 2 5 5 2 2 2" xfId="16630" xr:uid="{199174FD-0D13-4E1D-AA56-4C50997AFAC8}"/>
    <cellStyle name="Normal 5 2 5 5 2 3" xfId="12412" xr:uid="{5D435081-7975-4558-92FC-782175A6D65D}"/>
    <cellStyle name="Normal 5 2 5 5 3" xfId="6049" xr:uid="{00000000-0005-0000-0000-000042190000}"/>
    <cellStyle name="Normal 5 2 5 5 3 2" xfId="14485" xr:uid="{CCCE9550-E276-4104-A52C-5FA7C93FD7DF}"/>
    <cellStyle name="Normal 5 2 5 5 4" xfId="10267" xr:uid="{78C28BB6-F5DC-45B5-9401-F956B3B8C056}"/>
    <cellStyle name="Normal 5 2 5 6" xfId="2155" xr:uid="{00000000-0005-0000-0000-000043190000}"/>
    <cellStyle name="Normal 5 2 5 6 2" xfId="4384" xr:uid="{00000000-0005-0000-0000-000044190000}"/>
    <cellStyle name="Normal 5 2 5 6 2 2" xfId="8607" xr:uid="{00000000-0005-0000-0000-000045190000}"/>
    <cellStyle name="Normal 5 2 5 6 2 2 2" xfId="17043" xr:uid="{14B87FF6-2B19-4711-8ED6-F9F846D354B3}"/>
    <cellStyle name="Normal 5 2 5 6 2 3" xfId="12825" xr:uid="{B0BCD0B7-8FFA-44CE-84FD-8B1C46349BC8}"/>
    <cellStyle name="Normal 5 2 5 6 3" xfId="6462" xr:uid="{00000000-0005-0000-0000-000046190000}"/>
    <cellStyle name="Normal 5 2 5 6 3 2" xfId="14898" xr:uid="{DB0CB593-2D56-44BF-BF9B-F65FDC01B89F}"/>
    <cellStyle name="Normal 5 2 5 6 4" xfId="10680" xr:uid="{CAA726F5-7CF5-4004-9DE8-F28CDB8116E7}"/>
    <cellStyle name="Normal 5 2 5 7" xfId="2591" xr:uid="{00000000-0005-0000-0000-000047190000}"/>
    <cellStyle name="Normal 5 2 5 7 2" xfId="6875" xr:uid="{00000000-0005-0000-0000-000048190000}"/>
    <cellStyle name="Normal 5 2 5 7 2 2" xfId="15311" xr:uid="{8B1BD686-53A1-4E64-9E0F-335FEB751D53}"/>
    <cellStyle name="Normal 5 2 5 7 3" xfId="11093" xr:uid="{F6597991-D4C0-4215-A386-7B1EDC67A728}"/>
    <cellStyle name="Normal 5 2 5 8" xfId="4810" xr:uid="{00000000-0005-0000-0000-000049190000}"/>
    <cellStyle name="Normal 5 2 5 8 2" xfId="13246" xr:uid="{E61802A9-75FB-45D3-BBD6-7DAF9AF9777F}"/>
    <cellStyle name="Normal 5 2 5 9" xfId="9028" xr:uid="{E13435B1-C4B7-472E-AC63-FC31A3C14D45}"/>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6" xr:uid="{3D3355B8-29CE-469A-B823-5EF83070ADC4}"/>
    <cellStyle name="Normal 5 2 6 2 2 3" xfId="11588" xr:uid="{826A1314-F21E-4C42-8567-3F61AA74C3C0}"/>
    <cellStyle name="Normal 5 2 6 2 3" xfId="5225" xr:uid="{00000000-0005-0000-0000-00004E190000}"/>
    <cellStyle name="Normal 5 2 6 2 3 2" xfId="13661" xr:uid="{8B83AAB5-ABE6-43E0-9C04-540BDAD0C31E}"/>
    <cellStyle name="Normal 5 2 6 2 4" xfId="9443" xr:uid="{1F074B3B-0F0D-4EA4-8FFC-AF8805BAA462}"/>
    <cellStyle name="Normal 5 2 6 3" xfId="1330" xr:uid="{00000000-0005-0000-0000-00004F190000}"/>
    <cellStyle name="Normal 5 2 6 3 2" xfId="3560" xr:uid="{00000000-0005-0000-0000-000050190000}"/>
    <cellStyle name="Normal 5 2 6 3 2 2" xfId="7783" xr:uid="{00000000-0005-0000-0000-000051190000}"/>
    <cellStyle name="Normal 5 2 6 3 2 2 2" xfId="16219" xr:uid="{D3A09F62-FF8C-4F81-BB98-693CE91836AB}"/>
    <cellStyle name="Normal 5 2 6 3 2 3" xfId="12001" xr:uid="{9550B629-A2FA-4A19-9976-EB75234840B9}"/>
    <cellStyle name="Normal 5 2 6 3 3" xfId="5638" xr:uid="{00000000-0005-0000-0000-000052190000}"/>
    <cellStyle name="Normal 5 2 6 3 3 2" xfId="14074" xr:uid="{C6D74C24-9169-4535-B182-5759FA6E6882}"/>
    <cellStyle name="Normal 5 2 6 3 4" xfId="9856" xr:uid="{4E2EE673-685D-4D7E-A604-AA309B85957E}"/>
    <cellStyle name="Normal 5 2 6 4" xfId="1743" xr:uid="{00000000-0005-0000-0000-000053190000}"/>
    <cellStyle name="Normal 5 2 6 4 2" xfId="3973" xr:uid="{00000000-0005-0000-0000-000054190000}"/>
    <cellStyle name="Normal 5 2 6 4 2 2" xfId="8196" xr:uid="{00000000-0005-0000-0000-000055190000}"/>
    <cellStyle name="Normal 5 2 6 4 2 2 2" xfId="16632" xr:uid="{36A45ABB-DF3F-4E7B-9A81-4E683488C64A}"/>
    <cellStyle name="Normal 5 2 6 4 2 3" xfId="12414" xr:uid="{1081DF48-49D1-4F47-A858-7FC895C5FBB5}"/>
    <cellStyle name="Normal 5 2 6 4 3" xfId="6051" xr:uid="{00000000-0005-0000-0000-000056190000}"/>
    <cellStyle name="Normal 5 2 6 4 3 2" xfId="14487" xr:uid="{C60EDF2E-EF6A-41E7-8C3F-012D31AB60C8}"/>
    <cellStyle name="Normal 5 2 6 4 4" xfId="10269" xr:uid="{B06C71B5-B705-480D-B52E-E441D17E7453}"/>
    <cellStyle name="Normal 5 2 6 5" xfId="2157" xr:uid="{00000000-0005-0000-0000-000057190000}"/>
    <cellStyle name="Normal 5 2 6 5 2" xfId="4386" xr:uid="{00000000-0005-0000-0000-000058190000}"/>
    <cellStyle name="Normal 5 2 6 5 2 2" xfId="8609" xr:uid="{00000000-0005-0000-0000-000059190000}"/>
    <cellStyle name="Normal 5 2 6 5 2 2 2" xfId="17045" xr:uid="{4A615754-F8EB-4E92-B4D6-DE6BD0C94FE8}"/>
    <cellStyle name="Normal 5 2 6 5 2 3" xfId="12827" xr:uid="{129C6B27-003B-4581-AC0C-DBAF17AE2D21}"/>
    <cellStyle name="Normal 5 2 6 5 3" xfId="6464" xr:uid="{00000000-0005-0000-0000-00005A190000}"/>
    <cellStyle name="Normal 5 2 6 5 3 2" xfId="14900" xr:uid="{0B62BD7A-80EA-427F-80F4-EAEA89973F2A}"/>
    <cellStyle name="Normal 5 2 6 5 4" xfId="10682" xr:uid="{3836F08B-FCCD-4A38-AD01-34A03D7CEAD9}"/>
    <cellStyle name="Normal 5 2 6 6" xfId="2593" xr:uid="{00000000-0005-0000-0000-00005B190000}"/>
    <cellStyle name="Normal 5 2 6 6 2" xfId="6877" xr:uid="{00000000-0005-0000-0000-00005C190000}"/>
    <cellStyle name="Normal 5 2 6 6 2 2" xfId="15313" xr:uid="{40441232-3424-4AD2-AD0A-D871BE30056C}"/>
    <cellStyle name="Normal 5 2 6 6 3" xfId="11095" xr:uid="{D9C8FD85-A934-4E20-B129-53376C2F9360}"/>
    <cellStyle name="Normal 5 2 6 7" xfId="4812" xr:uid="{00000000-0005-0000-0000-00005D190000}"/>
    <cellStyle name="Normal 5 2 6 7 2" xfId="13248" xr:uid="{E9399ABB-508C-4161-935E-410A1A4A6C71}"/>
    <cellStyle name="Normal 5 2 6 8" xfId="9030" xr:uid="{7C358B73-496E-43CC-A039-C6553E557164}"/>
    <cellStyle name="Normal 5 2 7" xfId="881" xr:uid="{00000000-0005-0000-0000-00005E190000}"/>
    <cellStyle name="Normal 5 2 7 2" xfId="3116" xr:uid="{00000000-0005-0000-0000-00005F190000}"/>
    <cellStyle name="Normal 5 2 7 2 2" xfId="7339" xr:uid="{00000000-0005-0000-0000-000060190000}"/>
    <cellStyle name="Normal 5 2 7 2 2 2" xfId="15775" xr:uid="{C0900C04-1D74-4227-81B1-F33FB593BDC7}"/>
    <cellStyle name="Normal 5 2 7 2 3" xfId="11557" xr:uid="{814798E2-D986-417E-84AC-4FF3C2B6A527}"/>
    <cellStyle name="Normal 5 2 7 3" xfId="5194" xr:uid="{00000000-0005-0000-0000-000061190000}"/>
    <cellStyle name="Normal 5 2 7 3 2" xfId="13630" xr:uid="{D9F4F97B-3D0D-4348-9B59-5D54C11FE50A}"/>
    <cellStyle name="Normal 5 2 7 4" xfId="9412" xr:uid="{3EE44AFB-A5EC-4D0F-9C7C-6150D651664A}"/>
    <cellStyle name="Normal 5 2 8" xfId="1299" xr:uid="{00000000-0005-0000-0000-000062190000}"/>
    <cellStyle name="Normal 5 2 8 2" xfId="3529" xr:uid="{00000000-0005-0000-0000-000063190000}"/>
    <cellStyle name="Normal 5 2 8 2 2" xfId="7752" xr:uid="{00000000-0005-0000-0000-000064190000}"/>
    <cellStyle name="Normal 5 2 8 2 2 2" xfId="16188" xr:uid="{FB71D955-84FE-4F0E-9A26-ADB2855C4E9C}"/>
    <cellStyle name="Normal 5 2 8 2 3" xfId="11970" xr:uid="{E8735C41-19F4-4220-8663-E28ADA1EAC98}"/>
    <cellStyle name="Normal 5 2 8 3" xfId="5607" xr:uid="{00000000-0005-0000-0000-000065190000}"/>
    <cellStyle name="Normal 5 2 8 3 2" xfId="14043" xr:uid="{57A1BE82-13CE-4CCD-8B67-B81DEAE4DEEC}"/>
    <cellStyle name="Normal 5 2 8 4" xfId="9825" xr:uid="{B41D5AD8-3DCD-4CCC-9A60-460A0785B3C9}"/>
    <cellStyle name="Normal 5 2 9" xfId="1712" xr:uid="{00000000-0005-0000-0000-000066190000}"/>
    <cellStyle name="Normal 5 2 9 2" xfId="3942" xr:uid="{00000000-0005-0000-0000-000067190000}"/>
    <cellStyle name="Normal 5 2 9 2 2" xfId="8165" xr:uid="{00000000-0005-0000-0000-000068190000}"/>
    <cellStyle name="Normal 5 2 9 2 2 2" xfId="16601" xr:uid="{FF39D244-046C-4722-89B9-50D26E749D90}"/>
    <cellStyle name="Normal 5 2 9 2 3" xfId="12383" xr:uid="{F1ED6A24-4568-4354-8F6C-ABD7B99B44F9}"/>
    <cellStyle name="Normal 5 2 9 3" xfId="6020" xr:uid="{00000000-0005-0000-0000-000069190000}"/>
    <cellStyle name="Normal 5 2 9 3 2" xfId="14456" xr:uid="{54AB9F8C-FD9A-4252-BBBC-153B27A628BF}"/>
    <cellStyle name="Normal 5 2 9 4" xfId="10238" xr:uid="{92FAF7D7-42FE-459B-99EE-6AEF5C769EE4}"/>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6" xr:uid="{E1CEC666-E08F-4A5F-824D-18A1E4A22419}"/>
    <cellStyle name="Normal 5 3 10 2 3" xfId="12828" xr:uid="{326B801B-2B45-44A3-971A-BCC0E04BF271}"/>
    <cellStyle name="Normal 5 3 10 3" xfId="6465" xr:uid="{00000000-0005-0000-0000-00006E190000}"/>
    <cellStyle name="Normal 5 3 10 3 2" xfId="14901" xr:uid="{EBC13C84-6223-4291-BF77-ACF4CB251A74}"/>
    <cellStyle name="Normal 5 3 10 4" xfId="10683" xr:uid="{8DE300F7-0D5D-4015-8AE2-F14AA49E8F40}"/>
    <cellStyle name="Normal 5 3 11" xfId="2594" xr:uid="{00000000-0005-0000-0000-00006F190000}"/>
    <cellStyle name="Normal 5 3 11 2" xfId="6878" xr:uid="{00000000-0005-0000-0000-000070190000}"/>
    <cellStyle name="Normal 5 3 11 2 2" xfId="15314" xr:uid="{F4C81E54-74FD-46D5-AECC-24A429D93689}"/>
    <cellStyle name="Normal 5 3 11 3" xfId="11096" xr:uid="{EA229CCA-C563-4367-9D9A-FC9799F56E5D}"/>
    <cellStyle name="Normal 5 3 12" xfId="4813" xr:uid="{00000000-0005-0000-0000-000071190000}"/>
    <cellStyle name="Normal 5 3 12 2" xfId="13249" xr:uid="{4D1F70D3-A7B8-494C-9F8F-B9BA2E6E2859}"/>
    <cellStyle name="Normal 5 3 13" xfId="9031" xr:uid="{1348DB0C-9356-432A-B62F-5132CC3A3C89}"/>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0" xr:uid="{735BF7E0-7650-4AB4-B753-73AEB16DD2B4}"/>
    <cellStyle name="Normal 5 3 3 11" xfId="9032" xr:uid="{3C6EABCE-1180-4329-9E35-94831101050A}"/>
    <cellStyle name="Normal 5 3 3 2" xfId="442" xr:uid="{00000000-0005-0000-0000-000076190000}"/>
    <cellStyle name="Normal 5 3 3 2 10" xfId="9033" xr:uid="{72D9B946-002A-4DB2-833E-4E6FA019CC7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1" xr:uid="{7F070C9C-D712-45F0-9296-214B7934C9FB}"/>
    <cellStyle name="Normal 5 3 3 2 2 2 2 2 3" xfId="11593" xr:uid="{8343CF45-A5F8-4C52-AFF3-D050E737D378}"/>
    <cellStyle name="Normal 5 3 3 2 2 2 2 3" xfId="5230" xr:uid="{00000000-0005-0000-0000-00007C190000}"/>
    <cellStyle name="Normal 5 3 3 2 2 2 2 3 2" xfId="13666" xr:uid="{7D58450A-62B5-48A5-B2CD-F4FB8EA819A9}"/>
    <cellStyle name="Normal 5 3 3 2 2 2 2 4" xfId="9448" xr:uid="{79832576-EC78-4BED-A56F-16457CCE7022}"/>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4" xr:uid="{5E9C6E70-3F96-49C6-8EDC-2C3B8A1FA087}"/>
    <cellStyle name="Normal 5 3 3 2 2 2 3 2 3" xfId="12006" xr:uid="{38B6FCCC-E8FF-427F-A798-572EAF6E80E0}"/>
    <cellStyle name="Normal 5 3 3 2 2 2 3 3" xfId="5643" xr:uid="{00000000-0005-0000-0000-000080190000}"/>
    <cellStyle name="Normal 5 3 3 2 2 2 3 3 2" xfId="14079" xr:uid="{13697806-5FA9-42D4-A577-E686B8AA034E}"/>
    <cellStyle name="Normal 5 3 3 2 2 2 3 4" xfId="9861" xr:uid="{89656694-6BE8-47C9-A82B-D91C6F34B20C}"/>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37" xr:uid="{17935F87-EFDD-423C-B38D-4BA940E28FE6}"/>
    <cellStyle name="Normal 5 3 3 2 2 2 4 2 3" xfId="12419" xr:uid="{FD32F85C-3B72-487D-A0E4-0991844F8534}"/>
    <cellStyle name="Normal 5 3 3 2 2 2 4 3" xfId="6056" xr:uid="{00000000-0005-0000-0000-000084190000}"/>
    <cellStyle name="Normal 5 3 3 2 2 2 4 3 2" xfId="14492" xr:uid="{EE39D761-E20D-4392-A6BF-041AB446492E}"/>
    <cellStyle name="Normal 5 3 3 2 2 2 4 4" xfId="10274" xr:uid="{0E48758E-A217-4BC1-87CB-7BC5DE04D3AC}"/>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0" xr:uid="{68AAAFAD-9F39-43F6-97B0-D1C0B4937462}"/>
    <cellStyle name="Normal 5 3 3 2 2 2 5 2 3" xfId="12832" xr:uid="{6262C798-78CE-4518-A5B6-C8374C1B3E37}"/>
    <cellStyle name="Normal 5 3 3 2 2 2 5 3" xfId="6469" xr:uid="{00000000-0005-0000-0000-000088190000}"/>
    <cellStyle name="Normal 5 3 3 2 2 2 5 3 2" xfId="14905" xr:uid="{50F4897D-6446-4A0F-A4BC-453AE90D4CEE}"/>
    <cellStyle name="Normal 5 3 3 2 2 2 5 4" xfId="10687" xr:uid="{2F846AE3-C6A0-4876-A361-4C19EE451F0F}"/>
    <cellStyle name="Normal 5 3 3 2 2 2 6" xfId="2598" xr:uid="{00000000-0005-0000-0000-000089190000}"/>
    <cellStyle name="Normal 5 3 3 2 2 2 6 2" xfId="6882" xr:uid="{00000000-0005-0000-0000-00008A190000}"/>
    <cellStyle name="Normal 5 3 3 2 2 2 6 2 2" xfId="15318" xr:uid="{D2BE24C6-75BA-430A-B0D4-122C352365A2}"/>
    <cellStyle name="Normal 5 3 3 2 2 2 6 3" xfId="11100" xr:uid="{519672F5-C5C8-462D-9908-EFCDE6867DCA}"/>
    <cellStyle name="Normal 5 3 3 2 2 2 7" xfId="4817" xr:uid="{00000000-0005-0000-0000-00008B190000}"/>
    <cellStyle name="Normal 5 3 3 2 2 2 7 2" xfId="13253" xr:uid="{D277F9FF-0F75-4D41-AF1F-461D15B4B440}"/>
    <cellStyle name="Normal 5 3 3 2 2 2 8" xfId="9035" xr:uid="{5495BE73-DBCA-4438-8E5E-E10A59ADE178}"/>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0" xr:uid="{E6B1C391-C0FF-4D64-AB8D-E956A695319D}"/>
    <cellStyle name="Normal 5 3 3 2 2 3 2 3" xfId="11592" xr:uid="{E8FBE79C-2F4A-404C-AC43-BCA58E2A5B11}"/>
    <cellStyle name="Normal 5 3 3 2 2 3 3" xfId="5229" xr:uid="{00000000-0005-0000-0000-00008F190000}"/>
    <cellStyle name="Normal 5 3 3 2 2 3 3 2" xfId="13665" xr:uid="{9D6D0BB6-9E16-4977-B52D-B149767E106D}"/>
    <cellStyle name="Normal 5 3 3 2 2 3 4" xfId="9447" xr:uid="{2E4A4F96-66D1-4F3B-9513-1BD9BED5B45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3" xr:uid="{5697E5D1-86CC-4831-B593-13278147ECDF}"/>
    <cellStyle name="Normal 5 3 3 2 2 4 2 3" xfId="12005" xr:uid="{F032451A-09FE-4014-AD7A-3AD8ED447413}"/>
    <cellStyle name="Normal 5 3 3 2 2 4 3" xfId="5642" xr:uid="{00000000-0005-0000-0000-000093190000}"/>
    <cellStyle name="Normal 5 3 3 2 2 4 3 2" xfId="14078" xr:uid="{D43E4225-366A-4F2B-B82C-AB909BC88EBE}"/>
    <cellStyle name="Normal 5 3 3 2 2 4 4" xfId="9860" xr:uid="{EBB6345D-8443-4D07-B3B2-CCBA85D1C6DE}"/>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6" xr:uid="{2A92530E-64CB-4A6F-B1AA-4DBF260C8DEF}"/>
    <cellStyle name="Normal 5 3 3 2 2 5 2 3" xfId="12418" xr:uid="{99CB8D2A-ED12-4A27-9A8C-BBF978130028}"/>
    <cellStyle name="Normal 5 3 3 2 2 5 3" xfId="6055" xr:uid="{00000000-0005-0000-0000-000097190000}"/>
    <cellStyle name="Normal 5 3 3 2 2 5 3 2" xfId="14491" xr:uid="{63452B33-8199-4E0A-95FF-3D30E11AAA15}"/>
    <cellStyle name="Normal 5 3 3 2 2 5 4" xfId="10273" xr:uid="{2993CA90-415A-494D-9E04-8EA8665A4461}"/>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49" xr:uid="{6B027B95-B9E5-4265-884D-09DDBBB01941}"/>
    <cellStyle name="Normal 5 3 3 2 2 6 2 3" xfId="12831" xr:uid="{06E438E3-D9ED-4FB2-9C3A-AA209B14C4A6}"/>
    <cellStyle name="Normal 5 3 3 2 2 6 3" xfId="6468" xr:uid="{00000000-0005-0000-0000-00009B190000}"/>
    <cellStyle name="Normal 5 3 3 2 2 6 3 2" xfId="14904" xr:uid="{E99C619A-CA06-4E1F-A529-690D192B7406}"/>
    <cellStyle name="Normal 5 3 3 2 2 6 4" xfId="10686" xr:uid="{E34DCA2F-4B23-46ED-B223-2C7C941F13E9}"/>
    <cellStyle name="Normal 5 3 3 2 2 7" xfId="2597" xr:uid="{00000000-0005-0000-0000-00009C190000}"/>
    <cellStyle name="Normal 5 3 3 2 2 7 2" xfId="6881" xr:uid="{00000000-0005-0000-0000-00009D190000}"/>
    <cellStyle name="Normal 5 3 3 2 2 7 2 2" xfId="15317" xr:uid="{C6A8D3DE-81A3-42F5-A086-8751093FF8EE}"/>
    <cellStyle name="Normal 5 3 3 2 2 7 3" xfId="11099" xr:uid="{9F0262F5-AC52-4B26-927E-0F7CB8B4D3BF}"/>
    <cellStyle name="Normal 5 3 3 2 2 8" xfId="4816" xr:uid="{00000000-0005-0000-0000-00009E190000}"/>
    <cellStyle name="Normal 5 3 3 2 2 8 2" xfId="13252" xr:uid="{5549DAC8-EF19-406E-BC5D-BB556FF18DBB}"/>
    <cellStyle name="Normal 5 3 3 2 2 9" xfId="9034" xr:uid="{99988724-5E6A-4218-855F-F6E12FC83FB5}"/>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2" xr:uid="{CBF0D5B9-1FC7-4D62-BD61-71395BE77F75}"/>
    <cellStyle name="Normal 5 3 3 2 3 2 2 3" xfId="11594" xr:uid="{E5BA6662-19A4-4156-9043-83DB89790167}"/>
    <cellStyle name="Normal 5 3 3 2 3 2 3" xfId="5231" xr:uid="{00000000-0005-0000-0000-0000A3190000}"/>
    <cellStyle name="Normal 5 3 3 2 3 2 3 2" xfId="13667" xr:uid="{F598C388-8148-4CC1-91B5-D5D8109C7CDE}"/>
    <cellStyle name="Normal 5 3 3 2 3 2 4" xfId="9449" xr:uid="{38026EBE-FE0C-4968-9C65-87AA4356479F}"/>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5" xr:uid="{1C6C4B79-CE30-4E2D-846B-19312669ABA6}"/>
    <cellStyle name="Normal 5 3 3 2 3 3 2 3" xfId="12007" xr:uid="{D38A4C09-F05E-47BB-A923-B53E0CB044B1}"/>
    <cellStyle name="Normal 5 3 3 2 3 3 3" xfId="5644" xr:uid="{00000000-0005-0000-0000-0000A7190000}"/>
    <cellStyle name="Normal 5 3 3 2 3 3 3 2" xfId="14080" xr:uid="{ED9BED4F-460A-4325-8C40-C7AFD8AD21DE}"/>
    <cellStyle name="Normal 5 3 3 2 3 3 4" xfId="9862" xr:uid="{C36DB87B-8D25-4625-8FE6-00EA659B30A4}"/>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38" xr:uid="{E1A2D3E2-EB94-4D36-BF8F-F05D0F007385}"/>
    <cellStyle name="Normal 5 3 3 2 3 4 2 3" xfId="12420" xr:uid="{5C8C87AB-D978-4956-BEC9-79A4FF86A98B}"/>
    <cellStyle name="Normal 5 3 3 2 3 4 3" xfId="6057" xr:uid="{00000000-0005-0000-0000-0000AB190000}"/>
    <cellStyle name="Normal 5 3 3 2 3 4 3 2" xfId="14493" xr:uid="{BDF16479-1E0D-4C7C-B279-F61FA10B2197}"/>
    <cellStyle name="Normal 5 3 3 2 3 4 4" xfId="10275" xr:uid="{7B588255-4E70-4251-8628-9BCCB8EA2151}"/>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1" xr:uid="{FD654ECF-5AA8-4E7D-A59D-733E3FC112EC}"/>
    <cellStyle name="Normal 5 3 3 2 3 5 2 3" xfId="12833" xr:uid="{8D8AB285-8861-4695-90E5-CFB50560AB0E}"/>
    <cellStyle name="Normal 5 3 3 2 3 5 3" xfId="6470" xr:uid="{00000000-0005-0000-0000-0000AF190000}"/>
    <cellStyle name="Normal 5 3 3 2 3 5 3 2" xfId="14906" xr:uid="{8A72EF4A-F45D-4B41-8F64-82048795561D}"/>
    <cellStyle name="Normal 5 3 3 2 3 5 4" xfId="10688" xr:uid="{1A4FEDEE-5570-4EC5-A844-05A3E005EAFF}"/>
    <cellStyle name="Normal 5 3 3 2 3 6" xfId="2599" xr:uid="{00000000-0005-0000-0000-0000B0190000}"/>
    <cellStyle name="Normal 5 3 3 2 3 6 2" xfId="6883" xr:uid="{00000000-0005-0000-0000-0000B1190000}"/>
    <cellStyle name="Normal 5 3 3 2 3 6 2 2" xfId="15319" xr:uid="{248ABADD-9B8D-43F1-93DF-601BF503FC51}"/>
    <cellStyle name="Normal 5 3 3 2 3 6 3" xfId="11101" xr:uid="{ACD4808E-FB62-42B4-BAF4-B96CD00D051A}"/>
    <cellStyle name="Normal 5 3 3 2 3 7" xfId="4818" xr:uid="{00000000-0005-0000-0000-0000B2190000}"/>
    <cellStyle name="Normal 5 3 3 2 3 7 2" xfId="13254" xr:uid="{95847796-54EB-4DFE-9A04-C94A4E4A69A1}"/>
    <cellStyle name="Normal 5 3 3 2 3 8" xfId="9036" xr:uid="{F2DD8CEB-37F0-48A4-AFED-2C975C73EC06}"/>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09" xr:uid="{AAA8DA6D-3A3A-40E6-9623-09F6E21155D5}"/>
    <cellStyle name="Normal 5 3 3 2 4 2 3" xfId="11591" xr:uid="{E625AA3D-9894-44C8-AEC9-9D4ED24B1DE9}"/>
    <cellStyle name="Normal 5 3 3 2 4 3" xfId="5228" xr:uid="{00000000-0005-0000-0000-0000B6190000}"/>
    <cellStyle name="Normal 5 3 3 2 4 3 2" xfId="13664" xr:uid="{65C216C9-7DF3-4BA6-A090-052A153D605D}"/>
    <cellStyle name="Normal 5 3 3 2 4 4" xfId="9446" xr:uid="{77A32032-94B5-492B-8F44-6D026F502A5B}"/>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2" xr:uid="{53FB64E2-0445-493E-B9EE-BA4605226587}"/>
    <cellStyle name="Normal 5 3 3 2 5 2 3" xfId="12004" xr:uid="{5856D830-C5DA-4E02-8563-11330F0E6FC4}"/>
    <cellStyle name="Normal 5 3 3 2 5 3" xfId="5641" xr:uid="{00000000-0005-0000-0000-0000BA190000}"/>
    <cellStyle name="Normal 5 3 3 2 5 3 2" xfId="14077" xr:uid="{BD34D698-794D-4D43-84BD-ADD01B2B16A4}"/>
    <cellStyle name="Normal 5 3 3 2 5 4" xfId="9859" xr:uid="{BCA2B7D6-3E65-4BF2-B26E-884D6AC2CF5B}"/>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5" xr:uid="{6B25A3B2-B59D-4C48-A1F2-74975BCE286F}"/>
    <cellStyle name="Normal 5 3 3 2 6 2 3" xfId="12417" xr:uid="{B72E8B76-552B-41D1-ADD8-38219EF3A9BC}"/>
    <cellStyle name="Normal 5 3 3 2 6 3" xfId="6054" xr:uid="{00000000-0005-0000-0000-0000BE190000}"/>
    <cellStyle name="Normal 5 3 3 2 6 3 2" xfId="14490" xr:uid="{700BF568-312B-4D01-B60F-B6B809F2C613}"/>
    <cellStyle name="Normal 5 3 3 2 6 4" xfId="10272" xr:uid="{3095D4B7-DBF0-4BC0-A744-4EBE0DEFCB7D}"/>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48" xr:uid="{A1909328-909D-4059-BE4C-BF9E01861C8E}"/>
    <cellStyle name="Normal 5 3 3 2 7 2 3" xfId="12830" xr:uid="{1584EFF5-BC16-4ABD-9F37-D89CED06FD59}"/>
    <cellStyle name="Normal 5 3 3 2 7 3" xfId="6467" xr:uid="{00000000-0005-0000-0000-0000C2190000}"/>
    <cellStyle name="Normal 5 3 3 2 7 3 2" xfId="14903" xr:uid="{29BF3E7B-B6B8-4908-8572-90E940701899}"/>
    <cellStyle name="Normal 5 3 3 2 7 4" xfId="10685" xr:uid="{659C0A1B-89B9-478E-BCB1-5B5FC0480AB5}"/>
    <cellStyle name="Normal 5 3 3 2 8" xfId="2596" xr:uid="{00000000-0005-0000-0000-0000C3190000}"/>
    <cellStyle name="Normal 5 3 3 2 8 2" xfId="6880" xr:uid="{00000000-0005-0000-0000-0000C4190000}"/>
    <cellStyle name="Normal 5 3 3 2 8 2 2" xfId="15316" xr:uid="{9D45749D-AE89-41E1-AAD7-6AF6C4B99DB2}"/>
    <cellStyle name="Normal 5 3 3 2 8 3" xfId="11098" xr:uid="{311C6F70-0EC6-48D1-9564-47A4E1485735}"/>
    <cellStyle name="Normal 5 3 3 2 9" xfId="4815" xr:uid="{00000000-0005-0000-0000-0000C5190000}"/>
    <cellStyle name="Normal 5 3 3 2 9 2" xfId="13251" xr:uid="{06136200-0A99-4D20-B8FB-15B480C055E6}"/>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4" xr:uid="{92BBA717-4BE0-4986-B7D8-B1561A8CFC1A}"/>
    <cellStyle name="Normal 5 3 3 3 2 2 2 3" xfId="11596" xr:uid="{950337EF-8A5D-4F47-B0C4-0242A4469CF0}"/>
    <cellStyle name="Normal 5 3 3 3 2 2 3" xfId="5233" xr:uid="{00000000-0005-0000-0000-0000CB190000}"/>
    <cellStyle name="Normal 5 3 3 3 2 2 3 2" xfId="13669" xr:uid="{9E7DF3BE-BB88-4F14-9864-6EC6660B8AD2}"/>
    <cellStyle name="Normal 5 3 3 3 2 2 4" xfId="9451" xr:uid="{B1BA937B-525E-4C70-AD5E-709BB09E980F}"/>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27" xr:uid="{DAC08FB9-9075-4C94-8A8C-6EDC8558E072}"/>
    <cellStyle name="Normal 5 3 3 3 2 3 2 3" xfId="12009" xr:uid="{311E61D2-7A49-43BA-B600-5FDEFECA2FCE}"/>
    <cellStyle name="Normal 5 3 3 3 2 3 3" xfId="5646" xr:uid="{00000000-0005-0000-0000-0000CF190000}"/>
    <cellStyle name="Normal 5 3 3 3 2 3 3 2" xfId="14082" xr:uid="{9D860E85-10D0-4B6B-9832-F253CA09A624}"/>
    <cellStyle name="Normal 5 3 3 3 2 3 4" xfId="9864" xr:uid="{E8A40269-D56A-4C15-A161-3F04570E2D2C}"/>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0" xr:uid="{09888FDF-661C-4F5E-BC54-BB34B60D178E}"/>
    <cellStyle name="Normal 5 3 3 3 2 4 2 3" xfId="12422" xr:uid="{C48F6D20-1160-4B3D-ABD5-02131B844981}"/>
    <cellStyle name="Normal 5 3 3 3 2 4 3" xfId="6059" xr:uid="{00000000-0005-0000-0000-0000D3190000}"/>
    <cellStyle name="Normal 5 3 3 3 2 4 3 2" xfId="14495" xr:uid="{B8E73AD1-C620-4DBD-909C-A5A2EA316CF0}"/>
    <cellStyle name="Normal 5 3 3 3 2 4 4" xfId="10277" xr:uid="{8ECC9778-74E7-440E-9FB6-2C28C66DFED9}"/>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3" xr:uid="{930F8C81-CFA1-40C5-A094-A05BAF0C8C0A}"/>
    <cellStyle name="Normal 5 3 3 3 2 5 2 3" xfId="12835" xr:uid="{77C7BA69-9882-464F-8933-409EF566D6A6}"/>
    <cellStyle name="Normal 5 3 3 3 2 5 3" xfId="6472" xr:uid="{00000000-0005-0000-0000-0000D7190000}"/>
    <cellStyle name="Normal 5 3 3 3 2 5 3 2" xfId="14908" xr:uid="{B5430B3F-C59E-47BF-AD00-D0035ECED060}"/>
    <cellStyle name="Normal 5 3 3 3 2 5 4" xfId="10690" xr:uid="{51ED4591-0113-4316-B349-85D25682B4E4}"/>
    <cellStyle name="Normal 5 3 3 3 2 6" xfId="2601" xr:uid="{00000000-0005-0000-0000-0000D8190000}"/>
    <cellStyle name="Normal 5 3 3 3 2 6 2" xfId="6885" xr:uid="{00000000-0005-0000-0000-0000D9190000}"/>
    <cellStyle name="Normal 5 3 3 3 2 6 2 2" xfId="15321" xr:uid="{65B51029-DA82-45A0-B02D-BD1C32E0F68A}"/>
    <cellStyle name="Normal 5 3 3 3 2 6 3" xfId="11103" xr:uid="{4E3A3451-C8AE-4212-9321-7F24B8D35F48}"/>
    <cellStyle name="Normal 5 3 3 3 2 7" xfId="4820" xr:uid="{00000000-0005-0000-0000-0000DA190000}"/>
    <cellStyle name="Normal 5 3 3 3 2 7 2" xfId="13256" xr:uid="{F317F816-ADDA-4602-9022-DED656228D27}"/>
    <cellStyle name="Normal 5 3 3 3 2 8" xfId="9038" xr:uid="{A2A4DDBB-992C-42A7-AFE6-14E39AD4C74C}"/>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3" xr:uid="{F9E3C852-441A-4CFF-B3B1-BCD087CC903D}"/>
    <cellStyle name="Normal 5 3 3 3 3 2 3" xfId="11595" xr:uid="{6D7F4D7C-F269-4582-BC72-25FA4F6B0877}"/>
    <cellStyle name="Normal 5 3 3 3 3 3" xfId="5232" xr:uid="{00000000-0005-0000-0000-0000DE190000}"/>
    <cellStyle name="Normal 5 3 3 3 3 3 2" xfId="13668" xr:uid="{B594A609-6305-49B1-BFE7-AA0FF1A08C3C}"/>
    <cellStyle name="Normal 5 3 3 3 3 4" xfId="9450" xr:uid="{6C5F5193-1965-483C-9865-49DF541EE74A}"/>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6" xr:uid="{C571091E-89B0-43D7-AABF-E374AB396E2B}"/>
    <cellStyle name="Normal 5 3 3 3 4 2 3" xfId="12008" xr:uid="{98A94926-1FE2-494D-B71E-94C9D328FDC0}"/>
    <cellStyle name="Normal 5 3 3 3 4 3" xfId="5645" xr:uid="{00000000-0005-0000-0000-0000E2190000}"/>
    <cellStyle name="Normal 5 3 3 3 4 3 2" xfId="14081" xr:uid="{CB50C52E-AEB9-4D4C-9336-983EAD515598}"/>
    <cellStyle name="Normal 5 3 3 3 4 4" xfId="9863" xr:uid="{24F8E9C1-DD9F-47BF-B2FF-EC9E02E65607}"/>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39" xr:uid="{C8640CFF-3FFD-47B2-8A64-235D08582EDB}"/>
    <cellStyle name="Normal 5 3 3 3 5 2 3" xfId="12421" xr:uid="{366F9A99-7183-4274-B83F-E4FD7A400FA4}"/>
    <cellStyle name="Normal 5 3 3 3 5 3" xfId="6058" xr:uid="{00000000-0005-0000-0000-0000E6190000}"/>
    <cellStyle name="Normal 5 3 3 3 5 3 2" xfId="14494" xr:uid="{057B6015-6C58-4502-99B2-AD79AB810D02}"/>
    <cellStyle name="Normal 5 3 3 3 5 4" xfId="10276" xr:uid="{49B002D2-A823-4BD8-B5B2-C70A1ECD39DE}"/>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2" xr:uid="{AC1E9D19-67FE-4450-8789-2463B02769D9}"/>
    <cellStyle name="Normal 5 3 3 3 6 2 3" xfId="12834" xr:uid="{4EF82EC3-32A5-4505-8282-BB6ACA18FDD3}"/>
    <cellStyle name="Normal 5 3 3 3 6 3" xfId="6471" xr:uid="{00000000-0005-0000-0000-0000EA190000}"/>
    <cellStyle name="Normal 5 3 3 3 6 3 2" xfId="14907" xr:uid="{AC1F117A-F40F-408A-A71E-089855FB95C5}"/>
    <cellStyle name="Normal 5 3 3 3 6 4" xfId="10689" xr:uid="{1720235E-4D79-48A8-978F-F59A7E5CDF42}"/>
    <cellStyle name="Normal 5 3 3 3 7" xfId="2600" xr:uid="{00000000-0005-0000-0000-0000EB190000}"/>
    <cellStyle name="Normal 5 3 3 3 7 2" xfId="6884" xr:uid="{00000000-0005-0000-0000-0000EC190000}"/>
    <cellStyle name="Normal 5 3 3 3 7 2 2" xfId="15320" xr:uid="{B32BC6BA-2AFE-4618-88ED-E804824E9F6C}"/>
    <cellStyle name="Normal 5 3 3 3 7 3" xfId="11102" xr:uid="{06042F5F-5598-4A0C-AB6C-773BD9A7097D}"/>
    <cellStyle name="Normal 5 3 3 3 8" xfId="4819" xr:uid="{00000000-0005-0000-0000-0000ED190000}"/>
    <cellStyle name="Normal 5 3 3 3 8 2" xfId="13255" xr:uid="{141A431B-1A62-42DC-B15E-F2E03E9E3458}"/>
    <cellStyle name="Normal 5 3 3 3 9" xfId="9037" xr:uid="{926628FF-FEE8-4FA0-B52A-2D70AEB3EB5A}"/>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5" xr:uid="{53C9206E-8A1C-47FA-B1BF-819D53CCAA75}"/>
    <cellStyle name="Normal 5 3 3 4 2 2 3" xfId="11597" xr:uid="{80E55729-79C2-4630-89FB-7A438C84EB1D}"/>
    <cellStyle name="Normal 5 3 3 4 2 3" xfId="5234" xr:uid="{00000000-0005-0000-0000-0000F2190000}"/>
    <cellStyle name="Normal 5 3 3 4 2 3 2" xfId="13670" xr:uid="{6C46983A-4E03-4E42-A9C2-1D5CD303BF78}"/>
    <cellStyle name="Normal 5 3 3 4 2 4" xfId="9452" xr:uid="{57850513-2ACA-44EA-9266-18FD209A8348}"/>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28" xr:uid="{99F99182-5870-4DCA-8F51-BFF1ED90DE99}"/>
    <cellStyle name="Normal 5 3 3 4 3 2 3" xfId="12010" xr:uid="{E992F1B3-74C2-4E44-9EA0-E6416EC59C24}"/>
    <cellStyle name="Normal 5 3 3 4 3 3" xfId="5647" xr:uid="{00000000-0005-0000-0000-0000F6190000}"/>
    <cellStyle name="Normal 5 3 3 4 3 3 2" xfId="14083" xr:uid="{4E94B73B-131D-4738-AD6A-AAB8086FC778}"/>
    <cellStyle name="Normal 5 3 3 4 3 4" xfId="9865" xr:uid="{D6B3EF32-6FC0-4458-AFA6-6302F9A8D17F}"/>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1" xr:uid="{528EF941-96CD-45F4-9896-819EF2AD6309}"/>
    <cellStyle name="Normal 5 3 3 4 4 2 3" xfId="12423" xr:uid="{C4D437FE-D9AA-4DD6-8A21-5317CA813325}"/>
    <cellStyle name="Normal 5 3 3 4 4 3" xfId="6060" xr:uid="{00000000-0005-0000-0000-0000FA190000}"/>
    <cellStyle name="Normal 5 3 3 4 4 3 2" xfId="14496" xr:uid="{427C56A0-3546-40DC-9443-D0EF6A5E6002}"/>
    <cellStyle name="Normal 5 3 3 4 4 4" xfId="10278" xr:uid="{52D1CFCE-C142-4EEB-A602-34C786E01C10}"/>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4" xr:uid="{22243155-0D22-41F4-A5AB-6B0606C4CB60}"/>
    <cellStyle name="Normal 5 3 3 4 5 2 3" xfId="12836" xr:uid="{59768E23-C645-4E42-A1B2-1C6D678447FF}"/>
    <cellStyle name="Normal 5 3 3 4 5 3" xfId="6473" xr:uid="{00000000-0005-0000-0000-0000FE190000}"/>
    <cellStyle name="Normal 5 3 3 4 5 3 2" xfId="14909" xr:uid="{15806556-4C3E-46BB-9447-DCA4C2135591}"/>
    <cellStyle name="Normal 5 3 3 4 5 4" xfId="10691" xr:uid="{508DF080-2A29-422B-AE43-4413CF78DF4D}"/>
    <cellStyle name="Normal 5 3 3 4 6" xfId="2602" xr:uid="{00000000-0005-0000-0000-0000FF190000}"/>
    <cellStyle name="Normal 5 3 3 4 6 2" xfId="6886" xr:uid="{00000000-0005-0000-0000-0000001A0000}"/>
    <cellStyle name="Normal 5 3 3 4 6 2 2" xfId="15322" xr:uid="{948205D5-54E8-402C-936D-8FD2BA9E1459}"/>
    <cellStyle name="Normal 5 3 3 4 6 3" xfId="11104" xr:uid="{45D34369-78E3-408A-8A54-8BFA0E26DFE8}"/>
    <cellStyle name="Normal 5 3 3 4 7" xfId="4821" xr:uid="{00000000-0005-0000-0000-0000011A0000}"/>
    <cellStyle name="Normal 5 3 3 4 7 2" xfId="13257" xr:uid="{3B84008E-FDB4-4183-98C6-E01D804C7FAE}"/>
    <cellStyle name="Normal 5 3 3 4 8" xfId="9039" xr:uid="{B415FDD7-E7E0-4B43-B9FE-2B84D81EADA7}"/>
    <cellStyle name="Normal 5 3 3 5" xfId="915" xr:uid="{00000000-0005-0000-0000-0000021A0000}"/>
    <cellStyle name="Normal 5 3 3 5 2" xfId="3149" xr:uid="{00000000-0005-0000-0000-0000031A0000}"/>
    <cellStyle name="Normal 5 3 3 5 2 2" xfId="7372" xr:uid="{00000000-0005-0000-0000-0000041A0000}"/>
    <cellStyle name="Normal 5 3 3 5 2 2 2" xfId="15808" xr:uid="{D7E8529E-92ED-4A5A-A8E4-3DFAF590F716}"/>
    <cellStyle name="Normal 5 3 3 5 2 3" xfId="11590" xr:uid="{04746174-E5CD-431E-BA5C-F93AB1813381}"/>
    <cellStyle name="Normal 5 3 3 5 3" xfId="5227" xr:uid="{00000000-0005-0000-0000-0000051A0000}"/>
    <cellStyle name="Normal 5 3 3 5 3 2" xfId="13663" xr:uid="{6A6D5C0C-311D-4859-BD45-DE10F9C25C5D}"/>
    <cellStyle name="Normal 5 3 3 5 4" xfId="9445" xr:uid="{4C9ED121-39EE-469B-A7A8-7651DEAF93CE}"/>
    <cellStyle name="Normal 5 3 3 6" xfId="1332" xr:uid="{00000000-0005-0000-0000-0000061A0000}"/>
    <cellStyle name="Normal 5 3 3 6 2" xfId="3562" xr:uid="{00000000-0005-0000-0000-0000071A0000}"/>
    <cellStyle name="Normal 5 3 3 6 2 2" xfId="7785" xr:uid="{00000000-0005-0000-0000-0000081A0000}"/>
    <cellStyle name="Normal 5 3 3 6 2 2 2" xfId="16221" xr:uid="{1D733C96-A7F5-408D-8119-124FF61A4767}"/>
    <cellStyle name="Normal 5 3 3 6 2 3" xfId="12003" xr:uid="{778DD469-36A0-4820-86D1-C06E91B0E26D}"/>
    <cellStyle name="Normal 5 3 3 6 3" xfId="5640" xr:uid="{00000000-0005-0000-0000-0000091A0000}"/>
    <cellStyle name="Normal 5 3 3 6 3 2" xfId="14076" xr:uid="{EC50545F-B94B-4409-A2BD-0B6D157CB447}"/>
    <cellStyle name="Normal 5 3 3 6 4" xfId="9858" xr:uid="{B3E92730-6CA0-4651-8556-E57655C99DCA}"/>
    <cellStyle name="Normal 5 3 3 7" xfId="1745" xr:uid="{00000000-0005-0000-0000-00000A1A0000}"/>
    <cellStyle name="Normal 5 3 3 7 2" xfId="3975" xr:uid="{00000000-0005-0000-0000-00000B1A0000}"/>
    <cellStyle name="Normal 5 3 3 7 2 2" xfId="8198" xr:uid="{00000000-0005-0000-0000-00000C1A0000}"/>
    <cellStyle name="Normal 5 3 3 7 2 2 2" xfId="16634" xr:uid="{F8E188F1-095B-418A-9972-0FCE02DA6552}"/>
    <cellStyle name="Normal 5 3 3 7 2 3" xfId="12416" xr:uid="{A3617853-0406-4E7E-A68E-03163F96CE38}"/>
    <cellStyle name="Normal 5 3 3 7 3" xfId="6053" xr:uid="{00000000-0005-0000-0000-00000D1A0000}"/>
    <cellStyle name="Normal 5 3 3 7 3 2" xfId="14489" xr:uid="{83482AB3-9E42-4884-870B-6191405D2493}"/>
    <cellStyle name="Normal 5 3 3 7 4" xfId="10271" xr:uid="{B4FE8492-F197-4A51-ADA3-29CD33813DA8}"/>
    <cellStyle name="Normal 5 3 3 8" xfId="2159" xr:uid="{00000000-0005-0000-0000-00000E1A0000}"/>
    <cellStyle name="Normal 5 3 3 8 2" xfId="4388" xr:uid="{00000000-0005-0000-0000-00000F1A0000}"/>
    <cellStyle name="Normal 5 3 3 8 2 2" xfId="8611" xr:uid="{00000000-0005-0000-0000-0000101A0000}"/>
    <cellStyle name="Normal 5 3 3 8 2 2 2" xfId="17047" xr:uid="{82FCA07F-4E10-4057-86BF-16B15FECC2BF}"/>
    <cellStyle name="Normal 5 3 3 8 2 3" xfId="12829" xr:uid="{76F30C2C-5F31-412E-8DE7-7ABFC8E0B499}"/>
    <cellStyle name="Normal 5 3 3 8 3" xfId="6466" xr:uid="{00000000-0005-0000-0000-0000111A0000}"/>
    <cellStyle name="Normal 5 3 3 8 3 2" xfId="14902" xr:uid="{4194D86E-9D63-4009-81EE-23D5B8ED8416}"/>
    <cellStyle name="Normal 5 3 3 8 4" xfId="10684" xr:uid="{A8918F98-5BBB-4D23-B4D6-7E9F6FEF9651}"/>
    <cellStyle name="Normal 5 3 3 9" xfId="2595" xr:uid="{00000000-0005-0000-0000-0000121A0000}"/>
    <cellStyle name="Normal 5 3 3 9 2" xfId="6879" xr:uid="{00000000-0005-0000-0000-0000131A0000}"/>
    <cellStyle name="Normal 5 3 3 9 2 2" xfId="15315" xr:uid="{67ECBBDC-C252-4E5A-A785-DDB6A0DE2995}"/>
    <cellStyle name="Normal 5 3 3 9 3" xfId="11097" xr:uid="{B44CA225-A2A1-4F87-8E6A-8F1F0AFA16E9}"/>
    <cellStyle name="Normal 5 3 4" xfId="449" xr:uid="{00000000-0005-0000-0000-0000141A0000}"/>
    <cellStyle name="Normal 5 3 4 10" xfId="9040" xr:uid="{72A7FAAE-11DB-432C-A694-F1336EC795B6}"/>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18" xr:uid="{05B1638E-81AA-488B-B5E1-757A393FE3AA}"/>
    <cellStyle name="Normal 5 3 4 2 2 2 2 3" xfId="11600" xr:uid="{874297FB-8179-40C3-B987-A1BAD2C8A3EB}"/>
    <cellStyle name="Normal 5 3 4 2 2 2 3" xfId="5237" xr:uid="{00000000-0005-0000-0000-00001A1A0000}"/>
    <cellStyle name="Normal 5 3 4 2 2 2 3 2" xfId="13673" xr:uid="{EFCF4846-F729-4625-95D6-3FF2810522A7}"/>
    <cellStyle name="Normal 5 3 4 2 2 2 4" xfId="9455" xr:uid="{7FA5423E-CD29-40C9-9EAE-DC5443C4D28D}"/>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1" xr:uid="{3A3A530C-D2D3-4094-B22C-4DB92369FAEF}"/>
    <cellStyle name="Normal 5 3 4 2 2 3 2 3" xfId="12013" xr:uid="{A8425EA7-8F82-4348-A27F-E6339E6CFB4D}"/>
    <cellStyle name="Normal 5 3 4 2 2 3 3" xfId="5650" xr:uid="{00000000-0005-0000-0000-00001E1A0000}"/>
    <cellStyle name="Normal 5 3 4 2 2 3 3 2" xfId="14086" xr:uid="{0734DFF7-2077-4ECA-BEB0-B25761876DBD}"/>
    <cellStyle name="Normal 5 3 4 2 2 3 4" xfId="9868" xr:uid="{55CEDF60-F99A-44D5-B1B3-FBAF5FC14924}"/>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4" xr:uid="{92090DA7-B69E-4518-B0F3-8E709872A25B}"/>
    <cellStyle name="Normal 5 3 4 2 2 4 2 3" xfId="12426" xr:uid="{6CB674EF-3687-4747-8A2F-70B8B571703A}"/>
    <cellStyle name="Normal 5 3 4 2 2 4 3" xfId="6063" xr:uid="{00000000-0005-0000-0000-0000221A0000}"/>
    <cellStyle name="Normal 5 3 4 2 2 4 3 2" xfId="14499" xr:uid="{955F04CE-6BB0-47F5-B1D3-A617A2793394}"/>
    <cellStyle name="Normal 5 3 4 2 2 4 4" xfId="10281" xr:uid="{E4A7E21B-1F60-45BF-92D6-10D14B61B71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57" xr:uid="{A5716AFB-B31C-468D-9F4F-341D7F94DFB7}"/>
    <cellStyle name="Normal 5 3 4 2 2 5 2 3" xfId="12839" xr:uid="{FCCB5E85-F266-4FBF-BA63-ECD8048716BE}"/>
    <cellStyle name="Normal 5 3 4 2 2 5 3" xfId="6476" xr:uid="{00000000-0005-0000-0000-0000261A0000}"/>
    <cellStyle name="Normal 5 3 4 2 2 5 3 2" xfId="14912" xr:uid="{5ED46A2D-94BA-4AD8-A2D3-D0AB9194B593}"/>
    <cellStyle name="Normal 5 3 4 2 2 5 4" xfId="10694" xr:uid="{34ED9385-D4C4-4DD1-AF9F-769B2B10C421}"/>
    <cellStyle name="Normal 5 3 4 2 2 6" xfId="2605" xr:uid="{00000000-0005-0000-0000-0000271A0000}"/>
    <cellStyle name="Normal 5 3 4 2 2 6 2" xfId="6889" xr:uid="{00000000-0005-0000-0000-0000281A0000}"/>
    <cellStyle name="Normal 5 3 4 2 2 6 2 2" xfId="15325" xr:uid="{B1B0C715-7383-463A-945B-CA94730120FE}"/>
    <cellStyle name="Normal 5 3 4 2 2 6 3" xfId="11107" xr:uid="{67388607-9719-42E7-913C-5F9A274240BD}"/>
    <cellStyle name="Normal 5 3 4 2 2 7" xfId="4824" xr:uid="{00000000-0005-0000-0000-0000291A0000}"/>
    <cellStyle name="Normal 5 3 4 2 2 7 2" xfId="13260" xr:uid="{A94996DF-8EDE-4EB5-BBFA-522CCA7D4C35}"/>
    <cellStyle name="Normal 5 3 4 2 2 8" xfId="9042" xr:uid="{93398D39-DFAB-4C21-A94C-2F06C08948D8}"/>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17" xr:uid="{D555106D-C07C-469B-8E05-4620E5C0A474}"/>
    <cellStyle name="Normal 5 3 4 2 3 2 3" xfId="11599" xr:uid="{C8784175-43EA-4D64-AB9B-E522D1F3436B}"/>
    <cellStyle name="Normal 5 3 4 2 3 3" xfId="5236" xr:uid="{00000000-0005-0000-0000-00002D1A0000}"/>
    <cellStyle name="Normal 5 3 4 2 3 3 2" xfId="13672" xr:uid="{7F4ED504-57B7-48D7-81C2-2F9CF013B9A0}"/>
    <cellStyle name="Normal 5 3 4 2 3 4" xfId="9454" xr:uid="{89562520-047D-4C75-B4A3-4A3576822280}"/>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0" xr:uid="{AE8F78B7-1D89-49AA-96FC-1CA5E1F59B61}"/>
    <cellStyle name="Normal 5 3 4 2 4 2 3" xfId="12012" xr:uid="{0FD86115-249A-4E94-B802-34946A1AE085}"/>
    <cellStyle name="Normal 5 3 4 2 4 3" xfId="5649" xr:uid="{00000000-0005-0000-0000-0000311A0000}"/>
    <cellStyle name="Normal 5 3 4 2 4 3 2" xfId="14085" xr:uid="{DC3160C8-9756-40B0-AE43-A6B2CF6F4C6E}"/>
    <cellStyle name="Normal 5 3 4 2 4 4" xfId="9867" xr:uid="{A250DD68-12A0-46E7-BF38-6628AEC69A5B}"/>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3" xr:uid="{F2B5B87A-0E0C-437B-965F-2534028D3959}"/>
    <cellStyle name="Normal 5 3 4 2 5 2 3" xfId="12425" xr:uid="{9972B6D8-2800-47AF-9B1F-5FA034F44DD1}"/>
    <cellStyle name="Normal 5 3 4 2 5 3" xfId="6062" xr:uid="{00000000-0005-0000-0000-0000351A0000}"/>
    <cellStyle name="Normal 5 3 4 2 5 3 2" xfId="14498" xr:uid="{A5481665-EDA1-4927-860F-942F33E6165B}"/>
    <cellStyle name="Normal 5 3 4 2 5 4" xfId="10280" xr:uid="{10EC0EE5-6803-4925-A818-5D0AFC7C50A1}"/>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6" xr:uid="{A2C67264-D96A-4736-AE92-8407F0F0EDFA}"/>
    <cellStyle name="Normal 5 3 4 2 6 2 3" xfId="12838" xr:uid="{CD966D55-58C6-44C6-8DCC-2C4CA7CBFCC6}"/>
    <cellStyle name="Normal 5 3 4 2 6 3" xfId="6475" xr:uid="{00000000-0005-0000-0000-0000391A0000}"/>
    <cellStyle name="Normal 5 3 4 2 6 3 2" xfId="14911" xr:uid="{9CE3EB19-C563-4ECA-8947-BA765A6C3617}"/>
    <cellStyle name="Normal 5 3 4 2 6 4" xfId="10693" xr:uid="{2E4FF603-2C5F-4EB2-BDB4-A477E5CC5F6A}"/>
    <cellStyle name="Normal 5 3 4 2 7" xfId="2604" xr:uid="{00000000-0005-0000-0000-00003A1A0000}"/>
    <cellStyle name="Normal 5 3 4 2 7 2" xfId="6888" xr:uid="{00000000-0005-0000-0000-00003B1A0000}"/>
    <cellStyle name="Normal 5 3 4 2 7 2 2" xfId="15324" xr:uid="{43934E1E-E6C7-40BA-B615-C33CB27F74C2}"/>
    <cellStyle name="Normal 5 3 4 2 7 3" xfId="11106" xr:uid="{E0A34F30-7F93-463D-98B9-D349DD59E6C0}"/>
    <cellStyle name="Normal 5 3 4 2 8" xfId="4823" xr:uid="{00000000-0005-0000-0000-00003C1A0000}"/>
    <cellStyle name="Normal 5 3 4 2 8 2" xfId="13259" xr:uid="{3975D210-63D4-4C96-9409-F6D7664CB28A}"/>
    <cellStyle name="Normal 5 3 4 2 9" xfId="9041" xr:uid="{B3DECFEF-BF3E-4AD8-93CD-DC4A4B529AC9}"/>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19" xr:uid="{CC3A1D23-20F2-4BEC-B520-D105CCA48A0F}"/>
    <cellStyle name="Normal 5 3 4 3 2 2 3" xfId="11601" xr:uid="{D464FBFB-2D22-49E5-92CB-0447A288B355}"/>
    <cellStyle name="Normal 5 3 4 3 2 3" xfId="5238" xr:uid="{00000000-0005-0000-0000-0000411A0000}"/>
    <cellStyle name="Normal 5 3 4 3 2 3 2" xfId="13674" xr:uid="{BA23BEB8-C468-4501-988A-9AD1F8D1A09C}"/>
    <cellStyle name="Normal 5 3 4 3 2 4" xfId="9456" xr:uid="{67E191F3-09E3-44E0-9B73-B3FB3D44E8C7}"/>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2" xr:uid="{D04F44BB-C356-4073-9A48-42B8D9706482}"/>
    <cellStyle name="Normal 5 3 4 3 3 2 3" xfId="12014" xr:uid="{63F8FBE3-E91A-4575-8578-FB332DF0A9F3}"/>
    <cellStyle name="Normal 5 3 4 3 3 3" xfId="5651" xr:uid="{00000000-0005-0000-0000-0000451A0000}"/>
    <cellStyle name="Normal 5 3 4 3 3 3 2" xfId="14087" xr:uid="{C5DD0353-163E-46C9-AF05-6F7272ACC501}"/>
    <cellStyle name="Normal 5 3 4 3 3 4" xfId="9869" xr:uid="{03CEEEBF-0E8F-45CE-A640-51D14F9A07D7}"/>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5" xr:uid="{A9B945BB-4B13-4C2A-BAF0-30AED104E791}"/>
    <cellStyle name="Normal 5 3 4 3 4 2 3" xfId="12427" xr:uid="{60F19BED-7163-445E-9EF4-9CA4437D8C36}"/>
    <cellStyle name="Normal 5 3 4 3 4 3" xfId="6064" xr:uid="{00000000-0005-0000-0000-0000491A0000}"/>
    <cellStyle name="Normal 5 3 4 3 4 3 2" xfId="14500" xr:uid="{911C4EDA-D5A4-481A-B68C-AF37C906291A}"/>
    <cellStyle name="Normal 5 3 4 3 4 4" xfId="10282" xr:uid="{CBF05234-A753-41A4-8E21-0968D2A65BEE}"/>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58" xr:uid="{082735DD-35CB-4927-A78C-3C1A78411561}"/>
    <cellStyle name="Normal 5 3 4 3 5 2 3" xfId="12840" xr:uid="{608C8B22-313E-4449-AD01-82E848E20D76}"/>
    <cellStyle name="Normal 5 3 4 3 5 3" xfId="6477" xr:uid="{00000000-0005-0000-0000-00004D1A0000}"/>
    <cellStyle name="Normal 5 3 4 3 5 3 2" xfId="14913" xr:uid="{890B6B82-CC04-4855-ABE5-C3529AD0F7CE}"/>
    <cellStyle name="Normal 5 3 4 3 5 4" xfId="10695" xr:uid="{48D5CEF2-BCBF-4418-8D41-021CB57D0DE9}"/>
    <cellStyle name="Normal 5 3 4 3 6" xfId="2606" xr:uid="{00000000-0005-0000-0000-00004E1A0000}"/>
    <cellStyle name="Normal 5 3 4 3 6 2" xfId="6890" xr:uid="{00000000-0005-0000-0000-00004F1A0000}"/>
    <cellStyle name="Normal 5 3 4 3 6 2 2" xfId="15326" xr:uid="{70A02DD1-B445-4F6B-BC32-52649DB51145}"/>
    <cellStyle name="Normal 5 3 4 3 6 3" xfId="11108" xr:uid="{FD278B90-6E93-451F-8428-D7F33A6B6DB1}"/>
    <cellStyle name="Normal 5 3 4 3 7" xfId="4825" xr:uid="{00000000-0005-0000-0000-0000501A0000}"/>
    <cellStyle name="Normal 5 3 4 3 7 2" xfId="13261" xr:uid="{3D0567EB-5AED-4BAE-82D7-8C85001A0B94}"/>
    <cellStyle name="Normal 5 3 4 3 8" xfId="9043" xr:uid="{3CBD29A5-17B9-4339-8B59-78CC980CF738}"/>
    <cellStyle name="Normal 5 3 4 4" xfId="923" xr:uid="{00000000-0005-0000-0000-0000511A0000}"/>
    <cellStyle name="Normal 5 3 4 4 2" xfId="3157" xr:uid="{00000000-0005-0000-0000-0000521A0000}"/>
    <cellStyle name="Normal 5 3 4 4 2 2" xfId="7380" xr:uid="{00000000-0005-0000-0000-0000531A0000}"/>
    <cellStyle name="Normal 5 3 4 4 2 2 2" xfId="15816" xr:uid="{67678B5D-3741-4CAC-89D6-AE9C73157E0F}"/>
    <cellStyle name="Normal 5 3 4 4 2 3" xfId="11598" xr:uid="{26480FFC-57E7-4AD9-992F-9B40933305A2}"/>
    <cellStyle name="Normal 5 3 4 4 3" xfId="5235" xr:uid="{00000000-0005-0000-0000-0000541A0000}"/>
    <cellStyle name="Normal 5 3 4 4 3 2" xfId="13671" xr:uid="{9226D12A-3248-48EE-B7C5-326524F36E3F}"/>
    <cellStyle name="Normal 5 3 4 4 4" xfId="9453" xr:uid="{564D8359-A7D5-42E8-8AC3-7965BCB05BF7}"/>
    <cellStyle name="Normal 5 3 4 5" xfId="1340" xr:uid="{00000000-0005-0000-0000-0000551A0000}"/>
    <cellStyle name="Normal 5 3 4 5 2" xfId="3570" xr:uid="{00000000-0005-0000-0000-0000561A0000}"/>
    <cellStyle name="Normal 5 3 4 5 2 2" xfId="7793" xr:uid="{00000000-0005-0000-0000-0000571A0000}"/>
    <cellStyle name="Normal 5 3 4 5 2 2 2" xfId="16229" xr:uid="{4BE1F506-327C-49AF-A023-BBFBD706A849}"/>
    <cellStyle name="Normal 5 3 4 5 2 3" xfId="12011" xr:uid="{FE605413-B771-4543-A465-8AD43982CDB8}"/>
    <cellStyle name="Normal 5 3 4 5 3" xfId="5648" xr:uid="{00000000-0005-0000-0000-0000581A0000}"/>
    <cellStyle name="Normal 5 3 4 5 3 2" xfId="14084" xr:uid="{8AE344B3-89E0-414B-90BB-B038828C9204}"/>
    <cellStyle name="Normal 5 3 4 5 4" xfId="9866" xr:uid="{2136C443-5B70-434E-AB81-592C0FF29791}"/>
    <cellStyle name="Normal 5 3 4 6" xfId="1753" xr:uid="{00000000-0005-0000-0000-0000591A0000}"/>
    <cellStyle name="Normal 5 3 4 6 2" xfId="3983" xr:uid="{00000000-0005-0000-0000-00005A1A0000}"/>
    <cellStyle name="Normal 5 3 4 6 2 2" xfId="8206" xr:uid="{00000000-0005-0000-0000-00005B1A0000}"/>
    <cellStyle name="Normal 5 3 4 6 2 2 2" xfId="16642" xr:uid="{AEA2E231-FF03-4674-9113-EC1CC0D42582}"/>
    <cellStyle name="Normal 5 3 4 6 2 3" xfId="12424" xr:uid="{3DC5A40F-83C0-40EE-BAEC-C80B9963A5F0}"/>
    <cellStyle name="Normal 5 3 4 6 3" xfId="6061" xr:uid="{00000000-0005-0000-0000-00005C1A0000}"/>
    <cellStyle name="Normal 5 3 4 6 3 2" xfId="14497" xr:uid="{94A47C81-8E55-43FE-9525-2E3D63E200F0}"/>
    <cellStyle name="Normal 5 3 4 6 4" xfId="10279" xr:uid="{1B7B6CC8-3578-4BD3-998D-F80157AAC84C}"/>
    <cellStyle name="Normal 5 3 4 7" xfId="2167" xr:uid="{00000000-0005-0000-0000-00005D1A0000}"/>
    <cellStyle name="Normal 5 3 4 7 2" xfId="4396" xr:uid="{00000000-0005-0000-0000-00005E1A0000}"/>
    <cellStyle name="Normal 5 3 4 7 2 2" xfId="8619" xr:uid="{00000000-0005-0000-0000-00005F1A0000}"/>
    <cellStyle name="Normal 5 3 4 7 2 2 2" xfId="17055" xr:uid="{B648CB06-2F8B-45BE-8670-525FD1E5BA18}"/>
    <cellStyle name="Normal 5 3 4 7 2 3" xfId="12837" xr:uid="{D40349E0-52F3-42F6-8BA6-C8EA66663B88}"/>
    <cellStyle name="Normal 5 3 4 7 3" xfId="6474" xr:uid="{00000000-0005-0000-0000-0000601A0000}"/>
    <cellStyle name="Normal 5 3 4 7 3 2" xfId="14910" xr:uid="{8D068200-48F4-4790-9995-6203AC2B1692}"/>
    <cellStyle name="Normal 5 3 4 7 4" xfId="10692" xr:uid="{6FF1A11D-AB62-4680-A78F-658E91B30629}"/>
    <cellStyle name="Normal 5 3 4 8" xfId="2603" xr:uid="{00000000-0005-0000-0000-0000611A0000}"/>
    <cellStyle name="Normal 5 3 4 8 2" xfId="6887" xr:uid="{00000000-0005-0000-0000-0000621A0000}"/>
    <cellStyle name="Normal 5 3 4 8 2 2" xfId="15323" xr:uid="{3EA5913C-BACE-433C-90BF-774E1E018C93}"/>
    <cellStyle name="Normal 5 3 4 8 3" xfId="11105" xr:uid="{E5C3F5FD-84C5-4C61-B6D9-11E784BBDA98}"/>
    <cellStyle name="Normal 5 3 4 9" xfId="4822" xr:uid="{00000000-0005-0000-0000-0000631A0000}"/>
    <cellStyle name="Normal 5 3 4 9 2" xfId="13258" xr:uid="{F42B50A6-AB10-4B4D-80F5-264EC885AC58}"/>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1" xr:uid="{F0A7C0E5-FF69-43C6-9AB3-74FF676C4DDC}"/>
    <cellStyle name="Normal 5 3 5 2 2 2 3" xfId="11603" xr:uid="{690BA62B-FD04-4B98-9B32-B96108A6AEC8}"/>
    <cellStyle name="Normal 5 3 5 2 2 3" xfId="5240" xr:uid="{00000000-0005-0000-0000-0000691A0000}"/>
    <cellStyle name="Normal 5 3 5 2 2 3 2" xfId="13676" xr:uid="{0CE96F15-3F69-411A-89B5-B1111EA4CAA7}"/>
    <cellStyle name="Normal 5 3 5 2 2 4" xfId="9458" xr:uid="{580A997B-839C-423D-ACAC-225FC8FB187C}"/>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4" xr:uid="{29ABB2AC-D36D-4DA7-A080-AFBA60A3193F}"/>
    <cellStyle name="Normal 5 3 5 2 3 2 3" xfId="12016" xr:uid="{6D425382-5290-40C6-AF2B-03B9D59D95A8}"/>
    <cellStyle name="Normal 5 3 5 2 3 3" xfId="5653" xr:uid="{00000000-0005-0000-0000-00006D1A0000}"/>
    <cellStyle name="Normal 5 3 5 2 3 3 2" xfId="14089" xr:uid="{D6620D9C-6860-47C6-9A00-CC7ED67626C7}"/>
    <cellStyle name="Normal 5 3 5 2 3 4" xfId="9871" xr:uid="{BA00A1EF-105B-4C30-823D-23D708D6C11A}"/>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47" xr:uid="{5BCAAE4E-4881-4702-B62A-7E9710E0BAA9}"/>
    <cellStyle name="Normal 5 3 5 2 4 2 3" xfId="12429" xr:uid="{7BAF4BC2-9D32-44EE-818A-819853E01130}"/>
    <cellStyle name="Normal 5 3 5 2 4 3" xfId="6066" xr:uid="{00000000-0005-0000-0000-0000711A0000}"/>
    <cellStyle name="Normal 5 3 5 2 4 3 2" xfId="14502" xr:uid="{F1A51B83-FB32-4865-828C-B95D437F432E}"/>
    <cellStyle name="Normal 5 3 5 2 4 4" xfId="10284" xr:uid="{3E2A3ACA-6527-4765-856F-CC1FA48D22B2}"/>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0" xr:uid="{5E3FD144-28F8-4888-94E5-4901A83322DF}"/>
    <cellStyle name="Normal 5 3 5 2 5 2 3" xfId="12842" xr:uid="{ABEFD086-BCA1-4B8B-BC50-6A90F8D5963F}"/>
    <cellStyle name="Normal 5 3 5 2 5 3" xfId="6479" xr:uid="{00000000-0005-0000-0000-0000751A0000}"/>
    <cellStyle name="Normal 5 3 5 2 5 3 2" xfId="14915" xr:uid="{AE055664-26FB-4B52-AFB7-DB04166A1898}"/>
    <cellStyle name="Normal 5 3 5 2 5 4" xfId="10697" xr:uid="{03326D42-298B-4D2B-A21F-C28784D8A30D}"/>
    <cellStyle name="Normal 5 3 5 2 6" xfId="2608" xr:uid="{00000000-0005-0000-0000-0000761A0000}"/>
    <cellStyle name="Normal 5 3 5 2 6 2" xfId="6892" xr:uid="{00000000-0005-0000-0000-0000771A0000}"/>
    <cellStyle name="Normal 5 3 5 2 6 2 2" xfId="15328" xr:uid="{FD5D0FED-F8EF-4145-B7B8-C955A65D3A23}"/>
    <cellStyle name="Normal 5 3 5 2 6 3" xfId="11110" xr:uid="{A90F5408-4340-4F3C-9534-9D305F4E0F12}"/>
    <cellStyle name="Normal 5 3 5 2 7" xfId="4827" xr:uid="{00000000-0005-0000-0000-0000781A0000}"/>
    <cellStyle name="Normal 5 3 5 2 7 2" xfId="13263" xr:uid="{197B1614-1ABB-48CD-A325-317396B063F3}"/>
    <cellStyle name="Normal 5 3 5 2 8" xfId="9045" xr:uid="{6A338F17-CE2C-458A-AAF4-4865AD90A742}"/>
    <cellStyle name="Normal 5 3 5 3" xfId="927" xr:uid="{00000000-0005-0000-0000-0000791A0000}"/>
    <cellStyle name="Normal 5 3 5 3 2" xfId="3161" xr:uid="{00000000-0005-0000-0000-00007A1A0000}"/>
    <cellStyle name="Normal 5 3 5 3 2 2" xfId="7384" xr:uid="{00000000-0005-0000-0000-00007B1A0000}"/>
    <cellStyle name="Normal 5 3 5 3 2 2 2" xfId="15820" xr:uid="{ADF0BA88-9809-4524-8882-A7806A592852}"/>
    <cellStyle name="Normal 5 3 5 3 2 3" xfId="11602" xr:uid="{8DE84F7F-4B51-44FE-8B69-4A370A2E7889}"/>
    <cellStyle name="Normal 5 3 5 3 3" xfId="5239" xr:uid="{00000000-0005-0000-0000-00007C1A0000}"/>
    <cellStyle name="Normal 5 3 5 3 3 2" xfId="13675" xr:uid="{0162E41C-D5E1-46C1-B414-7F4D8C3261C7}"/>
    <cellStyle name="Normal 5 3 5 3 4" xfId="9457" xr:uid="{C2F174C3-A09C-4B5B-A662-9B5C85A5EC63}"/>
    <cellStyle name="Normal 5 3 5 4" xfId="1344" xr:uid="{00000000-0005-0000-0000-00007D1A0000}"/>
    <cellStyle name="Normal 5 3 5 4 2" xfId="3574" xr:uid="{00000000-0005-0000-0000-00007E1A0000}"/>
    <cellStyle name="Normal 5 3 5 4 2 2" xfId="7797" xr:uid="{00000000-0005-0000-0000-00007F1A0000}"/>
    <cellStyle name="Normal 5 3 5 4 2 2 2" xfId="16233" xr:uid="{94A7E29F-D2E5-446F-9AF5-E51ECA6401A6}"/>
    <cellStyle name="Normal 5 3 5 4 2 3" xfId="12015" xr:uid="{86C7D803-966D-441E-9617-8CAC5C7943B4}"/>
    <cellStyle name="Normal 5 3 5 4 3" xfId="5652" xr:uid="{00000000-0005-0000-0000-0000801A0000}"/>
    <cellStyle name="Normal 5 3 5 4 3 2" xfId="14088" xr:uid="{0EDCB025-0D46-4D42-9B4A-C0FC582A1763}"/>
    <cellStyle name="Normal 5 3 5 4 4" xfId="9870" xr:uid="{848162EF-AF46-4481-BABF-C0AA9EEA4891}"/>
    <cellStyle name="Normal 5 3 5 5" xfId="1757" xr:uid="{00000000-0005-0000-0000-0000811A0000}"/>
    <cellStyle name="Normal 5 3 5 5 2" xfId="3987" xr:uid="{00000000-0005-0000-0000-0000821A0000}"/>
    <cellStyle name="Normal 5 3 5 5 2 2" xfId="8210" xr:uid="{00000000-0005-0000-0000-0000831A0000}"/>
    <cellStyle name="Normal 5 3 5 5 2 2 2" xfId="16646" xr:uid="{EAE059FF-7EA2-4EE5-843E-100A8E5A4617}"/>
    <cellStyle name="Normal 5 3 5 5 2 3" xfId="12428" xr:uid="{134324D4-6F53-42B5-AFB7-782127BCD9D2}"/>
    <cellStyle name="Normal 5 3 5 5 3" xfId="6065" xr:uid="{00000000-0005-0000-0000-0000841A0000}"/>
    <cellStyle name="Normal 5 3 5 5 3 2" xfId="14501" xr:uid="{2F1C2047-E50B-49CD-BBD8-F2B2A6437B52}"/>
    <cellStyle name="Normal 5 3 5 5 4" xfId="10283" xr:uid="{F08B8058-7408-48FA-9DC2-037F3903F6D7}"/>
    <cellStyle name="Normal 5 3 5 6" xfId="2171" xr:uid="{00000000-0005-0000-0000-0000851A0000}"/>
    <cellStyle name="Normal 5 3 5 6 2" xfId="4400" xr:uid="{00000000-0005-0000-0000-0000861A0000}"/>
    <cellStyle name="Normal 5 3 5 6 2 2" xfId="8623" xr:uid="{00000000-0005-0000-0000-0000871A0000}"/>
    <cellStyle name="Normal 5 3 5 6 2 2 2" xfId="17059" xr:uid="{5A8D6952-89CC-4691-B737-D9767B59B64D}"/>
    <cellStyle name="Normal 5 3 5 6 2 3" xfId="12841" xr:uid="{96B5357F-3C7C-4459-9AEF-CDC91BDE7CFC}"/>
    <cellStyle name="Normal 5 3 5 6 3" xfId="6478" xr:uid="{00000000-0005-0000-0000-0000881A0000}"/>
    <cellStyle name="Normal 5 3 5 6 3 2" xfId="14914" xr:uid="{9F671F48-AFF7-4AC8-B7FB-F82C8EE933DA}"/>
    <cellStyle name="Normal 5 3 5 6 4" xfId="10696" xr:uid="{E8A24378-F431-4B7F-8A96-FAF8920A1F5D}"/>
    <cellStyle name="Normal 5 3 5 7" xfId="2607" xr:uid="{00000000-0005-0000-0000-0000891A0000}"/>
    <cellStyle name="Normal 5 3 5 7 2" xfId="6891" xr:uid="{00000000-0005-0000-0000-00008A1A0000}"/>
    <cellStyle name="Normal 5 3 5 7 2 2" xfId="15327" xr:uid="{6EFB2779-2477-4623-99D7-1BF286457FA7}"/>
    <cellStyle name="Normal 5 3 5 7 3" xfId="11109" xr:uid="{76DDD255-299F-4D68-BAC9-5E0E6CEC1E78}"/>
    <cellStyle name="Normal 5 3 5 8" xfId="4826" xr:uid="{00000000-0005-0000-0000-00008B1A0000}"/>
    <cellStyle name="Normal 5 3 5 8 2" xfId="13262" xr:uid="{D864EA87-722B-4D0A-8228-DC89AA901FFE}"/>
    <cellStyle name="Normal 5 3 5 9" xfId="9044" xr:uid="{D05EBC26-41D2-437F-AD36-99A3FDB6A08E}"/>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2" xr:uid="{256A7316-0620-46DB-B9B4-2CA3AC1C3F06}"/>
    <cellStyle name="Normal 5 3 6 2 2 3" xfId="11604" xr:uid="{2C97F758-754E-424A-B280-178CA8E3333D}"/>
    <cellStyle name="Normal 5 3 6 2 3" xfId="5241" xr:uid="{00000000-0005-0000-0000-0000901A0000}"/>
    <cellStyle name="Normal 5 3 6 2 3 2" xfId="13677" xr:uid="{F8240889-66CA-49CB-AA15-09959839BA2A}"/>
    <cellStyle name="Normal 5 3 6 2 4" xfId="9459" xr:uid="{618C17BA-3C1E-4752-BBAD-31802FE945B6}"/>
    <cellStyle name="Normal 5 3 6 3" xfId="1346" xr:uid="{00000000-0005-0000-0000-0000911A0000}"/>
    <cellStyle name="Normal 5 3 6 3 2" xfId="3576" xr:uid="{00000000-0005-0000-0000-0000921A0000}"/>
    <cellStyle name="Normal 5 3 6 3 2 2" xfId="7799" xr:uid="{00000000-0005-0000-0000-0000931A0000}"/>
    <cellStyle name="Normal 5 3 6 3 2 2 2" xfId="16235" xr:uid="{8D9840B5-0E1A-4364-8F08-C3D10ABADE1D}"/>
    <cellStyle name="Normal 5 3 6 3 2 3" xfId="12017" xr:uid="{DB5A0348-2207-4A4F-8D87-6916A16A0CEA}"/>
    <cellStyle name="Normal 5 3 6 3 3" xfId="5654" xr:uid="{00000000-0005-0000-0000-0000941A0000}"/>
    <cellStyle name="Normal 5 3 6 3 3 2" xfId="14090" xr:uid="{ED90675C-2F81-4DFD-8252-678A21CA8491}"/>
    <cellStyle name="Normal 5 3 6 3 4" xfId="9872" xr:uid="{674C1287-81A4-4CB2-AE1C-2C1C05D804C0}"/>
    <cellStyle name="Normal 5 3 6 4" xfId="1759" xr:uid="{00000000-0005-0000-0000-0000951A0000}"/>
    <cellStyle name="Normal 5 3 6 4 2" xfId="3989" xr:uid="{00000000-0005-0000-0000-0000961A0000}"/>
    <cellStyle name="Normal 5 3 6 4 2 2" xfId="8212" xr:uid="{00000000-0005-0000-0000-0000971A0000}"/>
    <cellStyle name="Normal 5 3 6 4 2 2 2" xfId="16648" xr:uid="{032F9107-E2B3-46D0-AC25-56E5249235C9}"/>
    <cellStyle name="Normal 5 3 6 4 2 3" xfId="12430" xr:uid="{7D7D8408-4B8E-4E5C-9E63-8F39551DAA6B}"/>
    <cellStyle name="Normal 5 3 6 4 3" xfId="6067" xr:uid="{00000000-0005-0000-0000-0000981A0000}"/>
    <cellStyle name="Normal 5 3 6 4 3 2" xfId="14503" xr:uid="{384EC80B-C1E2-445C-8A98-3F9D4A1E8633}"/>
    <cellStyle name="Normal 5 3 6 4 4" xfId="10285" xr:uid="{04882415-1E43-44D7-9688-2714D2F8BCAE}"/>
    <cellStyle name="Normal 5 3 6 5" xfId="2173" xr:uid="{00000000-0005-0000-0000-0000991A0000}"/>
    <cellStyle name="Normal 5 3 6 5 2" xfId="4402" xr:uid="{00000000-0005-0000-0000-00009A1A0000}"/>
    <cellStyle name="Normal 5 3 6 5 2 2" xfId="8625" xr:uid="{00000000-0005-0000-0000-00009B1A0000}"/>
    <cellStyle name="Normal 5 3 6 5 2 2 2" xfId="17061" xr:uid="{BDA24716-5FDB-4CB5-A11B-6704077AAC86}"/>
    <cellStyle name="Normal 5 3 6 5 2 3" xfId="12843" xr:uid="{718C4137-488A-4AC1-B57B-FABF53140BB4}"/>
    <cellStyle name="Normal 5 3 6 5 3" xfId="6480" xr:uid="{00000000-0005-0000-0000-00009C1A0000}"/>
    <cellStyle name="Normal 5 3 6 5 3 2" xfId="14916" xr:uid="{B72A8F07-6A3E-4DF2-8BD9-CA2DA24F4C85}"/>
    <cellStyle name="Normal 5 3 6 5 4" xfId="10698" xr:uid="{90120048-03D7-49DF-B556-307F55830763}"/>
    <cellStyle name="Normal 5 3 6 6" xfId="2609" xr:uid="{00000000-0005-0000-0000-00009D1A0000}"/>
    <cellStyle name="Normal 5 3 6 6 2" xfId="6893" xr:uid="{00000000-0005-0000-0000-00009E1A0000}"/>
    <cellStyle name="Normal 5 3 6 6 2 2" xfId="15329" xr:uid="{CFE5691C-5105-4082-88CC-81FC8F7D64D9}"/>
    <cellStyle name="Normal 5 3 6 6 3" xfId="11111" xr:uid="{340643DD-664F-4FC5-9117-24E2059B319C}"/>
    <cellStyle name="Normal 5 3 6 7" xfId="4828" xr:uid="{00000000-0005-0000-0000-00009F1A0000}"/>
    <cellStyle name="Normal 5 3 6 7 2" xfId="13264" xr:uid="{9BB44696-496A-4123-8572-3685F3C5F648}"/>
    <cellStyle name="Normal 5 3 6 8" xfId="9046" xr:uid="{0A2E0143-71CC-489B-B099-488790E6074C}"/>
    <cellStyle name="Normal 5 3 7" xfId="913" xr:uid="{00000000-0005-0000-0000-0000A01A0000}"/>
    <cellStyle name="Normal 5 3 7 2" xfId="3148" xr:uid="{00000000-0005-0000-0000-0000A11A0000}"/>
    <cellStyle name="Normal 5 3 7 2 2" xfId="7371" xr:uid="{00000000-0005-0000-0000-0000A21A0000}"/>
    <cellStyle name="Normal 5 3 7 2 2 2" xfId="15807" xr:uid="{0BD78895-4929-4967-B697-6963A0505343}"/>
    <cellStyle name="Normal 5 3 7 2 3" xfId="11589" xr:uid="{D764F543-C87D-4F64-8381-894C25170FEF}"/>
    <cellStyle name="Normal 5 3 7 3" xfId="5226" xr:uid="{00000000-0005-0000-0000-0000A31A0000}"/>
    <cellStyle name="Normal 5 3 7 3 2" xfId="13662" xr:uid="{361E3CAA-968D-4184-9D72-2390453A979D}"/>
    <cellStyle name="Normal 5 3 7 4" xfId="9444" xr:uid="{14D20151-2940-44AA-8D6C-02D230D9B1A8}"/>
    <cellStyle name="Normal 5 3 8" xfId="1331" xr:uid="{00000000-0005-0000-0000-0000A41A0000}"/>
    <cellStyle name="Normal 5 3 8 2" xfId="3561" xr:uid="{00000000-0005-0000-0000-0000A51A0000}"/>
    <cellStyle name="Normal 5 3 8 2 2" xfId="7784" xr:uid="{00000000-0005-0000-0000-0000A61A0000}"/>
    <cellStyle name="Normal 5 3 8 2 2 2" xfId="16220" xr:uid="{84D156CD-7DB7-4820-9E16-8AFBA4D51F9D}"/>
    <cellStyle name="Normal 5 3 8 2 3" xfId="12002" xr:uid="{1DAB35EA-11DE-4FE1-8AF8-FB6CB57C22B2}"/>
    <cellStyle name="Normal 5 3 8 3" xfId="5639" xr:uid="{00000000-0005-0000-0000-0000A71A0000}"/>
    <cellStyle name="Normal 5 3 8 3 2" xfId="14075" xr:uid="{AE2F9112-220E-4AC0-B017-EB573A280E2F}"/>
    <cellStyle name="Normal 5 3 8 4" xfId="9857" xr:uid="{2B7D4CAA-C522-47BA-A303-D086054C2DF8}"/>
    <cellStyle name="Normal 5 3 9" xfId="1744" xr:uid="{00000000-0005-0000-0000-0000A81A0000}"/>
    <cellStyle name="Normal 5 3 9 2" xfId="3974" xr:uid="{00000000-0005-0000-0000-0000A91A0000}"/>
    <cellStyle name="Normal 5 3 9 2 2" xfId="8197" xr:uid="{00000000-0005-0000-0000-0000AA1A0000}"/>
    <cellStyle name="Normal 5 3 9 2 2 2" xfId="16633" xr:uid="{E44E62AF-1256-4BFC-8F36-905E072B1BF5}"/>
    <cellStyle name="Normal 5 3 9 2 3" xfId="12415" xr:uid="{14B788C9-1862-43D6-9A26-DEF4A3348CCF}"/>
    <cellStyle name="Normal 5 3 9 3" xfId="6052" xr:uid="{00000000-0005-0000-0000-0000AB1A0000}"/>
    <cellStyle name="Normal 5 3 9 3 2" xfId="14488" xr:uid="{6CBA2381-998D-408A-AE9D-EAE1665BD87E}"/>
    <cellStyle name="Normal 5 3 9 4" xfId="10270" xr:uid="{75237ADD-1F71-4403-8288-D2F9ED08DF53}"/>
    <cellStyle name="Normal 5 4" xfId="456" xr:uid="{00000000-0005-0000-0000-0000AC1A0000}"/>
    <cellStyle name="Normal 5 4 10" xfId="4829" xr:uid="{00000000-0005-0000-0000-0000AD1A0000}"/>
    <cellStyle name="Normal 5 4 10 2" xfId="13265" xr:uid="{7732B626-065C-4D2A-B8B9-0022E390C859}"/>
    <cellStyle name="Normal 5 4 11" xfId="9047" xr:uid="{A752F110-C718-4B05-A0EA-A3B54E1B2974}"/>
    <cellStyle name="Normal 5 4 2" xfId="457" xr:uid="{00000000-0005-0000-0000-0000AE1A0000}"/>
    <cellStyle name="Normal 5 4 2 10" xfId="9048" xr:uid="{B1069FD0-9B3C-4C2C-8DFB-74F5C2C8CBBD}"/>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6" xr:uid="{517F6BC4-7ECB-497E-8E8D-D7FADC270919}"/>
    <cellStyle name="Normal 5 4 2 2 2 2 2 3" xfId="11608" xr:uid="{5DE03173-EECB-41B6-AA70-5E28F7E6156A}"/>
    <cellStyle name="Normal 5 4 2 2 2 2 3" xfId="5245" xr:uid="{00000000-0005-0000-0000-0000B41A0000}"/>
    <cellStyle name="Normal 5 4 2 2 2 2 3 2" xfId="13681" xr:uid="{AE237FB4-BF52-4770-B7E3-9B00C44F8671}"/>
    <cellStyle name="Normal 5 4 2 2 2 2 4" xfId="9463" xr:uid="{026C5162-EF8C-4B8F-A21D-2DAAF0E88967}"/>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39" xr:uid="{05BDD050-E197-4E25-9EE4-5694C856A3A9}"/>
    <cellStyle name="Normal 5 4 2 2 2 3 2 3" xfId="12021" xr:uid="{AE76604A-6452-466A-A8E9-98D9C817426E}"/>
    <cellStyle name="Normal 5 4 2 2 2 3 3" xfId="5658" xr:uid="{00000000-0005-0000-0000-0000B81A0000}"/>
    <cellStyle name="Normal 5 4 2 2 2 3 3 2" xfId="14094" xr:uid="{1C1DC502-A22E-461E-96F7-412E1A4A031B}"/>
    <cellStyle name="Normal 5 4 2 2 2 3 4" xfId="9876" xr:uid="{F7DC73F5-1BF0-43AF-84A5-85DFAAEF44DC}"/>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2" xr:uid="{8C14DB06-B682-4665-A367-58C45A57D602}"/>
    <cellStyle name="Normal 5 4 2 2 2 4 2 3" xfId="12434" xr:uid="{975EE0DC-8859-4A5A-8E6E-DCE0C635AC8A}"/>
    <cellStyle name="Normal 5 4 2 2 2 4 3" xfId="6071" xr:uid="{00000000-0005-0000-0000-0000BC1A0000}"/>
    <cellStyle name="Normal 5 4 2 2 2 4 3 2" xfId="14507" xr:uid="{2DFF7ADF-6C1C-4397-B7EA-6E109F99BF5F}"/>
    <cellStyle name="Normal 5 4 2 2 2 4 4" xfId="10289" xr:uid="{F4807CA3-E2E6-43E1-997D-B4C9B3C951B4}"/>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5" xr:uid="{5ED271F7-24EB-4219-B72A-8F823A51D02D}"/>
    <cellStyle name="Normal 5 4 2 2 2 5 2 3" xfId="12847" xr:uid="{7D632059-EDCE-4FC3-B1DB-70B586FB3D8B}"/>
    <cellStyle name="Normal 5 4 2 2 2 5 3" xfId="6484" xr:uid="{00000000-0005-0000-0000-0000C01A0000}"/>
    <cellStyle name="Normal 5 4 2 2 2 5 3 2" xfId="14920" xr:uid="{41C962EB-78E7-46FF-ABCA-974059C46228}"/>
    <cellStyle name="Normal 5 4 2 2 2 5 4" xfId="10702" xr:uid="{BAF41D2C-0142-43D0-9686-360EAF76039A}"/>
    <cellStyle name="Normal 5 4 2 2 2 6" xfId="2613" xr:uid="{00000000-0005-0000-0000-0000C11A0000}"/>
    <cellStyle name="Normal 5 4 2 2 2 6 2" xfId="6897" xr:uid="{00000000-0005-0000-0000-0000C21A0000}"/>
    <cellStyle name="Normal 5 4 2 2 2 6 2 2" xfId="15333" xr:uid="{B790E8C6-8837-4B09-9FDC-503F4B32AACC}"/>
    <cellStyle name="Normal 5 4 2 2 2 6 3" xfId="11115" xr:uid="{54ED18F8-C7E2-4626-A357-36AE1430DB97}"/>
    <cellStyle name="Normal 5 4 2 2 2 7" xfId="4832" xr:uid="{00000000-0005-0000-0000-0000C31A0000}"/>
    <cellStyle name="Normal 5 4 2 2 2 7 2" xfId="13268" xr:uid="{0953924F-683B-4D72-A87A-A43A7FDD9D87}"/>
    <cellStyle name="Normal 5 4 2 2 2 8" xfId="9050" xr:uid="{387B9992-09B2-4039-9C05-39411B1A8B57}"/>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5" xr:uid="{53A36F5C-7729-49E8-8AEB-88871A2289FF}"/>
    <cellStyle name="Normal 5 4 2 2 3 2 3" xfId="11607" xr:uid="{A2556AFF-9F69-48FA-BBBA-BADA14BE3D3A}"/>
    <cellStyle name="Normal 5 4 2 2 3 3" xfId="5244" xr:uid="{00000000-0005-0000-0000-0000C71A0000}"/>
    <cellStyle name="Normal 5 4 2 2 3 3 2" xfId="13680" xr:uid="{BC5BF3C4-C6FF-483A-AE1E-331608CD870B}"/>
    <cellStyle name="Normal 5 4 2 2 3 4" xfId="9462" xr:uid="{47640FCA-17DD-4313-9C03-87E98BCE940C}"/>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38" xr:uid="{B173F86D-E247-4015-BF5B-3AC56BBC4C17}"/>
    <cellStyle name="Normal 5 4 2 2 4 2 3" xfId="12020" xr:uid="{EDE8B619-9C3E-44E2-BF53-AE97D50B0AF9}"/>
    <cellStyle name="Normal 5 4 2 2 4 3" xfId="5657" xr:uid="{00000000-0005-0000-0000-0000CB1A0000}"/>
    <cellStyle name="Normal 5 4 2 2 4 3 2" xfId="14093" xr:uid="{C95BB8E9-3A57-4623-A478-7173B44959AA}"/>
    <cellStyle name="Normal 5 4 2 2 4 4" xfId="9875" xr:uid="{B0C2D567-19A2-4C10-9036-2883C7B9A985}"/>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1" xr:uid="{88D9474C-117C-49E6-BDE2-58E3A68F3DFC}"/>
    <cellStyle name="Normal 5 4 2 2 5 2 3" xfId="12433" xr:uid="{9A3FCC10-3DDA-4324-A0E2-BDF3DF0EAAC0}"/>
    <cellStyle name="Normal 5 4 2 2 5 3" xfId="6070" xr:uid="{00000000-0005-0000-0000-0000CF1A0000}"/>
    <cellStyle name="Normal 5 4 2 2 5 3 2" xfId="14506" xr:uid="{248F181F-81E8-4494-AD23-16C9CCFE9A1E}"/>
    <cellStyle name="Normal 5 4 2 2 5 4" xfId="10288" xr:uid="{F19D8CF0-3C45-418A-966D-8CF537F30D05}"/>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4" xr:uid="{68FB5850-5923-4652-B09F-D158C7C35402}"/>
    <cellStyle name="Normal 5 4 2 2 6 2 3" xfId="12846" xr:uid="{2C8A9172-FB1D-44AE-82C1-210D1C883605}"/>
    <cellStyle name="Normal 5 4 2 2 6 3" xfId="6483" xr:uid="{00000000-0005-0000-0000-0000D31A0000}"/>
    <cellStyle name="Normal 5 4 2 2 6 3 2" xfId="14919" xr:uid="{76185BE6-3823-4FC4-A3E2-28A2B31D7E3A}"/>
    <cellStyle name="Normal 5 4 2 2 6 4" xfId="10701" xr:uid="{26945B88-0F2D-4F22-8B8F-5D4252E7DE65}"/>
    <cellStyle name="Normal 5 4 2 2 7" xfId="2612" xr:uid="{00000000-0005-0000-0000-0000D41A0000}"/>
    <cellStyle name="Normal 5 4 2 2 7 2" xfId="6896" xr:uid="{00000000-0005-0000-0000-0000D51A0000}"/>
    <cellStyle name="Normal 5 4 2 2 7 2 2" xfId="15332" xr:uid="{C82CD9D4-3401-406F-9C14-2438F0F2C866}"/>
    <cellStyle name="Normal 5 4 2 2 7 3" xfId="11114" xr:uid="{9F8DF737-94DD-47B7-9822-CF7931C75244}"/>
    <cellStyle name="Normal 5 4 2 2 8" xfId="4831" xr:uid="{00000000-0005-0000-0000-0000D61A0000}"/>
    <cellStyle name="Normal 5 4 2 2 8 2" xfId="13267" xr:uid="{758C69D8-145F-4E54-A669-C12EBAD53582}"/>
    <cellStyle name="Normal 5 4 2 2 9" xfId="9049" xr:uid="{F1E18DFC-07BE-49C4-8F70-8CCD818956EE}"/>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27" xr:uid="{5ADDDA0B-8920-45F6-A80B-B023EA457AEE}"/>
    <cellStyle name="Normal 5 4 2 3 2 2 3" xfId="11609" xr:uid="{1713C894-D43C-43DB-8BEF-F8E359B0512F}"/>
    <cellStyle name="Normal 5 4 2 3 2 3" xfId="5246" xr:uid="{00000000-0005-0000-0000-0000DB1A0000}"/>
    <cellStyle name="Normal 5 4 2 3 2 3 2" xfId="13682" xr:uid="{5863DF6C-5257-4F05-8D3C-267BF5A7AEE7}"/>
    <cellStyle name="Normal 5 4 2 3 2 4" xfId="9464" xr:uid="{1532DBBC-806E-42A0-9C9F-331D97789162}"/>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0" xr:uid="{13FAA8B6-90FC-4F50-88CE-7F8F99A1A9F1}"/>
    <cellStyle name="Normal 5 4 2 3 3 2 3" xfId="12022" xr:uid="{062228D8-9663-4C3F-B6BA-2C2CF54B35A7}"/>
    <cellStyle name="Normal 5 4 2 3 3 3" xfId="5659" xr:uid="{00000000-0005-0000-0000-0000DF1A0000}"/>
    <cellStyle name="Normal 5 4 2 3 3 3 2" xfId="14095" xr:uid="{DD26BDAF-6E9C-4A88-BE79-F363FD1794C0}"/>
    <cellStyle name="Normal 5 4 2 3 3 4" xfId="9877" xr:uid="{85EBCA41-A5F1-49FC-9A76-81FD6E9BD7A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3" xr:uid="{F5DA9E0F-0E69-4512-A22C-7082966E1EF9}"/>
    <cellStyle name="Normal 5 4 2 3 4 2 3" xfId="12435" xr:uid="{C94DCDD9-49A5-4984-B276-16BB1B973BFD}"/>
    <cellStyle name="Normal 5 4 2 3 4 3" xfId="6072" xr:uid="{00000000-0005-0000-0000-0000E31A0000}"/>
    <cellStyle name="Normal 5 4 2 3 4 3 2" xfId="14508" xr:uid="{2A136906-B656-4F2D-9A23-6C5F9271FA9D}"/>
    <cellStyle name="Normal 5 4 2 3 4 4" xfId="10290" xr:uid="{80ABBFDE-AF70-4A6D-BCF1-3536B3CAC864}"/>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6" xr:uid="{850A597F-2B74-4BFD-8C07-7BB4826303B7}"/>
    <cellStyle name="Normal 5 4 2 3 5 2 3" xfId="12848" xr:uid="{96D75648-6C9E-4B60-987E-F073FA7D32A0}"/>
    <cellStyle name="Normal 5 4 2 3 5 3" xfId="6485" xr:uid="{00000000-0005-0000-0000-0000E71A0000}"/>
    <cellStyle name="Normal 5 4 2 3 5 3 2" xfId="14921" xr:uid="{6D37BDF5-E7C0-41A3-91E2-DF01B5EA5047}"/>
    <cellStyle name="Normal 5 4 2 3 5 4" xfId="10703" xr:uid="{445F451D-6554-428A-9E2F-5CDB0A956E31}"/>
    <cellStyle name="Normal 5 4 2 3 6" xfId="2614" xr:uid="{00000000-0005-0000-0000-0000E81A0000}"/>
    <cellStyle name="Normal 5 4 2 3 6 2" xfId="6898" xr:uid="{00000000-0005-0000-0000-0000E91A0000}"/>
    <cellStyle name="Normal 5 4 2 3 6 2 2" xfId="15334" xr:uid="{6D86560B-3F47-46B1-9E44-00B6A620DBC4}"/>
    <cellStyle name="Normal 5 4 2 3 6 3" xfId="11116" xr:uid="{A050E47F-CCAB-40C0-8C19-6F161476F232}"/>
    <cellStyle name="Normal 5 4 2 3 7" xfId="4833" xr:uid="{00000000-0005-0000-0000-0000EA1A0000}"/>
    <cellStyle name="Normal 5 4 2 3 7 2" xfId="13269" xr:uid="{6F3981EF-6087-4E33-B7DC-C914976C9442}"/>
    <cellStyle name="Normal 5 4 2 3 8" xfId="9051" xr:uid="{551CF3EF-E4CD-465F-A0D2-52C68A46BD1B}"/>
    <cellStyle name="Normal 5 4 2 4" xfId="931" xr:uid="{00000000-0005-0000-0000-0000EB1A0000}"/>
    <cellStyle name="Normal 5 4 2 4 2" xfId="3165" xr:uid="{00000000-0005-0000-0000-0000EC1A0000}"/>
    <cellStyle name="Normal 5 4 2 4 2 2" xfId="7388" xr:uid="{00000000-0005-0000-0000-0000ED1A0000}"/>
    <cellStyle name="Normal 5 4 2 4 2 2 2" xfId="15824" xr:uid="{11751164-E01E-4113-9ED4-3E134EE0C24D}"/>
    <cellStyle name="Normal 5 4 2 4 2 3" xfId="11606" xr:uid="{0D288AF5-445A-47EF-B91F-36EBFAF93C98}"/>
    <cellStyle name="Normal 5 4 2 4 3" xfId="5243" xr:uid="{00000000-0005-0000-0000-0000EE1A0000}"/>
    <cellStyle name="Normal 5 4 2 4 3 2" xfId="13679" xr:uid="{0481F151-AF3B-4727-8170-5959A9EC3020}"/>
    <cellStyle name="Normal 5 4 2 4 4" xfId="9461" xr:uid="{7DDEF27B-707C-4A05-9599-A978C604E924}"/>
    <cellStyle name="Normal 5 4 2 5" xfId="1348" xr:uid="{00000000-0005-0000-0000-0000EF1A0000}"/>
    <cellStyle name="Normal 5 4 2 5 2" xfId="3578" xr:uid="{00000000-0005-0000-0000-0000F01A0000}"/>
    <cellStyle name="Normal 5 4 2 5 2 2" xfId="7801" xr:uid="{00000000-0005-0000-0000-0000F11A0000}"/>
    <cellStyle name="Normal 5 4 2 5 2 2 2" xfId="16237" xr:uid="{6ACD0D58-2C5C-4F37-9BED-5DFEC0220F36}"/>
    <cellStyle name="Normal 5 4 2 5 2 3" xfId="12019" xr:uid="{AFBE239D-249B-46AC-AED6-1A62553A4E8C}"/>
    <cellStyle name="Normal 5 4 2 5 3" xfId="5656" xr:uid="{00000000-0005-0000-0000-0000F21A0000}"/>
    <cellStyle name="Normal 5 4 2 5 3 2" xfId="14092" xr:uid="{FB405F70-EFC3-4679-ADF8-3E46E2400662}"/>
    <cellStyle name="Normal 5 4 2 5 4" xfId="9874" xr:uid="{9B296BF1-BC33-4067-8A8F-86B0F4F55FAA}"/>
    <cellStyle name="Normal 5 4 2 6" xfId="1761" xr:uid="{00000000-0005-0000-0000-0000F31A0000}"/>
    <cellStyle name="Normal 5 4 2 6 2" xfId="3991" xr:uid="{00000000-0005-0000-0000-0000F41A0000}"/>
    <cellStyle name="Normal 5 4 2 6 2 2" xfId="8214" xr:uid="{00000000-0005-0000-0000-0000F51A0000}"/>
    <cellStyle name="Normal 5 4 2 6 2 2 2" xfId="16650" xr:uid="{260FB8C6-D8E3-4E30-BF42-742D186BA74B}"/>
    <cellStyle name="Normal 5 4 2 6 2 3" xfId="12432" xr:uid="{E0AEBACC-DC57-4638-A7EF-6AED920F9A40}"/>
    <cellStyle name="Normal 5 4 2 6 3" xfId="6069" xr:uid="{00000000-0005-0000-0000-0000F61A0000}"/>
    <cellStyle name="Normal 5 4 2 6 3 2" xfId="14505" xr:uid="{94A39138-7889-42D1-9F90-ECEA8A1B45BB}"/>
    <cellStyle name="Normal 5 4 2 6 4" xfId="10287" xr:uid="{CE90607A-5397-49FC-A83F-7B8D927983CE}"/>
    <cellStyle name="Normal 5 4 2 7" xfId="2175" xr:uid="{00000000-0005-0000-0000-0000F71A0000}"/>
    <cellStyle name="Normal 5 4 2 7 2" xfId="4404" xr:uid="{00000000-0005-0000-0000-0000F81A0000}"/>
    <cellStyle name="Normal 5 4 2 7 2 2" xfId="8627" xr:uid="{00000000-0005-0000-0000-0000F91A0000}"/>
    <cellStyle name="Normal 5 4 2 7 2 2 2" xfId="17063" xr:uid="{9304CF27-223D-4634-BD6B-4332B5B81556}"/>
    <cellStyle name="Normal 5 4 2 7 2 3" xfId="12845" xr:uid="{F86F8769-EC81-48FA-82BC-C638E0CF06C7}"/>
    <cellStyle name="Normal 5 4 2 7 3" xfId="6482" xr:uid="{00000000-0005-0000-0000-0000FA1A0000}"/>
    <cellStyle name="Normal 5 4 2 7 3 2" xfId="14918" xr:uid="{8F266B37-8A5C-405A-AC6F-4BE7644B11EE}"/>
    <cellStyle name="Normal 5 4 2 7 4" xfId="10700" xr:uid="{BD43A3E0-3C70-47AC-A52C-E9E06A3D2928}"/>
    <cellStyle name="Normal 5 4 2 8" xfId="2611" xr:uid="{00000000-0005-0000-0000-0000FB1A0000}"/>
    <cellStyle name="Normal 5 4 2 8 2" xfId="6895" xr:uid="{00000000-0005-0000-0000-0000FC1A0000}"/>
    <cellStyle name="Normal 5 4 2 8 2 2" xfId="15331" xr:uid="{994E2276-66C9-421F-973D-3F8625C21A68}"/>
    <cellStyle name="Normal 5 4 2 8 3" xfId="11113" xr:uid="{9073AD63-B906-4AE8-A99F-4C60E5BF412C}"/>
    <cellStyle name="Normal 5 4 2 9" xfId="4830" xr:uid="{00000000-0005-0000-0000-0000FD1A0000}"/>
    <cellStyle name="Normal 5 4 2 9 2" xfId="13266" xr:uid="{8DB2CF86-D540-44C4-903A-7F712C05D362}"/>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29" xr:uid="{66AA0601-A270-4664-9511-4EA87E0D9A3A}"/>
    <cellStyle name="Normal 5 4 3 2 2 2 3" xfId="11611" xr:uid="{B53C8D23-F377-40E5-ACC5-8E0C630F5241}"/>
    <cellStyle name="Normal 5 4 3 2 2 3" xfId="5248" xr:uid="{00000000-0005-0000-0000-0000031B0000}"/>
    <cellStyle name="Normal 5 4 3 2 2 3 2" xfId="13684" xr:uid="{C7C67F54-7DB6-422A-AF85-35DF77069EDF}"/>
    <cellStyle name="Normal 5 4 3 2 2 4" xfId="9466" xr:uid="{25DE2706-D30B-4A76-8468-59EC4A1B5531}"/>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2" xr:uid="{BF237BB7-E2DE-4095-8C65-4EC01754089D}"/>
    <cellStyle name="Normal 5 4 3 2 3 2 3" xfId="12024" xr:uid="{C0F29B1C-8F74-4D4B-8371-E6E5F57327A3}"/>
    <cellStyle name="Normal 5 4 3 2 3 3" xfId="5661" xr:uid="{00000000-0005-0000-0000-0000071B0000}"/>
    <cellStyle name="Normal 5 4 3 2 3 3 2" xfId="14097" xr:uid="{25AF68F4-D1CC-4DF2-A415-A668FBCF5003}"/>
    <cellStyle name="Normal 5 4 3 2 3 4" xfId="9879" xr:uid="{784F08F3-ED1E-44CC-955A-7399148133D4}"/>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5" xr:uid="{BFC3832E-36B9-490A-9F37-4C55C2BE0B94}"/>
    <cellStyle name="Normal 5 4 3 2 4 2 3" xfId="12437" xr:uid="{641FEC97-A4F3-434A-A269-AA2AB3698D23}"/>
    <cellStyle name="Normal 5 4 3 2 4 3" xfId="6074" xr:uid="{00000000-0005-0000-0000-00000B1B0000}"/>
    <cellStyle name="Normal 5 4 3 2 4 3 2" xfId="14510" xr:uid="{D797F9B7-1AB4-4376-92AC-B1CD55164974}"/>
    <cellStyle name="Normal 5 4 3 2 4 4" xfId="10292" xr:uid="{73A3BB02-49E8-40EF-AAD8-97CD6E569AD6}"/>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68" xr:uid="{27943447-C210-4C12-BC22-07F98DF338B0}"/>
    <cellStyle name="Normal 5 4 3 2 5 2 3" xfId="12850" xr:uid="{88B7E238-6CC8-407C-AD0E-3A243C690A92}"/>
    <cellStyle name="Normal 5 4 3 2 5 3" xfId="6487" xr:uid="{00000000-0005-0000-0000-00000F1B0000}"/>
    <cellStyle name="Normal 5 4 3 2 5 3 2" xfId="14923" xr:uid="{F38045B2-B07D-450A-86A0-7435839F8ADF}"/>
    <cellStyle name="Normal 5 4 3 2 5 4" xfId="10705" xr:uid="{D034156E-C43A-49BC-9DF4-76100B9E142B}"/>
    <cellStyle name="Normal 5 4 3 2 6" xfId="2616" xr:uid="{00000000-0005-0000-0000-0000101B0000}"/>
    <cellStyle name="Normal 5 4 3 2 6 2" xfId="6900" xr:uid="{00000000-0005-0000-0000-0000111B0000}"/>
    <cellStyle name="Normal 5 4 3 2 6 2 2" xfId="15336" xr:uid="{4FA26364-B69C-4DF7-A335-CB6C24E74181}"/>
    <cellStyle name="Normal 5 4 3 2 6 3" xfId="11118" xr:uid="{7BD9459F-42AC-4D76-AE2B-32471F20AABB}"/>
    <cellStyle name="Normal 5 4 3 2 7" xfId="4835" xr:uid="{00000000-0005-0000-0000-0000121B0000}"/>
    <cellStyle name="Normal 5 4 3 2 7 2" xfId="13271" xr:uid="{84FBE8B9-B47A-45F8-8123-1BEF8AA123E4}"/>
    <cellStyle name="Normal 5 4 3 2 8" xfId="9053" xr:uid="{D4BBC946-4B17-43A6-8ED5-3E4DC1578E56}"/>
    <cellStyle name="Normal 5 4 3 3" xfId="935" xr:uid="{00000000-0005-0000-0000-0000131B0000}"/>
    <cellStyle name="Normal 5 4 3 3 2" xfId="3169" xr:uid="{00000000-0005-0000-0000-0000141B0000}"/>
    <cellStyle name="Normal 5 4 3 3 2 2" xfId="7392" xr:uid="{00000000-0005-0000-0000-0000151B0000}"/>
    <cellStyle name="Normal 5 4 3 3 2 2 2" xfId="15828" xr:uid="{95F91EE0-B6E2-4234-9E00-7A331B115A57}"/>
    <cellStyle name="Normal 5 4 3 3 2 3" xfId="11610" xr:uid="{6BCC372E-CBA7-4A0C-B7C0-9B194BCA6307}"/>
    <cellStyle name="Normal 5 4 3 3 3" xfId="5247" xr:uid="{00000000-0005-0000-0000-0000161B0000}"/>
    <cellStyle name="Normal 5 4 3 3 3 2" xfId="13683" xr:uid="{45D7175F-F303-4FB4-8EFE-9215E006E7C7}"/>
    <cellStyle name="Normal 5 4 3 3 4" xfId="9465" xr:uid="{BB2F9FC9-5C75-4123-9902-06F42056E971}"/>
    <cellStyle name="Normal 5 4 3 4" xfId="1352" xr:uid="{00000000-0005-0000-0000-0000171B0000}"/>
    <cellStyle name="Normal 5 4 3 4 2" xfId="3582" xr:uid="{00000000-0005-0000-0000-0000181B0000}"/>
    <cellStyle name="Normal 5 4 3 4 2 2" xfId="7805" xr:uid="{00000000-0005-0000-0000-0000191B0000}"/>
    <cellStyle name="Normal 5 4 3 4 2 2 2" xfId="16241" xr:uid="{1839CCD3-2F30-46CC-A8E4-FFDC8ADEC7C5}"/>
    <cellStyle name="Normal 5 4 3 4 2 3" xfId="12023" xr:uid="{DC57B1C7-F92A-40E5-A4FC-1FAF2E97488B}"/>
    <cellStyle name="Normal 5 4 3 4 3" xfId="5660" xr:uid="{00000000-0005-0000-0000-00001A1B0000}"/>
    <cellStyle name="Normal 5 4 3 4 3 2" xfId="14096" xr:uid="{E16DDE81-87E1-4750-BDA2-58AE77F49BE1}"/>
    <cellStyle name="Normal 5 4 3 4 4" xfId="9878" xr:uid="{2D3BF18D-D696-4ED5-BCBB-371ECEDF31B4}"/>
    <cellStyle name="Normal 5 4 3 5" xfId="1765" xr:uid="{00000000-0005-0000-0000-00001B1B0000}"/>
    <cellStyle name="Normal 5 4 3 5 2" xfId="3995" xr:uid="{00000000-0005-0000-0000-00001C1B0000}"/>
    <cellStyle name="Normal 5 4 3 5 2 2" xfId="8218" xr:uid="{00000000-0005-0000-0000-00001D1B0000}"/>
    <cellStyle name="Normal 5 4 3 5 2 2 2" xfId="16654" xr:uid="{D50E6B52-1E60-4CAD-84BD-5635DACA18AE}"/>
    <cellStyle name="Normal 5 4 3 5 2 3" xfId="12436" xr:uid="{FF7042EE-91B0-4D40-9048-6084D42A5329}"/>
    <cellStyle name="Normal 5 4 3 5 3" xfId="6073" xr:uid="{00000000-0005-0000-0000-00001E1B0000}"/>
    <cellStyle name="Normal 5 4 3 5 3 2" xfId="14509" xr:uid="{55BD53B4-33CD-4753-939D-6AE8738E4D7F}"/>
    <cellStyle name="Normal 5 4 3 5 4" xfId="10291" xr:uid="{346329D6-A6B1-45C4-B67C-1B7E0392AE71}"/>
    <cellStyle name="Normal 5 4 3 6" xfId="2179" xr:uid="{00000000-0005-0000-0000-00001F1B0000}"/>
    <cellStyle name="Normal 5 4 3 6 2" xfId="4408" xr:uid="{00000000-0005-0000-0000-0000201B0000}"/>
    <cellStyle name="Normal 5 4 3 6 2 2" xfId="8631" xr:uid="{00000000-0005-0000-0000-0000211B0000}"/>
    <cellStyle name="Normal 5 4 3 6 2 2 2" xfId="17067" xr:uid="{1A3A8ADD-7F42-4506-ADFE-2A89D6E6F355}"/>
    <cellStyle name="Normal 5 4 3 6 2 3" xfId="12849" xr:uid="{E6A04F1B-6DD7-47DE-9D17-8DF2F2DEAF60}"/>
    <cellStyle name="Normal 5 4 3 6 3" xfId="6486" xr:uid="{00000000-0005-0000-0000-0000221B0000}"/>
    <cellStyle name="Normal 5 4 3 6 3 2" xfId="14922" xr:uid="{47DE699A-E859-4249-90F3-B117808A3ABA}"/>
    <cellStyle name="Normal 5 4 3 6 4" xfId="10704" xr:uid="{EEFBD815-C47C-457E-960F-F3A5B27820A4}"/>
    <cellStyle name="Normal 5 4 3 7" xfId="2615" xr:uid="{00000000-0005-0000-0000-0000231B0000}"/>
    <cellStyle name="Normal 5 4 3 7 2" xfId="6899" xr:uid="{00000000-0005-0000-0000-0000241B0000}"/>
    <cellStyle name="Normal 5 4 3 7 2 2" xfId="15335" xr:uid="{BFB9027D-1E0D-47D4-B904-5B886F251206}"/>
    <cellStyle name="Normal 5 4 3 7 3" xfId="11117" xr:uid="{C435C959-D3EF-4463-91B1-6A76B10B4809}"/>
    <cellStyle name="Normal 5 4 3 8" xfId="4834" xr:uid="{00000000-0005-0000-0000-0000251B0000}"/>
    <cellStyle name="Normal 5 4 3 8 2" xfId="13270" xr:uid="{6E0D8FC0-19C0-4A1B-BDDE-5D8FB8F5182C}"/>
    <cellStyle name="Normal 5 4 3 9" xfId="9052" xr:uid="{3B4F56BF-52BD-4BB0-9FF8-A55CE8CC3848}"/>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0" xr:uid="{CFC20EC2-1F9B-45E5-9AA9-10685FAF0846}"/>
    <cellStyle name="Normal 5 4 4 2 2 3" xfId="11612" xr:uid="{FE8D9930-D9CE-42FD-A38E-D30C34EEEB5B}"/>
    <cellStyle name="Normal 5 4 4 2 3" xfId="5249" xr:uid="{00000000-0005-0000-0000-00002A1B0000}"/>
    <cellStyle name="Normal 5 4 4 2 3 2" xfId="13685" xr:uid="{656C96D6-E704-48BC-9B08-21E6DB94B0A6}"/>
    <cellStyle name="Normal 5 4 4 2 4" xfId="9467" xr:uid="{6202235D-F4E8-4859-9C25-DC9682C69FE1}"/>
    <cellStyle name="Normal 5 4 4 3" xfId="1354" xr:uid="{00000000-0005-0000-0000-00002B1B0000}"/>
    <cellStyle name="Normal 5 4 4 3 2" xfId="3584" xr:uid="{00000000-0005-0000-0000-00002C1B0000}"/>
    <cellStyle name="Normal 5 4 4 3 2 2" xfId="7807" xr:uid="{00000000-0005-0000-0000-00002D1B0000}"/>
    <cellStyle name="Normal 5 4 4 3 2 2 2" xfId="16243" xr:uid="{F4E33E7C-828C-4D55-A4B2-6E30FE903BF4}"/>
    <cellStyle name="Normal 5 4 4 3 2 3" xfId="12025" xr:uid="{D27B5652-F718-4CC0-8561-C15C7254784B}"/>
    <cellStyle name="Normal 5 4 4 3 3" xfId="5662" xr:uid="{00000000-0005-0000-0000-00002E1B0000}"/>
    <cellStyle name="Normal 5 4 4 3 3 2" xfId="14098" xr:uid="{3B079C54-52D7-42E2-B38D-F391B089A542}"/>
    <cellStyle name="Normal 5 4 4 3 4" xfId="9880" xr:uid="{73D66818-7FC9-4A26-8ECC-4EDD4CBA2F91}"/>
    <cellStyle name="Normal 5 4 4 4" xfId="1767" xr:uid="{00000000-0005-0000-0000-00002F1B0000}"/>
    <cellStyle name="Normal 5 4 4 4 2" xfId="3997" xr:uid="{00000000-0005-0000-0000-0000301B0000}"/>
    <cellStyle name="Normal 5 4 4 4 2 2" xfId="8220" xr:uid="{00000000-0005-0000-0000-0000311B0000}"/>
    <cellStyle name="Normal 5 4 4 4 2 2 2" xfId="16656" xr:uid="{B3B6F21E-16EC-40C2-92F0-56C42E939E21}"/>
    <cellStyle name="Normal 5 4 4 4 2 3" xfId="12438" xr:uid="{14D14945-E35E-4662-B5EC-0B37B5BA09F0}"/>
    <cellStyle name="Normal 5 4 4 4 3" xfId="6075" xr:uid="{00000000-0005-0000-0000-0000321B0000}"/>
    <cellStyle name="Normal 5 4 4 4 3 2" xfId="14511" xr:uid="{B9FFB530-72B6-4D7B-86EA-4DEC4D076D27}"/>
    <cellStyle name="Normal 5 4 4 4 4" xfId="10293" xr:uid="{88479D5F-68A3-4FF5-AA0D-5417217F3D5D}"/>
    <cellStyle name="Normal 5 4 4 5" xfId="2181" xr:uid="{00000000-0005-0000-0000-0000331B0000}"/>
    <cellStyle name="Normal 5 4 4 5 2" xfId="4410" xr:uid="{00000000-0005-0000-0000-0000341B0000}"/>
    <cellStyle name="Normal 5 4 4 5 2 2" xfId="8633" xr:uid="{00000000-0005-0000-0000-0000351B0000}"/>
    <cellStyle name="Normal 5 4 4 5 2 2 2" xfId="17069" xr:uid="{DD3EA002-1F8F-4822-9B4C-5122061FDB63}"/>
    <cellStyle name="Normal 5 4 4 5 2 3" xfId="12851" xr:uid="{4E3E9C49-1D27-47F1-83EE-953CF261A9FD}"/>
    <cellStyle name="Normal 5 4 4 5 3" xfId="6488" xr:uid="{00000000-0005-0000-0000-0000361B0000}"/>
    <cellStyle name="Normal 5 4 4 5 3 2" xfId="14924" xr:uid="{A2226FE9-07E5-4D6F-8739-97393CE9F34A}"/>
    <cellStyle name="Normal 5 4 4 5 4" xfId="10706" xr:uid="{563BF777-AF30-4E3C-BB95-C1898F464017}"/>
    <cellStyle name="Normal 5 4 4 6" xfId="2617" xr:uid="{00000000-0005-0000-0000-0000371B0000}"/>
    <cellStyle name="Normal 5 4 4 6 2" xfId="6901" xr:uid="{00000000-0005-0000-0000-0000381B0000}"/>
    <cellStyle name="Normal 5 4 4 6 2 2" xfId="15337" xr:uid="{6571D398-F45E-4644-8288-CD633F8CAFE4}"/>
    <cellStyle name="Normal 5 4 4 6 3" xfId="11119" xr:uid="{504E0C47-AB31-4BC2-B86D-1617258018AB}"/>
    <cellStyle name="Normal 5 4 4 7" xfId="4836" xr:uid="{00000000-0005-0000-0000-0000391B0000}"/>
    <cellStyle name="Normal 5 4 4 7 2" xfId="13272" xr:uid="{12279ABA-8E7F-46C0-ADD5-9C347C1135E8}"/>
    <cellStyle name="Normal 5 4 4 8" xfId="9054" xr:uid="{6498CC63-7D4B-477D-82A9-4043D05AC83E}"/>
    <cellStyle name="Normal 5 4 5" xfId="930" xr:uid="{00000000-0005-0000-0000-00003A1B0000}"/>
    <cellStyle name="Normal 5 4 5 2" xfId="3164" xr:uid="{00000000-0005-0000-0000-00003B1B0000}"/>
    <cellStyle name="Normal 5 4 5 2 2" xfId="7387" xr:uid="{00000000-0005-0000-0000-00003C1B0000}"/>
    <cellStyle name="Normal 5 4 5 2 2 2" xfId="15823" xr:uid="{ABB5E697-12AD-4B34-8A72-94C12F977690}"/>
    <cellStyle name="Normal 5 4 5 2 3" xfId="11605" xr:uid="{78987BB9-5657-467E-9D38-82D2477880D5}"/>
    <cellStyle name="Normal 5 4 5 3" xfId="5242" xr:uid="{00000000-0005-0000-0000-00003D1B0000}"/>
    <cellStyle name="Normal 5 4 5 3 2" xfId="13678" xr:uid="{7098DAEE-EE5F-4C12-BAA9-2EC94DB2409E}"/>
    <cellStyle name="Normal 5 4 5 4" xfId="9460" xr:uid="{9D46E6FF-0B23-425B-B2F3-53F67DF7A98F}"/>
    <cellStyle name="Normal 5 4 6" xfId="1347" xr:uid="{00000000-0005-0000-0000-00003E1B0000}"/>
    <cellStyle name="Normal 5 4 6 2" xfId="3577" xr:uid="{00000000-0005-0000-0000-00003F1B0000}"/>
    <cellStyle name="Normal 5 4 6 2 2" xfId="7800" xr:uid="{00000000-0005-0000-0000-0000401B0000}"/>
    <cellStyle name="Normal 5 4 6 2 2 2" xfId="16236" xr:uid="{7330E4E1-366E-4E4E-AD40-63280277D39C}"/>
    <cellStyle name="Normal 5 4 6 2 3" xfId="12018" xr:uid="{EC36DDA2-BE62-400D-88C8-2163A1554689}"/>
    <cellStyle name="Normal 5 4 6 3" xfId="5655" xr:uid="{00000000-0005-0000-0000-0000411B0000}"/>
    <cellStyle name="Normal 5 4 6 3 2" xfId="14091" xr:uid="{6680BA8A-1036-4131-9E03-0DB146F69FE2}"/>
    <cellStyle name="Normal 5 4 6 4" xfId="9873" xr:uid="{AF213862-8069-432E-BCF7-0D6D56A1A27D}"/>
    <cellStyle name="Normal 5 4 7" xfId="1760" xr:uid="{00000000-0005-0000-0000-0000421B0000}"/>
    <cellStyle name="Normal 5 4 7 2" xfId="3990" xr:uid="{00000000-0005-0000-0000-0000431B0000}"/>
    <cellStyle name="Normal 5 4 7 2 2" xfId="8213" xr:uid="{00000000-0005-0000-0000-0000441B0000}"/>
    <cellStyle name="Normal 5 4 7 2 2 2" xfId="16649" xr:uid="{AD965437-367A-45F2-A164-D310CCE1E716}"/>
    <cellStyle name="Normal 5 4 7 2 3" xfId="12431" xr:uid="{9F1FBDEA-F05E-438A-82DB-4D86EB9732D5}"/>
    <cellStyle name="Normal 5 4 7 3" xfId="6068" xr:uid="{00000000-0005-0000-0000-0000451B0000}"/>
    <cellStyle name="Normal 5 4 7 3 2" xfId="14504" xr:uid="{59505F6F-0324-40B7-AC02-8D25B742FA78}"/>
    <cellStyle name="Normal 5 4 7 4" xfId="10286" xr:uid="{FB34187C-8C26-4DF0-A1CF-BC027DC94ED9}"/>
    <cellStyle name="Normal 5 4 8" xfId="2174" xr:uid="{00000000-0005-0000-0000-0000461B0000}"/>
    <cellStyle name="Normal 5 4 8 2" xfId="4403" xr:uid="{00000000-0005-0000-0000-0000471B0000}"/>
    <cellStyle name="Normal 5 4 8 2 2" xfId="8626" xr:uid="{00000000-0005-0000-0000-0000481B0000}"/>
    <cellStyle name="Normal 5 4 8 2 2 2" xfId="17062" xr:uid="{142DF921-7FD1-4EC7-92EA-7DC6566BE8EF}"/>
    <cellStyle name="Normal 5 4 8 2 3" xfId="12844" xr:uid="{E7B93C0D-B3B0-4276-ADA0-6683B4997EC8}"/>
    <cellStyle name="Normal 5 4 8 3" xfId="6481" xr:uid="{00000000-0005-0000-0000-0000491B0000}"/>
    <cellStyle name="Normal 5 4 8 3 2" xfId="14917" xr:uid="{FB3F7013-7AFC-4876-AB72-CDFF6BF0D92A}"/>
    <cellStyle name="Normal 5 4 8 4" xfId="10699" xr:uid="{2FD26365-AA43-4876-8189-45FC99747EBF}"/>
    <cellStyle name="Normal 5 4 9" xfId="2610" xr:uid="{00000000-0005-0000-0000-00004A1B0000}"/>
    <cellStyle name="Normal 5 4 9 2" xfId="6894" xr:uid="{00000000-0005-0000-0000-00004B1B0000}"/>
    <cellStyle name="Normal 5 4 9 2 2" xfId="15330" xr:uid="{57E52856-A146-4D3D-8E75-ED37608F2A67}"/>
    <cellStyle name="Normal 5 4 9 3" xfId="11112" xr:uid="{239281AC-AE17-40A3-A49E-B9D2D1DA8A79}"/>
    <cellStyle name="Normal 5 5" xfId="464" xr:uid="{00000000-0005-0000-0000-00004C1B0000}"/>
    <cellStyle name="Normal 5 5 10" xfId="9055" xr:uid="{41DAE137-F4EC-4CE9-9010-055053CC40BC}"/>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3" xr:uid="{BD7B6542-20E2-4D8D-BFA2-4378E655A16D}"/>
    <cellStyle name="Normal 5 5 2 2 2 2 3" xfId="11615" xr:uid="{4CA5A6AB-64AF-4873-896A-33BDF8694FBB}"/>
    <cellStyle name="Normal 5 5 2 2 2 3" xfId="5252" xr:uid="{00000000-0005-0000-0000-0000521B0000}"/>
    <cellStyle name="Normal 5 5 2 2 2 3 2" xfId="13688" xr:uid="{1ADF009B-50AD-45A6-A49B-273268E06D41}"/>
    <cellStyle name="Normal 5 5 2 2 2 4" xfId="9470" xr:uid="{123FFE76-2DFE-4152-AB28-51B29AB944AF}"/>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6" xr:uid="{619F9ADB-B31C-4E93-A6DE-4C308A35B990}"/>
    <cellStyle name="Normal 5 5 2 2 3 2 3" xfId="12028" xr:uid="{BA15B8C6-D95F-4EFA-891E-A83263F377A8}"/>
    <cellStyle name="Normal 5 5 2 2 3 3" xfId="5665" xr:uid="{00000000-0005-0000-0000-0000561B0000}"/>
    <cellStyle name="Normal 5 5 2 2 3 3 2" xfId="14101" xr:uid="{F69CE4CF-9EF3-45F6-B5C6-F78E33763ABC}"/>
    <cellStyle name="Normal 5 5 2 2 3 4" xfId="9883" xr:uid="{5CCD6556-7D53-45D4-BE8B-3F2702112535}"/>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59" xr:uid="{BF008747-735C-40A7-815E-6B7AB2520628}"/>
    <cellStyle name="Normal 5 5 2 2 4 2 3" xfId="12441" xr:uid="{EF8B52F2-78EA-4306-8852-641B42F5B000}"/>
    <cellStyle name="Normal 5 5 2 2 4 3" xfId="6078" xr:uid="{00000000-0005-0000-0000-00005A1B0000}"/>
    <cellStyle name="Normal 5 5 2 2 4 3 2" xfId="14514" xr:uid="{13B2439B-C1EF-46FE-9407-DA93C0AF5E62}"/>
    <cellStyle name="Normal 5 5 2 2 4 4" xfId="10296" xr:uid="{B6B9278F-EFD8-4D82-8937-A21062053BAC}"/>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2" xr:uid="{089A036C-E2FF-49C9-9313-A113BB338DA4}"/>
    <cellStyle name="Normal 5 5 2 2 5 2 3" xfId="12854" xr:uid="{B8D0D262-1908-4D6F-BAEB-678CE9E93140}"/>
    <cellStyle name="Normal 5 5 2 2 5 3" xfId="6491" xr:uid="{00000000-0005-0000-0000-00005E1B0000}"/>
    <cellStyle name="Normal 5 5 2 2 5 3 2" xfId="14927" xr:uid="{D5DFEDFE-7B8F-4AEF-BA7C-A9F3ADCFEED0}"/>
    <cellStyle name="Normal 5 5 2 2 5 4" xfId="10709" xr:uid="{566DE872-0656-458C-AA11-D763F17BF0E6}"/>
    <cellStyle name="Normal 5 5 2 2 6" xfId="2620" xr:uid="{00000000-0005-0000-0000-00005F1B0000}"/>
    <cellStyle name="Normal 5 5 2 2 6 2" xfId="6904" xr:uid="{00000000-0005-0000-0000-0000601B0000}"/>
    <cellStyle name="Normal 5 5 2 2 6 2 2" xfId="15340" xr:uid="{4910332A-DFA3-442B-9411-0F3AFCA95F5B}"/>
    <cellStyle name="Normal 5 5 2 2 6 3" xfId="11122" xr:uid="{4AC67487-AF2F-4831-B545-C9E71AAB6534}"/>
    <cellStyle name="Normal 5 5 2 2 7" xfId="4839" xr:uid="{00000000-0005-0000-0000-0000611B0000}"/>
    <cellStyle name="Normal 5 5 2 2 7 2" xfId="13275" xr:uid="{DB06BF34-F2D9-482E-98A1-EE0A22656CEE}"/>
    <cellStyle name="Normal 5 5 2 2 8" xfId="9057" xr:uid="{0D6F2DCE-E98D-4AA8-BA99-D23FAE4EA4CC}"/>
    <cellStyle name="Normal 5 5 2 3" xfId="939" xr:uid="{00000000-0005-0000-0000-0000621B0000}"/>
    <cellStyle name="Normal 5 5 2 3 2" xfId="3173" xr:uid="{00000000-0005-0000-0000-0000631B0000}"/>
    <cellStyle name="Normal 5 5 2 3 2 2" xfId="7396" xr:uid="{00000000-0005-0000-0000-0000641B0000}"/>
    <cellStyle name="Normal 5 5 2 3 2 2 2" xfId="15832" xr:uid="{B95B5314-CC41-4633-8F14-1743FE74D4BF}"/>
    <cellStyle name="Normal 5 5 2 3 2 3" xfId="11614" xr:uid="{F3A6E24A-71A0-480A-B15E-17C9CDB86FD4}"/>
    <cellStyle name="Normal 5 5 2 3 3" xfId="5251" xr:uid="{00000000-0005-0000-0000-0000651B0000}"/>
    <cellStyle name="Normal 5 5 2 3 3 2" xfId="13687" xr:uid="{B2F97E44-05D6-4877-97DC-B599FDD81DFE}"/>
    <cellStyle name="Normal 5 5 2 3 4" xfId="9469" xr:uid="{E0A89823-6456-4C07-B435-0B320EF3D19A}"/>
    <cellStyle name="Normal 5 5 2 4" xfId="1356" xr:uid="{00000000-0005-0000-0000-0000661B0000}"/>
    <cellStyle name="Normal 5 5 2 4 2" xfId="3586" xr:uid="{00000000-0005-0000-0000-0000671B0000}"/>
    <cellStyle name="Normal 5 5 2 4 2 2" xfId="7809" xr:uid="{00000000-0005-0000-0000-0000681B0000}"/>
    <cellStyle name="Normal 5 5 2 4 2 2 2" xfId="16245" xr:uid="{60D23F67-BCD5-4EEA-8F62-5B8FDEBCA79F}"/>
    <cellStyle name="Normal 5 5 2 4 2 3" xfId="12027" xr:uid="{63E75082-445E-4AB3-A0D1-681D84D6E777}"/>
    <cellStyle name="Normal 5 5 2 4 3" xfId="5664" xr:uid="{00000000-0005-0000-0000-0000691B0000}"/>
    <cellStyle name="Normal 5 5 2 4 3 2" xfId="14100" xr:uid="{BB89771C-FC47-47BC-A4AC-3E61674CDC46}"/>
    <cellStyle name="Normal 5 5 2 4 4" xfId="9882" xr:uid="{6FEE2262-27C3-4445-A740-FEB49E32BCEF}"/>
    <cellStyle name="Normal 5 5 2 5" xfId="1769" xr:uid="{00000000-0005-0000-0000-00006A1B0000}"/>
    <cellStyle name="Normal 5 5 2 5 2" xfId="3999" xr:uid="{00000000-0005-0000-0000-00006B1B0000}"/>
    <cellStyle name="Normal 5 5 2 5 2 2" xfId="8222" xr:uid="{00000000-0005-0000-0000-00006C1B0000}"/>
    <cellStyle name="Normal 5 5 2 5 2 2 2" xfId="16658" xr:uid="{1E036062-7EF6-4582-9CD3-B540E169EDD0}"/>
    <cellStyle name="Normal 5 5 2 5 2 3" xfId="12440" xr:uid="{67E48315-1493-48C6-AC7C-406DF2741FAD}"/>
    <cellStyle name="Normal 5 5 2 5 3" xfId="6077" xr:uid="{00000000-0005-0000-0000-00006D1B0000}"/>
    <cellStyle name="Normal 5 5 2 5 3 2" xfId="14513" xr:uid="{46A399DF-8717-439F-B03D-6E57B7553D07}"/>
    <cellStyle name="Normal 5 5 2 5 4" xfId="10295" xr:uid="{76A86C0A-2251-4175-84C6-6BD77F9E8168}"/>
    <cellStyle name="Normal 5 5 2 6" xfId="2183" xr:uid="{00000000-0005-0000-0000-00006E1B0000}"/>
    <cellStyle name="Normal 5 5 2 6 2" xfId="4412" xr:uid="{00000000-0005-0000-0000-00006F1B0000}"/>
    <cellStyle name="Normal 5 5 2 6 2 2" xfId="8635" xr:uid="{00000000-0005-0000-0000-0000701B0000}"/>
    <cellStyle name="Normal 5 5 2 6 2 2 2" xfId="17071" xr:uid="{00730F3E-6ED7-4A87-89EB-5CD78222762D}"/>
    <cellStyle name="Normal 5 5 2 6 2 3" xfId="12853" xr:uid="{9BC1C919-009F-4F1B-864A-D450B0E4325C}"/>
    <cellStyle name="Normal 5 5 2 6 3" xfId="6490" xr:uid="{00000000-0005-0000-0000-0000711B0000}"/>
    <cellStyle name="Normal 5 5 2 6 3 2" xfId="14926" xr:uid="{673380BD-1E11-4DEB-905F-F8A7E31A3CA4}"/>
    <cellStyle name="Normal 5 5 2 6 4" xfId="10708" xr:uid="{D4D834E8-F4F4-474F-AC2D-0D54DE13C826}"/>
    <cellStyle name="Normal 5 5 2 7" xfId="2619" xr:uid="{00000000-0005-0000-0000-0000721B0000}"/>
    <cellStyle name="Normal 5 5 2 7 2" xfId="6903" xr:uid="{00000000-0005-0000-0000-0000731B0000}"/>
    <cellStyle name="Normal 5 5 2 7 2 2" xfId="15339" xr:uid="{A5A26AE9-4DBF-4BC6-A179-D89ABEE732CC}"/>
    <cellStyle name="Normal 5 5 2 7 3" xfId="11121" xr:uid="{F67F5028-AF89-44EE-9132-FC3B7E22583E}"/>
    <cellStyle name="Normal 5 5 2 8" xfId="4838" xr:uid="{00000000-0005-0000-0000-0000741B0000}"/>
    <cellStyle name="Normal 5 5 2 8 2" xfId="13274" xr:uid="{760315AC-9879-4CAB-AB11-EFDF987B2D58}"/>
    <cellStyle name="Normal 5 5 2 9" xfId="9056" xr:uid="{FF5E2EA0-1CDD-4E35-97BA-258B63BED02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4" xr:uid="{DBD271C4-4130-4AD8-965E-CF60E2F1D203}"/>
    <cellStyle name="Normal 5 5 3 2 2 3" xfId="11616" xr:uid="{AA7FE627-00D4-4FA0-B5CC-0272A167593A}"/>
    <cellStyle name="Normal 5 5 3 2 3" xfId="5253" xr:uid="{00000000-0005-0000-0000-0000791B0000}"/>
    <cellStyle name="Normal 5 5 3 2 3 2" xfId="13689" xr:uid="{FD8D8E25-BF7E-40FB-A234-E1C79E2C3836}"/>
    <cellStyle name="Normal 5 5 3 2 4" xfId="9471" xr:uid="{B3C66F20-A37A-4596-BE45-D643086FC90F}"/>
    <cellStyle name="Normal 5 5 3 3" xfId="1358" xr:uid="{00000000-0005-0000-0000-00007A1B0000}"/>
    <cellStyle name="Normal 5 5 3 3 2" xfId="3588" xr:uid="{00000000-0005-0000-0000-00007B1B0000}"/>
    <cellStyle name="Normal 5 5 3 3 2 2" xfId="7811" xr:uid="{00000000-0005-0000-0000-00007C1B0000}"/>
    <cellStyle name="Normal 5 5 3 3 2 2 2" xfId="16247" xr:uid="{A716D67D-AF91-4390-B463-4C5DE66164E6}"/>
    <cellStyle name="Normal 5 5 3 3 2 3" xfId="12029" xr:uid="{CEE70E35-4D3E-487E-BDFA-9F3E9533C85C}"/>
    <cellStyle name="Normal 5 5 3 3 3" xfId="5666" xr:uid="{00000000-0005-0000-0000-00007D1B0000}"/>
    <cellStyle name="Normal 5 5 3 3 3 2" xfId="14102" xr:uid="{9FF404C3-C189-490C-BD77-C4130944771B}"/>
    <cellStyle name="Normal 5 5 3 3 4" xfId="9884" xr:uid="{D86907BA-D36C-430B-A528-A20685823C40}"/>
    <cellStyle name="Normal 5 5 3 4" xfId="1771" xr:uid="{00000000-0005-0000-0000-00007E1B0000}"/>
    <cellStyle name="Normal 5 5 3 4 2" xfId="4001" xr:uid="{00000000-0005-0000-0000-00007F1B0000}"/>
    <cellStyle name="Normal 5 5 3 4 2 2" xfId="8224" xr:uid="{00000000-0005-0000-0000-0000801B0000}"/>
    <cellStyle name="Normal 5 5 3 4 2 2 2" xfId="16660" xr:uid="{0F0649BC-9A75-4E8E-8D80-021D56B27410}"/>
    <cellStyle name="Normal 5 5 3 4 2 3" xfId="12442" xr:uid="{3877E789-8107-4D33-B5D4-B0CB5852DBE4}"/>
    <cellStyle name="Normal 5 5 3 4 3" xfId="6079" xr:uid="{00000000-0005-0000-0000-0000811B0000}"/>
    <cellStyle name="Normal 5 5 3 4 3 2" xfId="14515" xr:uid="{FF47A9B2-8AD0-403C-912B-1A9D762CB8A3}"/>
    <cellStyle name="Normal 5 5 3 4 4" xfId="10297" xr:uid="{5A6BECC2-54A7-4165-AB9C-285A9F789A40}"/>
    <cellStyle name="Normal 5 5 3 5" xfId="2185" xr:uid="{00000000-0005-0000-0000-0000821B0000}"/>
    <cellStyle name="Normal 5 5 3 5 2" xfId="4414" xr:uid="{00000000-0005-0000-0000-0000831B0000}"/>
    <cellStyle name="Normal 5 5 3 5 2 2" xfId="8637" xr:uid="{00000000-0005-0000-0000-0000841B0000}"/>
    <cellStyle name="Normal 5 5 3 5 2 2 2" xfId="17073" xr:uid="{1C3ADD80-CA02-411F-B051-07748DD07523}"/>
    <cellStyle name="Normal 5 5 3 5 2 3" xfId="12855" xr:uid="{7DAD85E9-9F06-41FE-94F6-A104DBE364CD}"/>
    <cellStyle name="Normal 5 5 3 5 3" xfId="6492" xr:uid="{00000000-0005-0000-0000-0000851B0000}"/>
    <cellStyle name="Normal 5 5 3 5 3 2" xfId="14928" xr:uid="{0175F388-5261-4AC8-A0BC-EC8C802295BE}"/>
    <cellStyle name="Normal 5 5 3 5 4" xfId="10710" xr:uid="{89863670-D00E-4A68-A1F1-50FE0388E13B}"/>
    <cellStyle name="Normal 5 5 3 6" xfId="2621" xr:uid="{00000000-0005-0000-0000-0000861B0000}"/>
    <cellStyle name="Normal 5 5 3 6 2" xfId="6905" xr:uid="{00000000-0005-0000-0000-0000871B0000}"/>
    <cellStyle name="Normal 5 5 3 6 2 2" xfId="15341" xr:uid="{4C678973-56EF-4639-98DC-ACCFCC51A1C9}"/>
    <cellStyle name="Normal 5 5 3 6 3" xfId="11123" xr:uid="{563B6A6F-F116-499D-A976-8328BC2A8504}"/>
    <cellStyle name="Normal 5 5 3 7" xfId="4840" xr:uid="{00000000-0005-0000-0000-0000881B0000}"/>
    <cellStyle name="Normal 5 5 3 7 2" xfId="13276" xr:uid="{0A2353FC-9A88-4D38-B539-EA9FDE0CDE35}"/>
    <cellStyle name="Normal 5 5 3 8" xfId="9058" xr:uid="{C76C8EFC-F8B6-4C87-8940-C164EBFC2B5A}"/>
    <cellStyle name="Normal 5 5 4" xfId="938" xr:uid="{00000000-0005-0000-0000-0000891B0000}"/>
    <cellStyle name="Normal 5 5 4 2" xfId="3172" xr:uid="{00000000-0005-0000-0000-00008A1B0000}"/>
    <cellStyle name="Normal 5 5 4 2 2" xfId="7395" xr:uid="{00000000-0005-0000-0000-00008B1B0000}"/>
    <cellStyle name="Normal 5 5 4 2 2 2" xfId="15831" xr:uid="{2310AA96-7833-43C9-849C-7D3BE3BF56DC}"/>
    <cellStyle name="Normal 5 5 4 2 3" xfId="11613" xr:uid="{8F5FB47E-5352-459C-B980-C6DAF65F4C0F}"/>
    <cellStyle name="Normal 5 5 4 3" xfId="5250" xr:uid="{00000000-0005-0000-0000-00008C1B0000}"/>
    <cellStyle name="Normal 5 5 4 3 2" xfId="13686" xr:uid="{7A420559-FEF3-4071-A154-16D5693190A7}"/>
    <cellStyle name="Normal 5 5 4 4" xfId="9468" xr:uid="{B24289C9-E6D0-42CB-A2BB-DF89BB10F1B0}"/>
    <cellStyle name="Normal 5 5 5" xfId="1355" xr:uid="{00000000-0005-0000-0000-00008D1B0000}"/>
    <cellStyle name="Normal 5 5 5 2" xfId="3585" xr:uid="{00000000-0005-0000-0000-00008E1B0000}"/>
    <cellStyle name="Normal 5 5 5 2 2" xfId="7808" xr:uid="{00000000-0005-0000-0000-00008F1B0000}"/>
    <cellStyle name="Normal 5 5 5 2 2 2" xfId="16244" xr:uid="{488BE928-5365-4C8F-B54C-D1AFCBFAA606}"/>
    <cellStyle name="Normal 5 5 5 2 3" xfId="12026" xr:uid="{5225B72D-B06D-41C6-81A5-5839E05F6576}"/>
    <cellStyle name="Normal 5 5 5 3" xfId="5663" xr:uid="{00000000-0005-0000-0000-0000901B0000}"/>
    <cellStyle name="Normal 5 5 5 3 2" xfId="14099" xr:uid="{03E2CDD2-20C0-4C36-A298-39DD7366C7E4}"/>
    <cellStyle name="Normal 5 5 5 4" xfId="9881" xr:uid="{8D45BFB4-D18D-4A0C-BD19-1DA85ECD174D}"/>
    <cellStyle name="Normal 5 5 6" xfId="1768" xr:uid="{00000000-0005-0000-0000-0000911B0000}"/>
    <cellStyle name="Normal 5 5 6 2" xfId="3998" xr:uid="{00000000-0005-0000-0000-0000921B0000}"/>
    <cellStyle name="Normal 5 5 6 2 2" xfId="8221" xr:uid="{00000000-0005-0000-0000-0000931B0000}"/>
    <cellStyle name="Normal 5 5 6 2 2 2" xfId="16657" xr:uid="{17EDD443-6958-479E-A00B-AD980BB240A0}"/>
    <cellStyle name="Normal 5 5 6 2 3" xfId="12439" xr:uid="{7910788E-6E72-431A-B393-F734770C683E}"/>
    <cellStyle name="Normal 5 5 6 3" xfId="6076" xr:uid="{00000000-0005-0000-0000-0000941B0000}"/>
    <cellStyle name="Normal 5 5 6 3 2" xfId="14512" xr:uid="{B466499C-58D0-4688-97A5-5C6C0F16C484}"/>
    <cellStyle name="Normal 5 5 6 4" xfId="10294" xr:uid="{496DE2BC-B2FB-4601-80DC-D8C197F27B8D}"/>
    <cellStyle name="Normal 5 5 7" xfId="2182" xr:uid="{00000000-0005-0000-0000-0000951B0000}"/>
    <cellStyle name="Normal 5 5 7 2" xfId="4411" xr:uid="{00000000-0005-0000-0000-0000961B0000}"/>
    <cellStyle name="Normal 5 5 7 2 2" xfId="8634" xr:uid="{00000000-0005-0000-0000-0000971B0000}"/>
    <cellStyle name="Normal 5 5 7 2 2 2" xfId="17070" xr:uid="{BEE9ACD8-3618-4834-B62D-F13A6C7FBAAD}"/>
    <cellStyle name="Normal 5 5 7 2 3" xfId="12852" xr:uid="{D3BEE965-6590-4C60-AF7A-7CEAB6A4B709}"/>
    <cellStyle name="Normal 5 5 7 3" xfId="6489" xr:uid="{00000000-0005-0000-0000-0000981B0000}"/>
    <cellStyle name="Normal 5 5 7 3 2" xfId="14925" xr:uid="{AEEA1ACF-6EC5-4E79-8A14-F542AEE2DFE0}"/>
    <cellStyle name="Normal 5 5 7 4" xfId="10707" xr:uid="{9D22346D-C08F-4076-8753-565BA0CD4526}"/>
    <cellStyle name="Normal 5 5 8" xfId="2618" xr:uid="{00000000-0005-0000-0000-0000991B0000}"/>
    <cellStyle name="Normal 5 5 8 2" xfId="6902" xr:uid="{00000000-0005-0000-0000-00009A1B0000}"/>
    <cellStyle name="Normal 5 5 8 2 2" xfId="15338" xr:uid="{3C7B870F-6DF7-4DA2-8118-ED46ABB01034}"/>
    <cellStyle name="Normal 5 5 8 3" xfId="11120" xr:uid="{A8BA4C4F-1FF8-4F52-8712-478BC52F46B3}"/>
    <cellStyle name="Normal 5 5 9" xfId="4837" xr:uid="{00000000-0005-0000-0000-00009B1B0000}"/>
    <cellStyle name="Normal 5 5 9 2" xfId="13273" xr:uid="{B37525DD-FE1D-435F-8A43-B8BBA543E6CD}"/>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6" xr:uid="{53D127A8-E24D-408E-91B6-3C6D2C0F1BD0}"/>
    <cellStyle name="Normal 5 6 2 2 2 3" xfId="11618" xr:uid="{1C7F7C0E-9AE3-4669-BF5F-AA34C0C1D083}"/>
    <cellStyle name="Normal 5 6 2 2 3" xfId="5255" xr:uid="{00000000-0005-0000-0000-0000A11B0000}"/>
    <cellStyle name="Normal 5 6 2 2 3 2" xfId="13691" xr:uid="{CB2CBFAB-0B05-43E7-975C-7AA86AB12D5E}"/>
    <cellStyle name="Normal 5 6 2 2 4" xfId="9473" xr:uid="{8E372D0E-A52D-42E5-AC60-CFC4FB9C0452}"/>
    <cellStyle name="Normal 5 6 2 3" xfId="1360" xr:uid="{00000000-0005-0000-0000-0000A21B0000}"/>
    <cellStyle name="Normal 5 6 2 3 2" xfId="3590" xr:uid="{00000000-0005-0000-0000-0000A31B0000}"/>
    <cellStyle name="Normal 5 6 2 3 2 2" xfId="7813" xr:uid="{00000000-0005-0000-0000-0000A41B0000}"/>
    <cellStyle name="Normal 5 6 2 3 2 2 2" xfId="16249" xr:uid="{A0C4AFB8-D7CE-407C-AF29-B4D29C5D0A57}"/>
    <cellStyle name="Normal 5 6 2 3 2 3" xfId="12031" xr:uid="{811F0A9D-BE0A-4043-AA59-7D9FEA304DE3}"/>
    <cellStyle name="Normal 5 6 2 3 3" xfId="5668" xr:uid="{00000000-0005-0000-0000-0000A51B0000}"/>
    <cellStyle name="Normal 5 6 2 3 3 2" xfId="14104" xr:uid="{3EE1A252-C4BB-4BCF-BE93-D6A20BE50D6A}"/>
    <cellStyle name="Normal 5 6 2 3 4" xfId="9886" xr:uid="{839C4FDD-DF51-4986-9460-9CC476CAD56C}"/>
    <cellStyle name="Normal 5 6 2 4" xfId="1773" xr:uid="{00000000-0005-0000-0000-0000A61B0000}"/>
    <cellStyle name="Normal 5 6 2 4 2" xfId="4003" xr:uid="{00000000-0005-0000-0000-0000A71B0000}"/>
    <cellStyle name="Normal 5 6 2 4 2 2" xfId="8226" xr:uid="{00000000-0005-0000-0000-0000A81B0000}"/>
    <cellStyle name="Normal 5 6 2 4 2 2 2" xfId="16662" xr:uid="{785A54DB-E82D-47C6-A7A7-E1E8AFB615A7}"/>
    <cellStyle name="Normal 5 6 2 4 2 3" xfId="12444" xr:uid="{766C02B8-C0C0-4F3E-955C-FD43521D5A6D}"/>
    <cellStyle name="Normal 5 6 2 4 3" xfId="6081" xr:uid="{00000000-0005-0000-0000-0000A91B0000}"/>
    <cellStyle name="Normal 5 6 2 4 3 2" xfId="14517" xr:uid="{2BEDD4CD-FBF4-4132-9ADF-955F3200ECA9}"/>
    <cellStyle name="Normal 5 6 2 4 4" xfId="10299" xr:uid="{3CD26167-729D-4B9D-9C7F-71F6CA8FF96D}"/>
    <cellStyle name="Normal 5 6 2 5" xfId="2187" xr:uid="{00000000-0005-0000-0000-0000AA1B0000}"/>
    <cellStyle name="Normal 5 6 2 5 2" xfId="4416" xr:uid="{00000000-0005-0000-0000-0000AB1B0000}"/>
    <cellStyle name="Normal 5 6 2 5 2 2" xfId="8639" xr:uid="{00000000-0005-0000-0000-0000AC1B0000}"/>
    <cellStyle name="Normal 5 6 2 5 2 2 2" xfId="17075" xr:uid="{4E9D1355-8DBD-4B89-975E-C489C7E53C1D}"/>
    <cellStyle name="Normal 5 6 2 5 2 3" xfId="12857" xr:uid="{8FA29161-ECBC-4AED-B53E-2ADD55065799}"/>
    <cellStyle name="Normal 5 6 2 5 3" xfId="6494" xr:uid="{00000000-0005-0000-0000-0000AD1B0000}"/>
    <cellStyle name="Normal 5 6 2 5 3 2" xfId="14930" xr:uid="{6A062DAF-6B63-43B5-BE62-F2F4DD560415}"/>
    <cellStyle name="Normal 5 6 2 5 4" xfId="10712" xr:uid="{EB007F30-5644-4E6E-8D96-D831F5D541A8}"/>
    <cellStyle name="Normal 5 6 2 6" xfId="2623" xr:uid="{00000000-0005-0000-0000-0000AE1B0000}"/>
    <cellStyle name="Normal 5 6 2 6 2" xfId="6907" xr:uid="{00000000-0005-0000-0000-0000AF1B0000}"/>
    <cellStyle name="Normal 5 6 2 6 2 2" xfId="15343" xr:uid="{08A0B7A9-B459-4C5E-B5CB-DA995ABF25B3}"/>
    <cellStyle name="Normal 5 6 2 6 3" xfId="11125" xr:uid="{390B4BF5-D74D-4648-8377-4AFD9F6858F6}"/>
    <cellStyle name="Normal 5 6 2 7" xfId="4842" xr:uid="{00000000-0005-0000-0000-0000B01B0000}"/>
    <cellStyle name="Normal 5 6 2 7 2" xfId="13278" xr:uid="{7EC2E289-D980-4EC2-BC1F-785747312DF6}"/>
    <cellStyle name="Normal 5 6 2 8" xfId="9060" xr:uid="{864CC3F5-7BB0-4211-BE5D-C4A39C1CDDF6}"/>
    <cellStyle name="Normal 5 6 3" xfId="942" xr:uid="{00000000-0005-0000-0000-0000B11B0000}"/>
    <cellStyle name="Normal 5 6 3 2" xfId="3176" xr:uid="{00000000-0005-0000-0000-0000B21B0000}"/>
    <cellStyle name="Normal 5 6 3 2 2" xfId="7399" xr:uid="{00000000-0005-0000-0000-0000B31B0000}"/>
    <cellStyle name="Normal 5 6 3 2 2 2" xfId="15835" xr:uid="{5757F3E1-8A2D-4D03-AD77-F5FAD33623A3}"/>
    <cellStyle name="Normal 5 6 3 2 3" xfId="11617" xr:uid="{8D0B36E3-0EC6-4FB3-96BC-01E2DD383651}"/>
    <cellStyle name="Normal 5 6 3 3" xfId="5254" xr:uid="{00000000-0005-0000-0000-0000B41B0000}"/>
    <cellStyle name="Normal 5 6 3 3 2" xfId="13690" xr:uid="{F9C66439-92D4-4C5A-9BAD-F1BC1E310401}"/>
    <cellStyle name="Normal 5 6 3 4" xfId="9472" xr:uid="{FAEA8E40-8B5F-4558-93E4-AA09E0D2995A}"/>
    <cellStyle name="Normal 5 6 4" xfId="1359" xr:uid="{00000000-0005-0000-0000-0000B51B0000}"/>
    <cellStyle name="Normal 5 6 4 2" xfId="3589" xr:uid="{00000000-0005-0000-0000-0000B61B0000}"/>
    <cellStyle name="Normal 5 6 4 2 2" xfId="7812" xr:uid="{00000000-0005-0000-0000-0000B71B0000}"/>
    <cellStyle name="Normal 5 6 4 2 2 2" xfId="16248" xr:uid="{B2E2FC25-D18F-4489-A822-78227585BEF9}"/>
    <cellStyle name="Normal 5 6 4 2 3" xfId="12030" xr:uid="{253FA7AD-0E1D-4777-A314-FADFFFC93CEF}"/>
    <cellStyle name="Normal 5 6 4 3" xfId="5667" xr:uid="{00000000-0005-0000-0000-0000B81B0000}"/>
    <cellStyle name="Normal 5 6 4 3 2" xfId="14103" xr:uid="{8FB34861-E16D-45B8-B6E5-862ECA2E044C}"/>
    <cellStyle name="Normal 5 6 4 4" xfId="9885" xr:uid="{3884D18B-396A-427E-8FF6-C8272865AF66}"/>
    <cellStyle name="Normal 5 6 5" xfId="1772" xr:uid="{00000000-0005-0000-0000-0000B91B0000}"/>
    <cellStyle name="Normal 5 6 5 2" xfId="4002" xr:uid="{00000000-0005-0000-0000-0000BA1B0000}"/>
    <cellStyle name="Normal 5 6 5 2 2" xfId="8225" xr:uid="{00000000-0005-0000-0000-0000BB1B0000}"/>
    <cellStyle name="Normal 5 6 5 2 2 2" xfId="16661" xr:uid="{7E9E010B-E275-4EDB-A6BF-9F17AE322549}"/>
    <cellStyle name="Normal 5 6 5 2 3" xfId="12443" xr:uid="{87E3A0D1-C80A-4192-88C9-6D706B0DA952}"/>
    <cellStyle name="Normal 5 6 5 3" xfId="6080" xr:uid="{00000000-0005-0000-0000-0000BC1B0000}"/>
    <cellStyle name="Normal 5 6 5 3 2" xfId="14516" xr:uid="{46BD05DE-A93F-4851-BBBB-A96B6D222B1D}"/>
    <cellStyle name="Normal 5 6 5 4" xfId="10298" xr:uid="{8C7EF043-789F-4F39-9A15-68007F6AC4E7}"/>
    <cellStyle name="Normal 5 6 6" xfId="2186" xr:uid="{00000000-0005-0000-0000-0000BD1B0000}"/>
    <cellStyle name="Normal 5 6 6 2" xfId="4415" xr:uid="{00000000-0005-0000-0000-0000BE1B0000}"/>
    <cellStyle name="Normal 5 6 6 2 2" xfId="8638" xr:uid="{00000000-0005-0000-0000-0000BF1B0000}"/>
    <cellStyle name="Normal 5 6 6 2 2 2" xfId="17074" xr:uid="{4CF93E1A-AAF1-4A64-B4EE-5D87E07F465F}"/>
    <cellStyle name="Normal 5 6 6 2 3" xfId="12856" xr:uid="{81689500-8786-4ED4-AC9F-67E959E30245}"/>
    <cellStyle name="Normal 5 6 6 3" xfId="6493" xr:uid="{00000000-0005-0000-0000-0000C01B0000}"/>
    <cellStyle name="Normal 5 6 6 3 2" xfId="14929" xr:uid="{28A5F400-EC04-46FC-BD89-358BADB5A02F}"/>
    <cellStyle name="Normal 5 6 6 4" xfId="10711" xr:uid="{15193626-AD7D-4E40-BA80-CA133F50153A}"/>
    <cellStyle name="Normal 5 6 7" xfId="2622" xr:uid="{00000000-0005-0000-0000-0000C11B0000}"/>
    <cellStyle name="Normal 5 6 7 2" xfId="6906" xr:uid="{00000000-0005-0000-0000-0000C21B0000}"/>
    <cellStyle name="Normal 5 6 7 2 2" xfId="15342" xr:uid="{E15D5E95-08AB-45C0-B444-CD6E6F5142B4}"/>
    <cellStyle name="Normal 5 6 7 3" xfId="11124" xr:uid="{CDD4B23A-8A64-40BB-97A1-43CDDC84E210}"/>
    <cellStyle name="Normal 5 6 8" xfId="4841" xr:uid="{00000000-0005-0000-0000-0000C31B0000}"/>
    <cellStyle name="Normal 5 6 8 2" xfId="13277" xr:uid="{7CFEB29A-6DF6-4D60-812D-EE43E881D145}"/>
    <cellStyle name="Normal 5 6 9" xfId="9059" xr:uid="{7633BB22-181E-40D6-B17A-0475E777C462}"/>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37" xr:uid="{78D1E5F1-3D9E-435D-AD9D-D6AC7971FA02}"/>
    <cellStyle name="Normal 5 7 2 2 3" xfId="11619" xr:uid="{9B30CE8C-E461-430D-AC76-7CECB94F193D}"/>
    <cellStyle name="Normal 5 7 2 3" xfId="5256" xr:uid="{00000000-0005-0000-0000-0000C81B0000}"/>
    <cellStyle name="Normal 5 7 2 3 2" xfId="13692" xr:uid="{63E1EC8B-57D5-4066-820D-BDC7008053BB}"/>
    <cellStyle name="Normal 5 7 2 4" xfId="9474" xr:uid="{920DD9AB-5DFA-4FD1-BC7D-57EDF8123A38}"/>
    <cellStyle name="Normal 5 7 3" xfId="1361" xr:uid="{00000000-0005-0000-0000-0000C91B0000}"/>
    <cellStyle name="Normal 5 7 3 2" xfId="3591" xr:uid="{00000000-0005-0000-0000-0000CA1B0000}"/>
    <cellStyle name="Normal 5 7 3 2 2" xfId="7814" xr:uid="{00000000-0005-0000-0000-0000CB1B0000}"/>
    <cellStyle name="Normal 5 7 3 2 2 2" xfId="16250" xr:uid="{48E70F0E-A9A9-4336-8C8D-5A08FDB6BDF6}"/>
    <cellStyle name="Normal 5 7 3 2 3" xfId="12032" xr:uid="{186902A1-2011-4B2C-AB46-DEF1EAC9907F}"/>
    <cellStyle name="Normal 5 7 3 3" xfId="5669" xr:uid="{00000000-0005-0000-0000-0000CC1B0000}"/>
    <cellStyle name="Normal 5 7 3 3 2" xfId="14105" xr:uid="{12158B55-DFF8-4C37-A275-4E46C230A095}"/>
    <cellStyle name="Normal 5 7 3 4" xfId="9887" xr:uid="{E36091BB-F573-48B9-8A71-08AF7D689AB1}"/>
    <cellStyle name="Normal 5 7 4" xfId="1774" xr:uid="{00000000-0005-0000-0000-0000CD1B0000}"/>
    <cellStyle name="Normal 5 7 4 2" xfId="4004" xr:uid="{00000000-0005-0000-0000-0000CE1B0000}"/>
    <cellStyle name="Normal 5 7 4 2 2" xfId="8227" xr:uid="{00000000-0005-0000-0000-0000CF1B0000}"/>
    <cellStyle name="Normal 5 7 4 2 2 2" xfId="16663" xr:uid="{F28637E0-D62B-4D2A-A136-C88B73C2E8AB}"/>
    <cellStyle name="Normal 5 7 4 2 3" xfId="12445" xr:uid="{39CAFF75-7FF7-41F6-88D4-9FC4C2B994B2}"/>
    <cellStyle name="Normal 5 7 4 3" xfId="6082" xr:uid="{00000000-0005-0000-0000-0000D01B0000}"/>
    <cellStyle name="Normal 5 7 4 3 2" xfId="14518" xr:uid="{497F1AB8-4CCB-4EAB-871E-ACE7DEDC99CC}"/>
    <cellStyle name="Normal 5 7 4 4" xfId="10300" xr:uid="{7EAEE984-37CE-4532-9E2A-DD086479850E}"/>
    <cellStyle name="Normal 5 7 5" xfId="2188" xr:uid="{00000000-0005-0000-0000-0000D11B0000}"/>
    <cellStyle name="Normal 5 7 5 2" xfId="4417" xr:uid="{00000000-0005-0000-0000-0000D21B0000}"/>
    <cellStyle name="Normal 5 7 5 2 2" xfId="8640" xr:uid="{00000000-0005-0000-0000-0000D31B0000}"/>
    <cellStyle name="Normal 5 7 5 2 2 2" xfId="17076" xr:uid="{A03958A5-751E-4D3F-B18C-74F895CBB4EE}"/>
    <cellStyle name="Normal 5 7 5 2 3" xfId="12858" xr:uid="{CFDEA25F-AA91-4ACE-B415-7610548A58B2}"/>
    <cellStyle name="Normal 5 7 5 3" xfId="6495" xr:uid="{00000000-0005-0000-0000-0000D41B0000}"/>
    <cellStyle name="Normal 5 7 5 3 2" xfId="14931" xr:uid="{F90B9656-7DF5-42E3-9A49-CBA1C1F2F271}"/>
    <cellStyle name="Normal 5 7 5 4" xfId="10713" xr:uid="{67A8173D-E40B-4D8D-B4EA-44C5E7A201CC}"/>
    <cellStyle name="Normal 5 7 6" xfId="2624" xr:uid="{00000000-0005-0000-0000-0000D51B0000}"/>
    <cellStyle name="Normal 5 7 6 2" xfId="6908" xr:uid="{00000000-0005-0000-0000-0000D61B0000}"/>
    <cellStyle name="Normal 5 7 6 2 2" xfId="15344" xr:uid="{662647B6-B921-4C4A-A1EA-02E97F60CE9C}"/>
    <cellStyle name="Normal 5 7 6 3" xfId="11126" xr:uid="{A444BD24-474C-436F-8CA3-6C4403B47DD6}"/>
    <cellStyle name="Normal 5 7 7" xfId="4843" xr:uid="{00000000-0005-0000-0000-0000D71B0000}"/>
    <cellStyle name="Normal 5 7 7 2" xfId="13279" xr:uid="{2915E603-F7C5-44E4-BCAF-FCFBD353A953}"/>
    <cellStyle name="Normal 5 7 8" xfId="9061" xr:uid="{0484FA9F-71D8-4C2B-8EE0-3B19877E5278}"/>
    <cellStyle name="Normal 5 8" xfId="880" xr:uid="{00000000-0005-0000-0000-0000D81B0000}"/>
    <cellStyle name="Normal 5 8 2" xfId="3115" xr:uid="{00000000-0005-0000-0000-0000D91B0000}"/>
    <cellStyle name="Normal 5 8 2 2" xfId="7338" xr:uid="{00000000-0005-0000-0000-0000DA1B0000}"/>
    <cellStyle name="Normal 5 8 2 2 2" xfId="15774" xr:uid="{37521091-573D-4489-AB50-FAEC9E58EE08}"/>
    <cellStyle name="Normal 5 8 2 3" xfId="11556" xr:uid="{2CE84DE1-B812-4183-A04F-3525A7E3298B}"/>
    <cellStyle name="Normal 5 8 3" xfId="5193" xr:uid="{00000000-0005-0000-0000-0000DB1B0000}"/>
    <cellStyle name="Normal 5 8 3 2" xfId="13629" xr:uid="{009DE91B-D99D-44CE-BD37-18889333E90D}"/>
    <cellStyle name="Normal 5 8 4" xfId="9411" xr:uid="{7979903E-61E6-4137-AFA4-F2A737324971}"/>
    <cellStyle name="Normal 5 9" xfId="1298" xr:uid="{00000000-0005-0000-0000-0000DC1B0000}"/>
    <cellStyle name="Normal 5 9 2" xfId="3528" xr:uid="{00000000-0005-0000-0000-0000DD1B0000}"/>
    <cellStyle name="Normal 5 9 2 2" xfId="7751" xr:uid="{00000000-0005-0000-0000-0000DE1B0000}"/>
    <cellStyle name="Normal 5 9 2 2 2" xfId="16187" xr:uid="{F8BF5105-8508-4D2C-AE3A-9947E1BAF52D}"/>
    <cellStyle name="Normal 5 9 2 3" xfId="11969" xr:uid="{2F456909-1FA3-4A49-8BDC-0001FFDA3471}"/>
    <cellStyle name="Normal 5 9 3" xfId="5606" xr:uid="{00000000-0005-0000-0000-0000DF1B0000}"/>
    <cellStyle name="Normal 5 9 3 2" xfId="14042" xr:uid="{D1190A47-DE07-45A4-A5AB-9B76F6F4DE8B}"/>
    <cellStyle name="Normal 5 9 4" xfId="9824" xr:uid="{34C503CE-FA10-47F8-A4E9-FEDEDAFBE4B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77" xr:uid="{8DE9D51F-4465-431C-8CAB-55B033CCA347}"/>
    <cellStyle name="Normal 8 10 2 3" xfId="12859" xr:uid="{B71725F0-555F-499F-8A98-260E2E361634}"/>
    <cellStyle name="Normal 8 10 3" xfId="6496" xr:uid="{00000000-0005-0000-0000-0000EB1B0000}"/>
    <cellStyle name="Normal 8 10 3 2" xfId="14932" xr:uid="{71BC570E-1DBC-400E-844F-9BBB32C82D33}"/>
    <cellStyle name="Normal 8 10 4" xfId="10714" xr:uid="{725328D2-9A6C-423F-84C1-3CD937F5838E}"/>
    <cellStyle name="Normal 8 11" xfId="2625" xr:uid="{00000000-0005-0000-0000-0000EC1B0000}"/>
    <cellStyle name="Normal 8 11 2" xfId="6909" xr:uid="{00000000-0005-0000-0000-0000ED1B0000}"/>
    <cellStyle name="Normal 8 11 2 2" xfId="15345" xr:uid="{932030E6-8C15-4E49-A58F-A3DBABBB88DA}"/>
    <cellStyle name="Normal 8 11 3" xfId="11127" xr:uid="{3321751B-4DB2-49B0-AC4F-23C99FAB30F3}"/>
    <cellStyle name="Normal 8 12" xfId="4844" xr:uid="{00000000-0005-0000-0000-0000EE1B0000}"/>
    <cellStyle name="Normal 8 12 2" xfId="13280" xr:uid="{F3A13842-333B-4848-8751-2D8DAF43AF28}"/>
    <cellStyle name="Normal 8 13" xfId="9062" xr:uid="{9A746F68-8116-4552-8BAA-0B56BA3FB997}"/>
    <cellStyle name="Normal 8 2" xfId="479" xr:uid="{00000000-0005-0000-0000-0000EF1B0000}"/>
    <cellStyle name="Normal 8 2 10" xfId="2626" xr:uid="{00000000-0005-0000-0000-0000F01B0000}"/>
    <cellStyle name="Normal 8 2 10 2" xfId="6910" xr:uid="{00000000-0005-0000-0000-0000F11B0000}"/>
    <cellStyle name="Normal 8 2 10 2 2" xfId="15346" xr:uid="{46E72A9E-841D-49CB-996B-44F64906734C}"/>
    <cellStyle name="Normal 8 2 10 3" xfId="11128" xr:uid="{0011E3A8-2B90-491A-9F75-3AF76A1DB783}"/>
    <cellStyle name="Normal 8 2 11" xfId="4845" xr:uid="{00000000-0005-0000-0000-0000F21B0000}"/>
    <cellStyle name="Normal 8 2 11 2" xfId="13281" xr:uid="{84DA7FF2-35BA-482F-9D5D-7D805DC5DB46}"/>
    <cellStyle name="Normal 8 2 12" xfId="9063" xr:uid="{210B26BC-FBCE-47EE-A097-BB84EF3FC874}"/>
    <cellStyle name="Normal 8 2 2" xfId="480" xr:uid="{00000000-0005-0000-0000-0000F31B0000}"/>
    <cellStyle name="Normal 8 2 2 10" xfId="4846" xr:uid="{00000000-0005-0000-0000-0000F41B0000}"/>
    <cellStyle name="Normal 8 2 2 10 2" xfId="13282" xr:uid="{2CBBD808-AE1F-411D-A220-624B895C1765}"/>
    <cellStyle name="Normal 8 2 2 11" xfId="9064" xr:uid="{C5954BA8-C374-4577-9F96-FD10678BD7A7}"/>
    <cellStyle name="Normal 8 2 2 2" xfId="481" xr:uid="{00000000-0005-0000-0000-0000F51B0000}"/>
    <cellStyle name="Normal 8 2 2 2 10" xfId="9065" xr:uid="{2B159A52-F1AC-45AE-8E33-C383E39404F8}"/>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3" xr:uid="{DC893331-ED8E-454C-A775-EB769FAA3E96}"/>
    <cellStyle name="Normal 8 2 2 2 2 2 2 2 3" xfId="11625" xr:uid="{BCBDC036-B9D8-4C2F-869C-3E816C54CE97}"/>
    <cellStyle name="Normal 8 2 2 2 2 2 2 3" xfId="5262" xr:uid="{00000000-0005-0000-0000-0000FB1B0000}"/>
    <cellStyle name="Normal 8 2 2 2 2 2 2 3 2" xfId="13698" xr:uid="{E2079064-929B-4267-BED6-FDD8F1291A52}"/>
    <cellStyle name="Normal 8 2 2 2 2 2 2 4" xfId="9480" xr:uid="{7DF64848-1B1F-43C3-B15A-C3072828BEEC}"/>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6" xr:uid="{C1E65F75-EAA3-4E00-AECF-A1A76C8B4F00}"/>
    <cellStyle name="Normal 8 2 2 2 2 2 3 2 3" xfId="12038" xr:uid="{4B5A12EF-0078-46D1-A585-947CC5678BBB}"/>
    <cellStyle name="Normal 8 2 2 2 2 2 3 3" xfId="5675" xr:uid="{00000000-0005-0000-0000-0000FF1B0000}"/>
    <cellStyle name="Normal 8 2 2 2 2 2 3 3 2" xfId="14111" xr:uid="{8E6C2D96-C6D6-41C7-A79C-B9B7C7D58DFE}"/>
    <cellStyle name="Normal 8 2 2 2 2 2 3 4" xfId="9893" xr:uid="{CD84F2A4-0C5D-45BC-BBA7-9228994DFF9E}"/>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69" xr:uid="{50B323A7-12DC-4B3D-BED5-1B46995C0B29}"/>
    <cellStyle name="Normal 8 2 2 2 2 2 4 2 3" xfId="12451" xr:uid="{4AF3E58B-C7CF-4F18-9531-A1E18307ED75}"/>
    <cellStyle name="Normal 8 2 2 2 2 2 4 3" xfId="6088" xr:uid="{00000000-0005-0000-0000-0000031C0000}"/>
    <cellStyle name="Normal 8 2 2 2 2 2 4 3 2" xfId="14524" xr:uid="{567F8106-BB15-429B-B236-A30CA229CC86}"/>
    <cellStyle name="Normal 8 2 2 2 2 2 4 4" xfId="10306" xr:uid="{2C58BD2A-9B7D-4B67-925E-A1CCA3592081}"/>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2" xr:uid="{80C82E10-9954-4501-83CA-51EF89B0BC3D}"/>
    <cellStyle name="Normal 8 2 2 2 2 2 5 2 3" xfId="12864" xr:uid="{7FEB7F65-1BC2-4BE8-ADE3-9356DE069C82}"/>
    <cellStyle name="Normal 8 2 2 2 2 2 5 3" xfId="6501" xr:uid="{00000000-0005-0000-0000-0000071C0000}"/>
    <cellStyle name="Normal 8 2 2 2 2 2 5 3 2" xfId="14937" xr:uid="{AB5D1E9B-2349-4BF0-A0B5-4C6212B4801B}"/>
    <cellStyle name="Normal 8 2 2 2 2 2 5 4" xfId="10719" xr:uid="{112FF8FD-AE96-46FB-84EC-1F381AC83182}"/>
    <cellStyle name="Normal 8 2 2 2 2 2 6" xfId="2630" xr:uid="{00000000-0005-0000-0000-0000081C0000}"/>
    <cellStyle name="Normal 8 2 2 2 2 2 6 2" xfId="6914" xr:uid="{00000000-0005-0000-0000-0000091C0000}"/>
    <cellStyle name="Normal 8 2 2 2 2 2 6 2 2" xfId="15350" xr:uid="{E499D737-0DF4-4F38-BC73-870364008E97}"/>
    <cellStyle name="Normal 8 2 2 2 2 2 6 3" xfId="11132" xr:uid="{B934D71C-0973-4E21-9816-D2207F02D53F}"/>
    <cellStyle name="Normal 8 2 2 2 2 2 7" xfId="4849" xr:uid="{00000000-0005-0000-0000-00000A1C0000}"/>
    <cellStyle name="Normal 8 2 2 2 2 2 7 2" xfId="13285" xr:uid="{A397E36E-9F74-4ACD-8544-BC1868A3066C}"/>
    <cellStyle name="Normal 8 2 2 2 2 2 8" xfId="9067" xr:uid="{650EC762-47C8-4F46-8B1A-2C7D53347A5E}"/>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2" xr:uid="{5F643778-0A04-426F-884B-5EEF01E0D9A0}"/>
    <cellStyle name="Normal 8 2 2 2 2 3 2 3" xfId="11624" xr:uid="{969DD610-C3A1-446E-BDDB-A8D8FDE16D9D}"/>
    <cellStyle name="Normal 8 2 2 2 2 3 3" xfId="5261" xr:uid="{00000000-0005-0000-0000-00000E1C0000}"/>
    <cellStyle name="Normal 8 2 2 2 2 3 3 2" xfId="13697" xr:uid="{2117678C-D6FC-4B2F-A3F5-C974D6FBBC33}"/>
    <cellStyle name="Normal 8 2 2 2 2 3 4" xfId="9479" xr:uid="{404B6E58-664A-4EB8-9196-232A62BDB4DA}"/>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5" xr:uid="{5ED62984-DD2D-48FD-A59B-67C560EC8F47}"/>
    <cellStyle name="Normal 8 2 2 2 2 4 2 3" xfId="12037" xr:uid="{8E754F07-6D6E-4C03-8657-5DBCAC77555E}"/>
    <cellStyle name="Normal 8 2 2 2 2 4 3" xfId="5674" xr:uid="{00000000-0005-0000-0000-0000121C0000}"/>
    <cellStyle name="Normal 8 2 2 2 2 4 3 2" xfId="14110" xr:uid="{C4E49AF6-5F76-4454-8F2F-DF9E2D3C3834}"/>
    <cellStyle name="Normal 8 2 2 2 2 4 4" xfId="9892" xr:uid="{9A245C43-924C-47FC-AFD6-83344B400595}"/>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68" xr:uid="{357132D6-05F9-454C-9409-6A8A19FE4527}"/>
    <cellStyle name="Normal 8 2 2 2 2 5 2 3" xfId="12450" xr:uid="{960D5954-09CF-4603-A5A6-D258960B33F6}"/>
    <cellStyle name="Normal 8 2 2 2 2 5 3" xfId="6087" xr:uid="{00000000-0005-0000-0000-0000161C0000}"/>
    <cellStyle name="Normal 8 2 2 2 2 5 3 2" xfId="14523" xr:uid="{8CFD42AC-566F-4FDA-9053-9D8A2F00957F}"/>
    <cellStyle name="Normal 8 2 2 2 2 5 4" xfId="10305" xr:uid="{71035DFA-4FC6-4F9A-8111-F1B8A17E4BB8}"/>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1" xr:uid="{0B7EDEDD-D424-4C8A-A5C4-F958810F6F89}"/>
    <cellStyle name="Normal 8 2 2 2 2 6 2 3" xfId="12863" xr:uid="{56233F76-C8F4-424E-A7F4-F4C7AD196110}"/>
    <cellStyle name="Normal 8 2 2 2 2 6 3" xfId="6500" xr:uid="{00000000-0005-0000-0000-00001A1C0000}"/>
    <cellStyle name="Normal 8 2 2 2 2 6 3 2" xfId="14936" xr:uid="{9C84B9B5-B9B3-4C74-B7EC-36CBE69020D1}"/>
    <cellStyle name="Normal 8 2 2 2 2 6 4" xfId="10718" xr:uid="{FC8EE89E-4132-45A9-BDF4-F99D71A6235B}"/>
    <cellStyle name="Normal 8 2 2 2 2 7" xfId="2629" xr:uid="{00000000-0005-0000-0000-00001B1C0000}"/>
    <cellStyle name="Normal 8 2 2 2 2 7 2" xfId="6913" xr:uid="{00000000-0005-0000-0000-00001C1C0000}"/>
    <cellStyle name="Normal 8 2 2 2 2 7 2 2" xfId="15349" xr:uid="{64E8123F-CDD7-4EA2-8314-9662F3A145EB}"/>
    <cellStyle name="Normal 8 2 2 2 2 7 3" xfId="11131" xr:uid="{99C1C33B-F6E5-422E-BF5B-948C15F785FD}"/>
    <cellStyle name="Normal 8 2 2 2 2 8" xfId="4848" xr:uid="{00000000-0005-0000-0000-00001D1C0000}"/>
    <cellStyle name="Normal 8 2 2 2 2 8 2" xfId="13284" xr:uid="{B8E3F875-4A69-4605-8515-6A845845F325}"/>
    <cellStyle name="Normal 8 2 2 2 2 9" xfId="9066" xr:uid="{233F9003-5E55-4A07-AB4D-16DC974883FF}"/>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4" xr:uid="{3AEC1EA0-A026-487F-994A-3CA109019B06}"/>
    <cellStyle name="Normal 8 2 2 2 3 2 2 3" xfId="11626" xr:uid="{26EC8F92-E7B6-4DF5-B879-DA1ED73338CE}"/>
    <cellStyle name="Normal 8 2 2 2 3 2 3" xfId="5263" xr:uid="{00000000-0005-0000-0000-0000221C0000}"/>
    <cellStyle name="Normal 8 2 2 2 3 2 3 2" xfId="13699" xr:uid="{B1A7B713-185B-4B33-9C00-E08E14FD653C}"/>
    <cellStyle name="Normal 8 2 2 2 3 2 4" xfId="9481" xr:uid="{371BA563-424E-418A-9FE3-E1CE4BC50DB7}"/>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57" xr:uid="{EF0B15C7-E7FB-4485-9616-86A7361120BB}"/>
    <cellStyle name="Normal 8 2 2 2 3 3 2 3" xfId="12039" xr:uid="{25F10095-065F-4C27-85C6-D7AE7EDAD859}"/>
    <cellStyle name="Normal 8 2 2 2 3 3 3" xfId="5676" xr:uid="{00000000-0005-0000-0000-0000261C0000}"/>
    <cellStyle name="Normal 8 2 2 2 3 3 3 2" xfId="14112" xr:uid="{FCDE1E6F-7E56-4ADF-BEC1-A4B3F3BD8543}"/>
    <cellStyle name="Normal 8 2 2 2 3 3 4" xfId="9894" xr:uid="{DA47C870-D55C-41E7-AE77-81E09B3E3C85}"/>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0" xr:uid="{500F4591-08F3-4538-9E92-A14C6A8A580A}"/>
    <cellStyle name="Normal 8 2 2 2 3 4 2 3" xfId="12452" xr:uid="{F97188B0-8324-4FD6-B49E-5DE0223F822B}"/>
    <cellStyle name="Normal 8 2 2 2 3 4 3" xfId="6089" xr:uid="{00000000-0005-0000-0000-00002A1C0000}"/>
    <cellStyle name="Normal 8 2 2 2 3 4 3 2" xfId="14525" xr:uid="{1510BDE8-E17E-46E2-B365-34994BF829CB}"/>
    <cellStyle name="Normal 8 2 2 2 3 4 4" xfId="10307" xr:uid="{3255BE40-6D77-475C-A381-F99170A50A64}"/>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3" xr:uid="{F7DB658D-57E6-47C7-AAA5-0641DB1274F1}"/>
    <cellStyle name="Normal 8 2 2 2 3 5 2 3" xfId="12865" xr:uid="{E45ABA1C-33D8-46D7-AFFF-E317BE56512E}"/>
    <cellStyle name="Normal 8 2 2 2 3 5 3" xfId="6502" xr:uid="{00000000-0005-0000-0000-00002E1C0000}"/>
    <cellStyle name="Normal 8 2 2 2 3 5 3 2" xfId="14938" xr:uid="{9868314A-5881-49EA-9756-CFB1DB409917}"/>
    <cellStyle name="Normal 8 2 2 2 3 5 4" xfId="10720" xr:uid="{2006EFB4-E98D-423F-A06D-6FBEC9963395}"/>
    <cellStyle name="Normal 8 2 2 2 3 6" xfId="2631" xr:uid="{00000000-0005-0000-0000-00002F1C0000}"/>
    <cellStyle name="Normal 8 2 2 2 3 6 2" xfId="6915" xr:uid="{00000000-0005-0000-0000-0000301C0000}"/>
    <cellStyle name="Normal 8 2 2 2 3 6 2 2" xfId="15351" xr:uid="{6443AB34-9DA6-4E38-AB81-812F1A21709B}"/>
    <cellStyle name="Normal 8 2 2 2 3 6 3" xfId="11133" xr:uid="{FB4D7D9E-C8B7-4401-9984-D4266E050AA9}"/>
    <cellStyle name="Normal 8 2 2 2 3 7" xfId="4850" xr:uid="{00000000-0005-0000-0000-0000311C0000}"/>
    <cellStyle name="Normal 8 2 2 2 3 7 2" xfId="13286" xr:uid="{C4282F91-8F24-43E0-AA9C-D905B168662C}"/>
    <cellStyle name="Normal 8 2 2 2 3 8" xfId="9068" xr:uid="{F48B7B04-E127-4879-B6B7-F7EF301D464A}"/>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1" xr:uid="{6485905F-E87C-47C9-8491-426FC7911125}"/>
    <cellStyle name="Normal 8 2 2 2 4 2 3" xfId="11623" xr:uid="{DA828278-2B22-4A06-9B42-D0091C9BCD7B}"/>
    <cellStyle name="Normal 8 2 2 2 4 3" xfId="5260" xr:uid="{00000000-0005-0000-0000-0000351C0000}"/>
    <cellStyle name="Normal 8 2 2 2 4 3 2" xfId="13696" xr:uid="{DABCF5D3-CCB9-4AA3-AEA4-00642061C350}"/>
    <cellStyle name="Normal 8 2 2 2 4 4" xfId="9478" xr:uid="{BFB71765-1783-4E6F-A4BA-E227A2ACF819}"/>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4" xr:uid="{F0282686-4347-4C16-B165-AD3246512903}"/>
    <cellStyle name="Normal 8 2 2 2 5 2 3" xfId="12036" xr:uid="{0226E4E1-17B0-4C4F-B697-7CA7D58D44F3}"/>
    <cellStyle name="Normal 8 2 2 2 5 3" xfId="5673" xr:uid="{00000000-0005-0000-0000-0000391C0000}"/>
    <cellStyle name="Normal 8 2 2 2 5 3 2" xfId="14109" xr:uid="{DCA12C48-A8E8-4DD5-AAF5-929968835B9B}"/>
    <cellStyle name="Normal 8 2 2 2 5 4" xfId="9891" xr:uid="{6DBA3365-894F-4FAB-A260-333F20515F7E}"/>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67" xr:uid="{E1F56D66-06F4-4C69-9589-9C738713F848}"/>
    <cellStyle name="Normal 8 2 2 2 6 2 3" xfId="12449" xr:uid="{BB5550A9-792A-4F28-8F21-B7EA8827DBCF}"/>
    <cellStyle name="Normal 8 2 2 2 6 3" xfId="6086" xr:uid="{00000000-0005-0000-0000-00003D1C0000}"/>
    <cellStyle name="Normal 8 2 2 2 6 3 2" xfId="14522" xr:uid="{264A3866-D0A7-4DF9-B0C7-EA3A9D238501}"/>
    <cellStyle name="Normal 8 2 2 2 6 4" xfId="10304" xr:uid="{5233B1DE-EC6A-480B-B504-3771877323FC}"/>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0" xr:uid="{17D9088C-CCD1-4D3E-A5C8-27D3DB8E74DF}"/>
    <cellStyle name="Normal 8 2 2 2 7 2 3" xfId="12862" xr:uid="{96EF86F8-3F82-4D04-8501-F0E150ACB70D}"/>
    <cellStyle name="Normal 8 2 2 2 7 3" xfId="6499" xr:uid="{00000000-0005-0000-0000-0000411C0000}"/>
    <cellStyle name="Normal 8 2 2 2 7 3 2" xfId="14935" xr:uid="{F86A7C4D-3CB1-4833-B734-E812A4769A6C}"/>
    <cellStyle name="Normal 8 2 2 2 7 4" xfId="10717" xr:uid="{E6795652-5360-41C7-A979-C536F578B7FD}"/>
    <cellStyle name="Normal 8 2 2 2 8" xfId="2628" xr:uid="{00000000-0005-0000-0000-0000421C0000}"/>
    <cellStyle name="Normal 8 2 2 2 8 2" xfId="6912" xr:uid="{00000000-0005-0000-0000-0000431C0000}"/>
    <cellStyle name="Normal 8 2 2 2 8 2 2" xfId="15348" xr:uid="{7767428E-1908-46C6-A202-2B5DEFA8FB5A}"/>
    <cellStyle name="Normal 8 2 2 2 8 3" xfId="11130" xr:uid="{804550EC-65EE-414C-9488-6D08FAAE0875}"/>
    <cellStyle name="Normal 8 2 2 2 9" xfId="4847" xr:uid="{00000000-0005-0000-0000-0000441C0000}"/>
    <cellStyle name="Normal 8 2 2 2 9 2" xfId="13283" xr:uid="{45752CC9-E173-4A4E-A6B9-31423231DF18}"/>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6" xr:uid="{4015306C-EB1F-4A9C-BC32-3B54482A54C6}"/>
    <cellStyle name="Normal 8 2 2 3 2 2 2 3" xfId="11628" xr:uid="{8DDD1C85-12EE-442F-A7A0-0A7849BD1DE6}"/>
    <cellStyle name="Normal 8 2 2 3 2 2 3" xfId="5265" xr:uid="{00000000-0005-0000-0000-00004A1C0000}"/>
    <cellStyle name="Normal 8 2 2 3 2 2 3 2" xfId="13701" xr:uid="{B241D63E-F30F-4746-984E-807C74B697A8}"/>
    <cellStyle name="Normal 8 2 2 3 2 2 4" xfId="9483" xr:uid="{F20E5BE6-65BF-497C-A80E-280D49A977E5}"/>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59" xr:uid="{B75794C4-3166-4408-B6FE-A6D12CC89412}"/>
    <cellStyle name="Normal 8 2 2 3 2 3 2 3" xfId="12041" xr:uid="{12252857-D7B5-47A9-B2E5-5B0049CFCA16}"/>
    <cellStyle name="Normal 8 2 2 3 2 3 3" xfId="5678" xr:uid="{00000000-0005-0000-0000-00004E1C0000}"/>
    <cellStyle name="Normal 8 2 2 3 2 3 3 2" xfId="14114" xr:uid="{9DB1E662-D725-412E-B5E8-5514C73A807D}"/>
    <cellStyle name="Normal 8 2 2 3 2 3 4" xfId="9896" xr:uid="{D5030546-F10B-4540-A83F-E69C3998882E}"/>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2" xr:uid="{FB9C91DA-91E5-402A-8904-D28C934B0923}"/>
    <cellStyle name="Normal 8 2 2 3 2 4 2 3" xfId="12454" xr:uid="{E4875901-4A45-45ED-B3C2-BD321BAE2DF8}"/>
    <cellStyle name="Normal 8 2 2 3 2 4 3" xfId="6091" xr:uid="{00000000-0005-0000-0000-0000521C0000}"/>
    <cellStyle name="Normal 8 2 2 3 2 4 3 2" xfId="14527" xr:uid="{04B534F0-3CD3-4451-BAC7-F192CB490800}"/>
    <cellStyle name="Normal 8 2 2 3 2 4 4" xfId="10309" xr:uid="{57FD712F-9845-4CC3-A284-C73F638EFB2A}"/>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5" xr:uid="{3A6C478C-C8CC-4154-82FE-57C3DCB482C5}"/>
    <cellStyle name="Normal 8 2 2 3 2 5 2 3" xfId="12867" xr:uid="{F57EC706-6B68-4A8B-9EED-BB34F35F17C7}"/>
    <cellStyle name="Normal 8 2 2 3 2 5 3" xfId="6504" xr:uid="{00000000-0005-0000-0000-0000561C0000}"/>
    <cellStyle name="Normal 8 2 2 3 2 5 3 2" xfId="14940" xr:uid="{3094FDC1-90BA-4C4E-82F7-E1A527C22BBA}"/>
    <cellStyle name="Normal 8 2 2 3 2 5 4" xfId="10722" xr:uid="{A0D26028-507D-4D19-AEB1-839C3267BAE0}"/>
    <cellStyle name="Normal 8 2 2 3 2 6" xfId="2633" xr:uid="{00000000-0005-0000-0000-0000571C0000}"/>
    <cellStyle name="Normal 8 2 2 3 2 6 2" xfId="6917" xr:uid="{00000000-0005-0000-0000-0000581C0000}"/>
    <cellStyle name="Normal 8 2 2 3 2 6 2 2" xfId="15353" xr:uid="{37E81162-2B92-4DAA-B3E2-542B3BD29518}"/>
    <cellStyle name="Normal 8 2 2 3 2 6 3" xfId="11135" xr:uid="{1B53379D-3302-4D1E-9B30-A93B8DE4CAD5}"/>
    <cellStyle name="Normal 8 2 2 3 2 7" xfId="4852" xr:uid="{00000000-0005-0000-0000-0000591C0000}"/>
    <cellStyle name="Normal 8 2 2 3 2 7 2" xfId="13288" xr:uid="{76368018-3DA8-4FEC-9110-85838CB1EB83}"/>
    <cellStyle name="Normal 8 2 2 3 2 8" xfId="9070" xr:uid="{88D82DC3-B09F-488F-A1E9-0483A10C82E6}"/>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5" xr:uid="{F32C965F-E02E-431B-ACD8-9DCC002A21D9}"/>
    <cellStyle name="Normal 8 2 2 3 3 2 3" xfId="11627" xr:uid="{4456F71D-0D4A-4672-806D-3C65B90F68E7}"/>
    <cellStyle name="Normal 8 2 2 3 3 3" xfId="5264" xr:uid="{00000000-0005-0000-0000-00005D1C0000}"/>
    <cellStyle name="Normal 8 2 2 3 3 3 2" xfId="13700" xr:uid="{87E83F7F-EE5D-47A8-8B0D-CBF06CE66FCE}"/>
    <cellStyle name="Normal 8 2 2 3 3 4" xfId="9482" xr:uid="{46D488FC-4543-4FCC-A012-15AB0D1E81CD}"/>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58" xr:uid="{A7A31423-428C-4162-A7C7-E64841A05604}"/>
    <cellStyle name="Normal 8 2 2 3 4 2 3" xfId="12040" xr:uid="{7EF68627-CF2B-48BF-8044-A656977DA2B7}"/>
    <cellStyle name="Normal 8 2 2 3 4 3" xfId="5677" xr:uid="{00000000-0005-0000-0000-0000611C0000}"/>
    <cellStyle name="Normal 8 2 2 3 4 3 2" xfId="14113" xr:uid="{38BC432A-7ADB-48D0-9A42-CD969129B019}"/>
    <cellStyle name="Normal 8 2 2 3 4 4" xfId="9895" xr:uid="{6259A8C3-B895-4AE4-A12E-34333150D0B5}"/>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1" xr:uid="{4E82801A-C736-4EF4-B021-826454DABCF6}"/>
    <cellStyle name="Normal 8 2 2 3 5 2 3" xfId="12453" xr:uid="{BAE2BFED-2FD7-401D-A36C-36BE9767463C}"/>
    <cellStyle name="Normal 8 2 2 3 5 3" xfId="6090" xr:uid="{00000000-0005-0000-0000-0000651C0000}"/>
    <cellStyle name="Normal 8 2 2 3 5 3 2" xfId="14526" xr:uid="{FDA325FE-C7B9-4B70-9ED1-0F742958471C}"/>
    <cellStyle name="Normal 8 2 2 3 5 4" xfId="10308" xr:uid="{AF358BC2-1AA3-4C25-98A8-8D5FFEDF36BB}"/>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4" xr:uid="{C5005A03-D289-4087-A179-2ED901233A5F}"/>
    <cellStyle name="Normal 8 2 2 3 6 2 3" xfId="12866" xr:uid="{A2948893-F242-489E-93F9-626887C5CCA7}"/>
    <cellStyle name="Normal 8 2 2 3 6 3" xfId="6503" xr:uid="{00000000-0005-0000-0000-0000691C0000}"/>
    <cellStyle name="Normal 8 2 2 3 6 3 2" xfId="14939" xr:uid="{8F929CAF-41B0-4051-B650-547DB1512224}"/>
    <cellStyle name="Normal 8 2 2 3 6 4" xfId="10721" xr:uid="{28A5577E-F303-4172-9384-FDDFBA4C4F1B}"/>
    <cellStyle name="Normal 8 2 2 3 7" xfId="2632" xr:uid="{00000000-0005-0000-0000-00006A1C0000}"/>
    <cellStyle name="Normal 8 2 2 3 7 2" xfId="6916" xr:uid="{00000000-0005-0000-0000-00006B1C0000}"/>
    <cellStyle name="Normal 8 2 2 3 7 2 2" xfId="15352" xr:uid="{DDDC29E3-AB5A-49EB-8C1A-EC7C95B8A84D}"/>
    <cellStyle name="Normal 8 2 2 3 7 3" xfId="11134" xr:uid="{4BD97706-2121-4C78-9908-F104D0E4940B}"/>
    <cellStyle name="Normal 8 2 2 3 8" xfId="4851" xr:uid="{00000000-0005-0000-0000-00006C1C0000}"/>
    <cellStyle name="Normal 8 2 2 3 8 2" xfId="13287" xr:uid="{CC01A7E1-1720-404C-8809-7594F01FED7A}"/>
    <cellStyle name="Normal 8 2 2 3 9" xfId="9069" xr:uid="{11B9AA78-41E2-44CA-AA12-726018FE1901}"/>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47" xr:uid="{B77A1D28-0B67-4A41-B992-C726B108D98C}"/>
    <cellStyle name="Normal 8 2 2 4 2 2 3" xfId="11629" xr:uid="{835C2B63-741A-492F-B938-9366E6EB053F}"/>
    <cellStyle name="Normal 8 2 2 4 2 3" xfId="5266" xr:uid="{00000000-0005-0000-0000-0000711C0000}"/>
    <cellStyle name="Normal 8 2 2 4 2 3 2" xfId="13702" xr:uid="{70C836E0-734B-49B5-9C2E-A1256C6E7D79}"/>
    <cellStyle name="Normal 8 2 2 4 2 4" xfId="9484" xr:uid="{EADAA36A-A1BF-424E-B0E4-FF5558DAAB0E}"/>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0" xr:uid="{0A09C170-89BB-42C9-859D-90D90E8519C0}"/>
    <cellStyle name="Normal 8 2 2 4 3 2 3" xfId="12042" xr:uid="{10FBFA8B-9FF3-4D64-B0CF-63F101069C31}"/>
    <cellStyle name="Normal 8 2 2 4 3 3" xfId="5679" xr:uid="{00000000-0005-0000-0000-0000751C0000}"/>
    <cellStyle name="Normal 8 2 2 4 3 3 2" xfId="14115" xr:uid="{9DA6B322-F6F1-473B-B4F8-02780772D9F9}"/>
    <cellStyle name="Normal 8 2 2 4 3 4" xfId="9897" xr:uid="{6D73C069-C1A4-4913-991C-FAEACF239966}"/>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3" xr:uid="{9164B96C-80D0-40C6-905A-EE3A43A74A02}"/>
    <cellStyle name="Normal 8 2 2 4 4 2 3" xfId="12455" xr:uid="{B0A42C82-01F7-4832-8C59-C6F4F59221D8}"/>
    <cellStyle name="Normal 8 2 2 4 4 3" xfId="6092" xr:uid="{00000000-0005-0000-0000-0000791C0000}"/>
    <cellStyle name="Normal 8 2 2 4 4 3 2" xfId="14528" xr:uid="{37FB44C5-BBB1-4AC0-B399-AA908C6CDCA3}"/>
    <cellStyle name="Normal 8 2 2 4 4 4" xfId="10310" xr:uid="{6C91DC7F-969B-4EB6-913C-064C4779C907}"/>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6" xr:uid="{2A9EF18C-6F8F-4EDD-9D65-7573021640E9}"/>
    <cellStyle name="Normal 8 2 2 4 5 2 3" xfId="12868" xr:uid="{AF329B2B-8575-498E-9775-B4B0DBCDA941}"/>
    <cellStyle name="Normal 8 2 2 4 5 3" xfId="6505" xr:uid="{00000000-0005-0000-0000-00007D1C0000}"/>
    <cellStyle name="Normal 8 2 2 4 5 3 2" xfId="14941" xr:uid="{AFCE406C-8118-45A9-80FA-41FA647EF407}"/>
    <cellStyle name="Normal 8 2 2 4 5 4" xfId="10723" xr:uid="{C88A3FA5-9C16-4919-BB6D-62F6639A5904}"/>
    <cellStyle name="Normal 8 2 2 4 6" xfId="2634" xr:uid="{00000000-0005-0000-0000-00007E1C0000}"/>
    <cellStyle name="Normal 8 2 2 4 6 2" xfId="6918" xr:uid="{00000000-0005-0000-0000-00007F1C0000}"/>
    <cellStyle name="Normal 8 2 2 4 6 2 2" xfId="15354" xr:uid="{40088BAC-E30A-4FEB-81BB-69245258A095}"/>
    <cellStyle name="Normal 8 2 2 4 6 3" xfId="11136" xr:uid="{C4602763-333C-419F-938F-B5A317728CC7}"/>
    <cellStyle name="Normal 8 2 2 4 7" xfId="4853" xr:uid="{00000000-0005-0000-0000-0000801C0000}"/>
    <cellStyle name="Normal 8 2 2 4 7 2" xfId="13289" xr:uid="{CE1E6CC4-1418-41A3-B855-A875FE43C2B8}"/>
    <cellStyle name="Normal 8 2 2 4 8" xfId="9071" xr:uid="{0CE11FE3-E02C-48D3-82D5-64FB19413823}"/>
    <cellStyle name="Normal 8 2 2 5" xfId="947" xr:uid="{00000000-0005-0000-0000-0000811C0000}"/>
    <cellStyle name="Normal 8 2 2 5 2" xfId="3181" xr:uid="{00000000-0005-0000-0000-0000821C0000}"/>
    <cellStyle name="Normal 8 2 2 5 2 2" xfId="7404" xr:uid="{00000000-0005-0000-0000-0000831C0000}"/>
    <cellStyle name="Normal 8 2 2 5 2 2 2" xfId="15840" xr:uid="{A1E09B57-AA2E-49DB-BA47-D4C4209E4839}"/>
    <cellStyle name="Normal 8 2 2 5 2 3" xfId="11622" xr:uid="{3B3F8712-8612-4F54-A1E0-6FFD96A2EA24}"/>
    <cellStyle name="Normal 8 2 2 5 3" xfId="5259" xr:uid="{00000000-0005-0000-0000-0000841C0000}"/>
    <cellStyle name="Normal 8 2 2 5 3 2" xfId="13695" xr:uid="{851CB0AE-3381-4EF3-AC10-153DD427E18F}"/>
    <cellStyle name="Normal 8 2 2 5 4" xfId="9477" xr:uid="{D021B738-D224-40D5-9F37-C0BD8FB18111}"/>
    <cellStyle name="Normal 8 2 2 6" xfId="1364" xr:uid="{00000000-0005-0000-0000-0000851C0000}"/>
    <cellStyle name="Normal 8 2 2 6 2" xfId="3594" xr:uid="{00000000-0005-0000-0000-0000861C0000}"/>
    <cellStyle name="Normal 8 2 2 6 2 2" xfId="7817" xr:uid="{00000000-0005-0000-0000-0000871C0000}"/>
    <cellStyle name="Normal 8 2 2 6 2 2 2" xfId="16253" xr:uid="{B795C6A3-AC7C-453B-B401-945CAB8CCB1B}"/>
    <cellStyle name="Normal 8 2 2 6 2 3" xfId="12035" xr:uid="{4BF5297C-016D-4A18-9BEF-29F6007D6E57}"/>
    <cellStyle name="Normal 8 2 2 6 3" xfId="5672" xr:uid="{00000000-0005-0000-0000-0000881C0000}"/>
    <cellStyle name="Normal 8 2 2 6 3 2" xfId="14108" xr:uid="{1126FD69-BA41-4A38-84A4-D51BEADC651D}"/>
    <cellStyle name="Normal 8 2 2 6 4" xfId="9890" xr:uid="{27E4488A-35F0-4A86-BC8E-52719329554A}"/>
    <cellStyle name="Normal 8 2 2 7" xfId="1777" xr:uid="{00000000-0005-0000-0000-0000891C0000}"/>
    <cellStyle name="Normal 8 2 2 7 2" xfId="4007" xr:uid="{00000000-0005-0000-0000-00008A1C0000}"/>
    <cellStyle name="Normal 8 2 2 7 2 2" xfId="8230" xr:uid="{00000000-0005-0000-0000-00008B1C0000}"/>
    <cellStyle name="Normal 8 2 2 7 2 2 2" xfId="16666" xr:uid="{8A428C70-BAEC-4326-85DB-1B9A0059D2AF}"/>
    <cellStyle name="Normal 8 2 2 7 2 3" xfId="12448" xr:uid="{1F39754F-70CE-41C9-B1B0-45DE683F22C9}"/>
    <cellStyle name="Normal 8 2 2 7 3" xfId="6085" xr:uid="{00000000-0005-0000-0000-00008C1C0000}"/>
    <cellStyle name="Normal 8 2 2 7 3 2" xfId="14521" xr:uid="{9C582793-92E0-43E0-8012-E42DE2A18592}"/>
    <cellStyle name="Normal 8 2 2 7 4" xfId="10303" xr:uid="{FDD99BD4-3615-430E-8F67-A95FD9F5BAD0}"/>
    <cellStyle name="Normal 8 2 2 8" xfId="2191" xr:uid="{00000000-0005-0000-0000-00008D1C0000}"/>
    <cellStyle name="Normal 8 2 2 8 2" xfId="4420" xr:uid="{00000000-0005-0000-0000-00008E1C0000}"/>
    <cellStyle name="Normal 8 2 2 8 2 2" xfId="8643" xr:uid="{00000000-0005-0000-0000-00008F1C0000}"/>
    <cellStyle name="Normal 8 2 2 8 2 2 2" xfId="17079" xr:uid="{06789301-A862-43A6-80D9-D07AB685D492}"/>
    <cellStyle name="Normal 8 2 2 8 2 3" xfId="12861" xr:uid="{6AC74364-08EF-4FBC-82E3-7B67F7A54561}"/>
    <cellStyle name="Normal 8 2 2 8 3" xfId="6498" xr:uid="{00000000-0005-0000-0000-0000901C0000}"/>
    <cellStyle name="Normal 8 2 2 8 3 2" xfId="14934" xr:uid="{CECA1D32-5B92-4EB6-AC50-B60EDDE34A02}"/>
    <cellStyle name="Normal 8 2 2 8 4" xfId="10716" xr:uid="{FE5BE962-8A96-4FCD-B6CF-6D02A558B96F}"/>
    <cellStyle name="Normal 8 2 2 9" xfId="2627" xr:uid="{00000000-0005-0000-0000-0000911C0000}"/>
    <cellStyle name="Normal 8 2 2 9 2" xfId="6911" xr:uid="{00000000-0005-0000-0000-0000921C0000}"/>
    <cellStyle name="Normal 8 2 2 9 2 2" xfId="15347" xr:uid="{DD7E8B8D-79BA-46FE-A237-AF40DBF8A08C}"/>
    <cellStyle name="Normal 8 2 2 9 3" xfId="11129" xr:uid="{AA923243-C3CD-42C0-ADC6-35AD3EF72929}"/>
    <cellStyle name="Normal 8 2 3" xfId="488" xr:uid="{00000000-0005-0000-0000-0000931C0000}"/>
    <cellStyle name="Normal 8 2 3 10" xfId="9072" xr:uid="{9E232B10-6A2D-4044-9DA6-1C27ED8A0824}"/>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0" xr:uid="{17BE6A90-494F-4177-AB1A-14F222F58CDC}"/>
    <cellStyle name="Normal 8 2 3 2 2 2 2 3" xfId="11632" xr:uid="{65037124-EF60-4201-9454-7323AE654D58}"/>
    <cellStyle name="Normal 8 2 3 2 2 2 3" xfId="5269" xr:uid="{00000000-0005-0000-0000-0000991C0000}"/>
    <cellStyle name="Normal 8 2 3 2 2 2 3 2" xfId="13705" xr:uid="{1EE9EA6A-11F4-45D9-8BFD-8BED27B88D2E}"/>
    <cellStyle name="Normal 8 2 3 2 2 2 4" xfId="9487" xr:uid="{23AE65DA-1B4F-4D12-BF95-68BCC6E36BB4}"/>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3" xr:uid="{FFAF2EC0-8088-4A0F-8C7E-DBF28BE43E9A}"/>
    <cellStyle name="Normal 8 2 3 2 2 3 2 3" xfId="12045" xr:uid="{12C9D06C-4D93-419E-902D-CD81143A933D}"/>
    <cellStyle name="Normal 8 2 3 2 2 3 3" xfId="5682" xr:uid="{00000000-0005-0000-0000-00009D1C0000}"/>
    <cellStyle name="Normal 8 2 3 2 2 3 3 2" xfId="14118" xr:uid="{B8142E16-4CDF-40F7-8C83-AE478CDBB0A3}"/>
    <cellStyle name="Normal 8 2 3 2 2 3 4" xfId="9900" xr:uid="{BEF97FD5-27F3-4449-B149-ED79CE76B223}"/>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6" xr:uid="{E845D745-10A6-4E4B-B380-28DDB00E5573}"/>
    <cellStyle name="Normal 8 2 3 2 2 4 2 3" xfId="12458" xr:uid="{3D098CB4-4381-48B0-9568-C2287A763EBD}"/>
    <cellStyle name="Normal 8 2 3 2 2 4 3" xfId="6095" xr:uid="{00000000-0005-0000-0000-0000A11C0000}"/>
    <cellStyle name="Normal 8 2 3 2 2 4 3 2" xfId="14531" xr:uid="{19CAD1D4-F1AB-4D8C-925A-EDD80F5B077C}"/>
    <cellStyle name="Normal 8 2 3 2 2 4 4" xfId="10313" xr:uid="{CB8BD3DC-5A62-43CF-856F-9EAAC50A52A7}"/>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89" xr:uid="{4649F6B2-BAEA-442C-83F4-2A82CD89C644}"/>
    <cellStyle name="Normal 8 2 3 2 2 5 2 3" xfId="12871" xr:uid="{C08EBD4B-461A-436C-981C-402743894AC8}"/>
    <cellStyle name="Normal 8 2 3 2 2 5 3" xfId="6508" xr:uid="{00000000-0005-0000-0000-0000A51C0000}"/>
    <cellStyle name="Normal 8 2 3 2 2 5 3 2" xfId="14944" xr:uid="{D616246F-5DE5-4412-A853-0D9E890EBD41}"/>
    <cellStyle name="Normal 8 2 3 2 2 5 4" xfId="10726" xr:uid="{C9EB2249-F1FE-431F-8956-3137EAA224FC}"/>
    <cellStyle name="Normal 8 2 3 2 2 6" xfId="2637" xr:uid="{00000000-0005-0000-0000-0000A61C0000}"/>
    <cellStyle name="Normal 8 2 3 2 2 6 2" xfId="6921" xr:uid="{00000000-0005-0000-0000-0000A71C0000}"/>
    <cellStyle name="Normal 8 2 3 2 2 6 2 2" xfId="15357" xr:uid="{F22ED7BC-F693-4D59-BDD8-C601ADA1D6F9}"/>
    <cellStyle name="Normal 8 2 3 2 2 6 3" xfId="11139" xr:uid="{8A1BFB41-510C-4946-A02E-7C5C03E80953}"/>
    <cellStyle name="Normal 8 2 3 2 2 7" xfId="4856" xr:uid="{00000000-0005-0000-0000-0000A81C0000}"/>
    <cellStyle name="Normal 8 2 3 2 2 7 2" xfId="13292" xr:uid="{911CD20D-8AAF-4862-9D9D-20DC2C39BC15}"/>
    <cellStyle name="Normal 8 2 3 2 2 8" xfId="9074" xr:uid="{7BA53030-100C-4927-88CD-8A127BDDCFAE}"/>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49" xr:uid="{3DDE1158-6B89-4637-82E2-C96ED7239F2F}"/>
    <cellStyle name="Normal 8 2 3 2 3 2 3" xfId="11631" xr:uid="{48DA7D66-5E84-4F50-8C7B-452BF95C467E}"/>
    <cellStyle name="Normal 8 2 3 2 3 3" xfId="5268" xr:uid="{00000000-0005-0000-0000-0000AC1C0000}"/>
    <cellStyle name="Normal 8 2 3 2 3 3 2" xfId="13704" xr:uid="{4BE7D293-55C9-41A6-862F-6C3B71126522}"/>
    <cellStyle name="Normal 8 2 3 2 3 4" xfId="9486" xr:uid="{AE089E66-64F7-4B72-A9EF-4E9EC5A95AFC}"/>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2" xr:uid="{4997BE0F-C22B-4878-8861-498769ED05CD}"/>
    <cellStyle name="Normal 8 2 3 2 4 2 3" xfId="12044" xr:uid="{D5512929-1EB8-4F0A-85AF-BBCDAB05E8AA}"/>
    <cellStyle name="Normal 8 2 3 2 4 3" xfId="5681" xr:uid="{00000000-0005-0000-0000-0000B01C0000}"/>
    <cellStyle name="Normal 8 2 3 2 4 3 2" xfId="14117" xr:uid="{47BF27E3-3B11-4649-AED5-71D4701E41C0}"/>
    <cellStyle name="Normal 8 2 3 2 4 4" xfId="9899" xr:uid="{618BB503-0DB3-4C08-BD5B-6B399FB62B72}"/>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5" xr:uid="{097299CB-678D-4FD6-AC3C-5B50F9C80A71}"/>
    <cellStyle name="Normal 8 2 3 2 5 2 3" xfId="12457" xr:uid="{24353EBB-249D-49EE-BAF3-BC7F39F535E3}"/>
    <cellStyle name="Normal 8 2 3 2 5 3" xfId="6094" xr:uid="{00000000-0005-0000-0000-0000B41C0000}"/>
    <cellStyle name="Normal 8 2 3 2 5 3 2" xfId="14530" xr:uid="{2BE21891-42C6-4808-A8C2-8AFBBB07E70F}"/>
    <cellStyle name="Normal 8 2 3 2 5 4" xfId="10312" xr:uid="{476C12C0-080C-4680-B21B-9E50736C3174}"/>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88" xr:uid="{31BD8C97-7BAA-42D0-9445-A21B3A0BA4EA}"/>
    <cellStyle name="Normal 8 2 3 2 6 2 3" xfId="12870" xr:uid="{776757AE-68C9-4523-A76E-1F5F4CC7EF7F}"/>
    <cellStyle name="Normal 8 2 3 2 6 3" xfId="6507" xr:uid="{00000000-0005-0000-0000-0000B81C0000}"/>
    <cellStyle name="Normal 8 2 3 2 6 3 2" xfId="14943" xr:uid="{ED284A33-0B2E-4B50-AF8C-AEB03809E9EE}"/>
    <cellStyle name="Normal 8 2 3 2 6 4" xfId="10725" xr:uid="{9976F136-37D6-4E4B-A353-54C6E576C9D5}"/>
    <cellStyle name="Normal 8 2 3 2 7" xfId="2636" xr:uid="{00000000-0005-0000-0000-0000B91C0000}"/>
    <cellStyle name="Normal 8 2 3 2 7 2" xfId="6920" xr:uid="{00000000-0005-0000-0000-0000BA1C0000}"/>
    <cellStyle name="Normal 8 2 3 2 7 2 2" xfId="15356" xr:uid="{7F9176CB-AC4D-4332-AC13-380A585E6F9F}"/>
    <cellStyle name="Normal 8 2 3 2 7 3" xfId="11138" xr:uid="{4E1A7BE8-4F75-49AA-9220-22826B698799}"/>
    <cellStyle name="Normal 8 2 3 2 8" xfId="4855" xr:uid="{00000000-0005-0000-0000-0000BB1C0000}"/>
    <cellStyle name="Normal 8 2 3 2 8 2" xfId="13291" xr:uid="{FDA77F28-1D5B-4A8D-95AE-25A6274414AA}"/>
    <cellStyle name="Normal 8 2 3 2 9" xfId="9073" xr:uid="{2423069E-3100-4A0B-8522-0C596E73B69F}"/>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1" xr:uid="{9C9D9FB4-FF8C-4E33-A63E-6315F76298FD}"/>
    <cellStyle name="Normal 8 2 3 3 2 2 3" xfId="11633" xr:uid="{A5B0C241-3AD3-4C97-B836-F6E6D9B61202}"/>
    <cellStyle name="Normal 8 2 3 3 2 3" xfId="5270" xr:uid="{00000000-0005-0000-0000-0000C01C0000}"/>
    <cellStyle name="Normal 8 2 3 3 2 3 2" xfId="13706" xr:uid="{4A79BC0D-10E6-443D-933A-285D06D7F4F1}"/>
    <cellStyle name="Normal 8 2 3 3 2 4" xfId="9488" xr:uid="{AF5AA032-58AC-4A72-BBF8-A51EE9822D23}"/>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4" xr:uid="{6DF5F5E0-1072-45D3-8E97-1B9E28BE1DEB}"/>
    <cellStyle name="Normal 8 2 3 3 3 2 3" xfId="12046" xr:uid="{2DC0CE9A-F70E-4278-A2A9-96FE35C45D11}"/>
    <cellStyle name="Normal 8 2 3 3 3 3" xfId="5683" xr:uid="{00000000-0005-0000-0000-0000C41C0000}"/>
    <cellStyle name="Normal 8 2 3 3 3 3 2" xfId="14119" xr:uid="{C9D92853-AAC8-4BAA-9E6D-424564D02C26}"/>
    <cellStyle name="Normal 8 2 3 3 3 4" xfId="9901" xr:uid="{F3BFDBBC-D25A-49D3-98B5-2E875BCFE2D2}"/>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77" xr:uid="{787B6947-45F8-4862-BE36-BFED4E48A44D}"/>
    <cellStyle name="Normal 8 2 3 3 4 2 3" xfId="12459" xr:uid="{4D9ADB44-E9AF-453B-89E0-99E7445C3901}"/>
    <cellStyle name="Normal 8 2 3 3 4 3" xfId="6096" xr:uid="{00000000-0005-0000-0000-0000C81C0000}"/>
    <cellStyle name="Normal 8 2 3 3 4 3 2" xfId="14532" xr:uid="{D0560C74-D854-4102-8D61-B35199D9F42C}"/>
    <cellStyle name="Normal 8 2 3 3 4 4" xfId="10314" xr:uid="{F879D514-8094-4645-8F98-084E53F46A65}"/>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0" xr:uid="{A5420C9C-8A40-44AD-A009-F0F535EFEE2B}"/>
    <cellStyle name="Normal 8 2 3 3 5 2 3" xfId="12872" xr:uid="{2026DFFB-CE8F-496A-91F6-FADD4F5E8C64}"/>
    <cellStyle name="Normal 8 2 3 3 5 3" xfId="6509" xr:uid="{00000000-0005-0000-0000-0000CC1C0000}"/>
    <cellStyle name="Normal 8 2 3 3 5 3 2" xfId="14945" xr:uid="{D638F4BC-402A-4999-8ABC-2748EBFDD953}"/>
    <cellStyle name="Normal 8 2 3 3 5 4" xfId="10727" xr:uid="{50C030D3-C25D-49FD-83CF-4FA17B2B9F39}"/>
    <cellStyle name="Normal 8 2 3 3 6" xfId="2638" xr:uid="{00000000-0005-0000-0000-0000CD1C0000}"/>
    <cellStyle name="Normal 8 2 3 3 6 2" xfId="6922" xr:uid="{00000000-0005-0000-0000-0000CE1C0000}"/>
    <cellStyle name="Normal 8 2 3 3 6 2 2" xfId="15358" xr:uid="{92B3D3DD-F3EF-4087-9CBA-711DCB1DFDF1}"/>
    <cellStyle name="Normal 8 2 3 3 6 3" xfId="11140" xr:uid="{0268EA6E-A3C9-414A-8442-9D11FA230F35}"/>
    <cellStyle name="Normal 8 2 3 3 7" xfId="4857" xr:uid="{00000000-0005-0000-0000-0000CF1C0000}"/>
    <cellStyle name="Normal 8 2 3 3 7 2" xfId="13293" xr:uid="{D87A4939-F68D-43F3-A284-DCE2B67F7417}"/>
    <cellStyle name="Normal 8 2 3 3 8" xfId="9075" xr:uid="{90387094-C4A1-492A-B4AE-6865721896D5}"/>
    <cellStyle name="Normal 8 2 3 4" xfId="955" xr:uid="{00000000-0005-0000-0000-0000D01C0000}"/>
    <cellStyle name="Normal 8 2 3 4 2" xfId="3189" xr:uid="{00000000-0005-0000-0000-0000D11C0000}"/>
    <cellStyle name="Normal 8 2 3 4 2 2" xfId="7412" xr:uid="{00000000-0005-0000-0000-0000D21C0000}"/>
    <cellStyle name="Normal 8 2 3 4 2 2 2" xfId="15848" xr:uid="{D85D1842-A00F-4851-9754-036C63F8071B}"/>
    <cellStyle name="Normal 8 2 3 4 2 3" xfId="11630" xr:uid="{88D8CADF-9983-45A1-B173-047F50A787F4}"/>
    <cellStyle name="Normal 8 2 3 4 3" xfId="5267" xr:uid="{00000000-0005-0000-0000-0000D31C0000}"/>
    <cellStyle name="Normal 8 2 3 4 3 2" xfId="13703" xr:uid="{C9411D44-F1D8-4067-BA4A-3FFDD0F4F8D0}"/>
    <cellStyle name="Normal 8 2 3 4 4" xfId="9485" xr:uid="{E6A8D1BD-259B-4992-B3DD-54C09B82B22E}"/>
    <cellStyle name="Normal 8 2 3 5" xfId="1372" xr:uid="{00000000-0005-0000-0000-0000D41C0000}"/>
    <cellStyle name="Normal 8 2 3 5 2" xfId="3602" xr:uid="{00000000-0005-0000-0000-0000D51C0000}"/>
    <cellStyle name="Normal 8 2 3 5 2 2" xfId="7825" xr:uid="{00000000-0005-0000-0000-0000D61C0000}"/>
    <cellStyle name="Normal 8 2 3 5 2 2 2" xfId="16261" xr:uid="{0029B1DD-6F20-413C-A928-814CB9B785C6}"/>
    <cellStyle name="Normal 8 2 3 5 2 3" xfId="12043" xr:uid="{66BA403D-9D1D-4487-9D33-2139623A9C9A}"/>
    <cellStyle name="Normal 8 2 3 5 3" xfId="5680" xr:uid="{00000000-0005-0000-0000-0000D71C0000}"/>
    <cellStyle name="Normal 8 2 3 5 3 2" xfId="14116" xr:uid="{D9AD9A0B-23D7-44D3-A0B7-F4EEE776E3B7}"/>
    <cellStyle name="Normal 8 2 3 5 4" xfId="9898" xr:uid="{F552CC59-AEFC-4683-AA06-505552C32705}"/>
    <cellStyle name="Normal 8 2 3 6" xfId="1785" xr:uid="{00000000-0005-0000-0000-0000D81C0000}"/>
    <cellStyle name="Normal 8 2 3 6 2" xfId="4015" xr:uid="{00000000-0005-0000-0000-0000D91C0000}"/>
    <cellStyle name="Normal 8 2 3 6 2 2" xfId="8238" xr:uid="{00000000-0005-0000-0000-0000DA1C0000}"/>
    <cellStyle name="Normal 8 2 3 6 2 2 2" xfId="16674" xr:uid="{E2B07854-1E07-4DE2-9E2A-347E94A319DF}"/>
    <cellStyle name="Normal 8 2 3 6 2 3" xfId="12456" xr:uid="{1F8A9600-8B59-4ADC-8B79-D524DE8BB27F}"/>
    <cellStyle name="Normal 8 2 3 6 3" xfId="6093" xr:uid="{00000000-0005-0000-0000-0000DB1C0000}"/>
    <cellStyle name="Normal 8 2 3 6 3 2" xfId="14529" xr:uid="{1754A487-3816-473C-831C-81F9E39F3FDB}"/>
    <cellStyle name="Normal 8 2 3 6 4" xfId="10311" xr:uid="{C99F2968-1372-46E3-8AFF-16754CDCC9E4}"/>
    <cellStyle name="Normal 8 2 3 7" xfId="2199" xr:uid="{00000000-0005-0000-0000-0000DC1C0000}"/>
    <cellStyle name="Normal 8 2 3 7 2" xfId="4428" xr:uid="{00000000-0005-0000-0000-0000DD1C0000}"/>
    <cellStyle name="Normal 8 2 3 7 2 2" xfId="8651" xr:uid="{00000000-0005-0000-0000-0000DE1C0000}"/>
    <cellStyle name="Normal 8 2 3 7 2 2 2" xfId="17087" xr:uid="{E3FF4B29-EFC6-4507-9739-54C1975AE791}"/>
    <cellStyle name="Normal 8 2 3 7 2 3" xfId="12869" xr:uid="{02D2167B-C43F-4425-9FA8-0366713DC08D}"/>
    <cellStyle name="Normal 8 2 3 7 3" xfId="6506" xr:uid="{00000000-0005-0000-0000-0000DF1C0000}"/>
    <cellStyle name="Normal 8 2 3 7 3 2" xfId="14942" xr:uid="{17537C2E-C1B9-4213-993E-08C321FCE33F}"/>
    <cellStyle name="Normal 8 2 3 7 4" xfId="10724" xr:uid="{FDBB3D87-1EC5-4DFC-9052-E58045222C04}"/>
    <cellStyle name="Normal 8 2 3 8" xfId="2635" xr:uid="{00000000-0005-0000-0000-0000E01C0000}"/>
    <cellStyle name="Normal 8 2 3 8 2" xfId="6919" xr:uid="{00000000-0005-0000-0000-0000E11C0000}"/>
    <cellStyle name="Normal 8 2 3 8 2 2" xfId="15355" xr:uid="{0AE0C1EF-85C5-46C1-96F3-855E1A923D9E}"/>
    <cellStyle name="Normal 8 2 3 8 3" xfId="11137" xr:uid="{7D0BCBCA-2F83-43D3-8E23-D03888959CD7}"/>
    <cellStyle name="Normal 8 2 3 9" xfId="4854" xr:uid="{00000000-0005-0000-0000-0000E21C0000}"/>
    <cellStyle name="Normal 8 2 3 9 2" xfId="13290" xr:uid="{0A2EABEF-1D37-4BE4-90AC-733308FC4635}"/>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3" xr:uid="{AFD5A150-D909-4B74-AF3B-6CC0D91AF220}"/>
    <cellStyle name="Normal 8 2 4 2 2 2 3" xfId="11635" xr:uid="{8E881969-11B0-4C99-838C-D94EF74C3343}"/>
    <cellStyle name="Normal 8 2 4 2 2 3" xfId="5272" xr:uid="{00000000-0005-0000-0000-0000E81C0000}"/>
    <cellStyle name="Normal 8 2 4 2 2 3 2" xfId="13708" xr:uid="{33BA1F25-E1E6-46A7-90A8-50D438BC6C89}"/>
    <cellStyle name="Normal 8 2 4 2 2 4" xfId="9490" xr:uid="{1F89748D-B99F-492F-AB6F-F628DE570FC5}"/>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6" xr:uid="{5A50D2F0-906C-428A-B808-94E650F50089}"/>
    <cellStyle name="Normal 8 2 4 2 3 2 3" xfId="12048" xr:uid="{6C92FAE7-A699-4327-9233-18E126EA1ABF}"/>
    <cellStyle name="Normal 8 2 4 2 3 3" xfId="5685" xr:uid="{00000000-0005-0000-0000-0000EC1C0000}"/>
    <cellStyle name="Normal 8 2 4 2 3 3 2" xfId="14121" xr:uid="{06D4243D-34D5-4640-9EA7-823680860B36}"/>
    <cellStyle name="Normal 8 2 4 2 3 4" xfId="9903" xr:uid="{98ABCD1B-0E30-4822-A1A1-13906BB335F4}"/>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79" xr:uid="{183744C4-583D-40CD-84BF-08F63D55FAAD}"/>
    <cellStyle name="Normal 8 2 4 2 4 2 3" xfId="12461" xr:uid="{3EBD58ED-0271-4CA2-9576-688DE6F0F1E2}"/>
    <cellStyle name="Normal 8 2 4 2 4 3" xfId="6098" xr:uid="{00000000-0005-0000-0000-0000F01C0000}"/>
    <cellStyle name="Normal 8 2 4 2 4 3 2" xfId="14534" xr:uid="{F5B711BD-83B5-4137-866E-76BAA9DEAEF6}"/>
    <cellStyle name="Normal 8 2 4 2 4 4" xfId="10316" xr:uid="{24AF10B1-D783-47D4-B14F-E80BF79885EE}"/>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2" xr:uid="{E702D63E-13C6-4CD3-84EE-F5DB8806A0CD}"/>
    <cellStyle name="Normal 8 2 4 2 5 2 3" xfId="12874" xr:uid="{5FAA9BBB-516C-411E-A269-D1C3EC8E142C}"/>
    <cellStyle name="Normal 8 2 4 2 5 3" xfId="6511" xr:uid="{00000000-0005-0000-0000-0000F41C0000}"/>
    <cellStyle name="Normal 8 2 4 2 5 3 2" xfId="14947" xr:uid="{BD00A64F-444D-46BE-BCA8-C20B8997EFA4}"/>
    <cellStyle name="Normal 8 2 4 2 5 4" xfId="10729" xr:uid="{0667E1A0-4922-4876-8C74-9DB7AC48E867}"/>
    <cellStyle name="Normal 8 2 4 2 6" xfId="2640" xr:uid="{00000000-0005-0000-0000-0000F51C0000}"/>
    <cellStyle name="Normal 8 2 4 2 6 2" xfId="6924" xr:uid="{00000000-0005-0000-0000-0000F61C0000}"/>
    <cellStyle name="Normal 8 2 4 2 6 2 2" xfId="15360" xr:uid="{F42906E9-30BD-474B-996B-09186774C1B3}"/>
    <cellStyle name="Normal 8 2 4 2 6 3" xfId="11142" xr:uid="{11713AF1-D447-4043-A9EA-FC700A6F2F69}"/>
    <cellStyle name="Normal 8 2 4 2 7" xfId="4859" xr:uid="{00000000-0005-0000-0000-0000F71C0000}"/>
    <cellStyle name="Normal 8 2 4 2 7 2" xfId="13295" xr:uid="{5BF6D7C2-1E6F-4798-A289-1D071159528D}"/>
    <cellStyle name="Normal 8 2 4 2 8" xfId="9077" xr:uid="{412507A9-EC1C-4744-BC40-25E447E57ECE}"/>
    <cellStyle name="Normal 8 2 4 3" xfId="959" xr:uid="{00000000-0005-0000-0000-0000F81C0000}"/>
    <cellStyle name="Normal 8 2 4 3 2" xfId="3193" xr:uid="{00000000-0005-0000-0000-0000F91C0000}"/>
    <cellStyle name="Normal 8 2 4 3 2 2" xfId="7416" xr:uid="{00000000-0005-0000-0000-0000FA1C0000}"/>
    <cellStyle name="Normal 8 2 4 3 2 2 2" xfId="15852" xr:uid="{5A08BAA7-AD9D-4015-8EA6-872B74116497}"/>
    <cellStyle name="Normal 8 2 4 3 2 3" xfId="11634" xr:uid="{4BE25F21-7804-43BC-9F2A-B52CA7F763E1}"/>
    <cellStyle name="Normal 8 2 4 3 3" xfId="5271" xr:uid="{00000000-0005-0000-0000-0000FB1C0000}"/>
    <cellStyle name="Normal 8 2 4 3 3 2" xfId="13707" xr:uid="{91D1B1A4-E00E-449A-9E6D-A2A1FAAE05E1}"/>
    <cellStyle name="Normal 8 2 4 3 4" xfId="9489" xr:uid="{6A38C9B2-5AB5-415F-9FBE-05D2EA81A7BB}"/>
    <cellStyle name="Normal 8 2 4 4" xfId="1376" xr:uid="{00000000-0005-0000-0000-0000FC1C0000}"/>
    <cellStyle name="Normal 8 2 4 4 2" xfId="3606" xr:uid="{00000000-0005-0000-0000-0000FD1C0000}"/>
    <cellStyle name="Normal 8 2 4 4 2 2" xfId="7829" xr:uid="{00000000-0005-0000-0000-0000FE1C0000}"/>
    <cellStyle name="Normal 8 2 4 4 2 2 2" xfId="16265" xr:uid="{FABD9600-1D86-4F61-BF5C-682765738ECA}"/>
    <cellStyle name="Normal 8 2 4 4 2 3" xfId="12047" xr:uid="{4363DA5A-EF1C-4764-83B2-135B35F995E5}"/>
    <cellStyle name="Normal 8 2 4 4 3" xfId="5684" xr:uid="{00000000-0005-0000-0000-0000FF1C0000}"/>
    <cellStyle name="Normal 8 2 4 4 3 2" xfId="14120" xr:uid="{FD138D4B-7753-4D2B-B1CC-32D0605205F4}"/>
    <cellStyle name="Normal 8 2 4 4 4" xfId="9902" xr:uid="{DD29A484-6AF1-4DA4-9BC2-C3B980D75088}"/>
    <cellStyle name="Normal 8 2 4 5" xfId="1789" xr:uid="{00000000-0005-0000-0000-0000001D0000}"/>
    <cellStyle name="Normal 8 2 4 5 2" xfId="4019" xr:uid="{00000000-0005-0000-0000-0000011D0000}"/>
    <cellStyle name="Normal 8 2 4 5 2 2" xfId="8242" xr:uid="{00000000-0005-0000-0000-0000021D0000}"/>
    <cellStyle name="Normal 8 2 4 5 2 2 2" xfId="16678" xr:uid="{7A652B09-25F9-444A-A3AD-B063CFD62627}"/>
    <cellStyle name="Normal 8 2 4 5 2 3" xfId="12460" xr:uid="{982316B7-7F86-44D9-872F-4D6EDC416328}"/>
    <cellStyle name="Normal 8 2 4 5 3" xfId="6097" xr:uid="{00000000-0005-0000-0000-0000031D0000}"/>
    <cellStyle name="Normal 8 2 4 5 3 2" xfId="14533" xr:uid="{EEFE1272-BAB8-434A-AE4B-D0D6FE3E223A}"/>
    <cellStyle name="Normal 8 2 4 5 4" xfId="10315" xr:uid="{C2B38E58-2EB7-4CE9-814C-26BAC3ECAB76}"/>
    <cellStyle name="Normal 8 2 4 6" xfId="2203" xr:uid="{00000000-0005-0000-0000-0000041D0000}"/>
    <cellStyle name="Normal 8 2 4 6 2" xfId="4432" xr:uid="{00000000-0005-0000-0000-0000051D0000}"/>
    <cellStyle name="Normal 8 2 4 6 2 2" xfId="8655" xr:uid="{00000000-0005-0000-0000-0000061D0000}"/>
    <cellStyle name="Normal 8 2 4 6 2 2 2" xfId="17091" xr:uid="{1A8C25C1-D714-4C0A-BDCB-6DABF9F9BFFF}"/>
    <cellStyle name="Normal 8 2 4 6 2 3" xfId="12873" xr:uid="{901EE4AD-7F9C-43EB-B751-6D32FEC7EBA6}"/>
    <cellStyle name="Normal 8 2 4 6 3" xfId="6510" xr:uid="{00000000-0005-0000-0000-0000071D0000}"/>
    <cellStyle name="Normal 8 2 4 6 3 2" xfId="14946" xr:uid="{BA57258F-815B-4EDF-B56B-BA61C974F359}"/>
    <cellStyle name="Normal 8 2 4 6 4" xfId="10728" xr:uid="{4CFC87C0-BAD9-4534-9045-BA1DE96C26B2}"/>
    <cellStyle name="Normal 8 2 4 7" xfId="2639" xr:uid="{00000000-0005-0000-0000-0000081D0000}"/>
    <cellStyle name="Normal 8 2 4 7 2" xfId="6923" xr:uid="{00000000-0005-0000-0000-0000091D0000}"/>
    <cellStyle name="Normal 8 2 4 7 2 2" xfId="15359" xr:uid="{BCED40FB-ED23-4BCC-A748-D8FB1B783635}"/>
    <cellStyle name="Normal 8 2 4 7 3" xfId="11141" xr:uid="{2EC97687-312C-4C3A-915D-90119388231B}"/>
    <cellStyle name="Normal 8 2 4 8" xfId="4858" xr:uid="{00000000-0005-0000-0000-00000A1D0000}"/>
    <cellStyle name="Normal 8 2 4 8 2" xfId="13294" xr:uid="{67096343-55E5-42C7-88CF-0D9B72DDD899}"/>
    <cellStyle name="Normal 8 2 4 9" xfId="9076" xr:uid="{1692CF24-4447-4994-8BB2-5A2559E94388}"/>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4" xr:uid="{38D14C34-F314-4EFE-AD66-C36170316E10}"/>
    <cellStyle name="Normal 8 2 5 2 2 3" xfId="11636" xr:uid="{15FBF12B-8F30-4ECD-9ABC-FAA01B3D9051}"/>
    <cellStyle name="Normal 8 2 5 2 3" xfId="5273" xr:uid="{00000000-0005-0000-0000-00000F1D0000}"/>
    <cellStyle name="Normal 8 2 5 2 3 2" xfId="13709" xr:uid="{00F0C100-E547-4A97-B0B3-8D5F218FF3E2}"/>
    <cellStyle name="Normal 8 2 5 2 4" xfId="9491" xr:uid="{BB840BEE-4137-4EF0-9B35-18DF415224DA}"/>
    <cellStyle name="Normal 8 2 5 3" xfId="1378" xr:uid="{00000000-0005-0000-0000-0000101D0000}"/>
    <cellStyle name="Normal 8 2 5 3 2" xfId="3608" xr:uid="{00000000-0005-0000-0000-0000111D0000}"/>
    <cellStyle name="Normal 8 2 5 3 2 2" xfId="7831" xr:uid="{00000000-0005-0000-0000-0000121D0000}"/>
    <cellStyle name="Normal 8 2 5 3 2 2 2" xfId="16267" xr:uid="{279819C5-D517-4CDD-B1F2-A9D4F5677892}"/>
    <cellStyle name="Normal 8 2 5 3 2 3" xfId="12049" xr:uid="{93F447C7-3F34-4151-B283-3EA65E755EE5}"/>
    <cellStyle name="Normal 8 2 5 3 3" xfId="5686" xr:uid="{00000000-0005-0000-0000-0000131D0000}"/>
    <cellStyle name="Normal 8 2 5 3 3 2" xfId="14122" xr:uid="{F05729FF-77AD-41C3-83CC-989A5186F3D8}"/>
    <cellStyle name="Normal 8 2 5 3 4" xfId="9904" xr:uid="{397E1672-EBEC-41D0-BC92-2765A248CBDE}"/>
    <cellStyle name="Normal 8 2 5 4" xfId="1791" xr:uid="{00000000-0005-0000-0000-0000141D0000}"/>
    <cellStyle name="Normal 8 2 5 4 2" xfId="4021" xr:uid="{00000000-0005-0000-0000-0000151D0000}"/>
    <cellStyle name="Normal 8 2 5 4 2 2" xfId="8244" xr:uid="{00000000-0005-0000-0000-0000161D0000}"/>
    <cellStyle name="Normal 8 2 5 4 2 2 2" xfId="16680" xr:uid="{FF91C4BF-A784-490B-B1C4-51503161E0D4}"/>
    <cellStyle name="Normal 8 2 5 4 2 3" xfId="12462" xr:uid="{0183C7E1-7B50-4E05-BF1B-F9A8976DE2BB}"/>
    <cellStyle name="Normal 8 2 5 4 3" xfId="6099" xr:uid="{00000000-0005-0000-0000-0000171D0000}"/>
    <cellStyle name="Normal 8 2 5 4 3 2" xfId="14535" xr:uid="{FF2114D3-B2B8-4FCD-98E6-48D0C42A06DC}"/>
    <cellStyle name="Normal 8 2 5 4 4" xfId="10317" xr:uid="{9D6546CD-DDC1-49A8-AEFF-4C151927DEBC}"/>
    <cellStyle name="Normal 8 2 5 5" xfId="2205" xr:uid="{00000000-0005-0000-0000-0000181D0000}"/>
    <cellStyle name="Normal 8 2 5 5 2" xfId="4434" xr:uid="{00000000-0005-0000-0000-0000191D0000}"/>
    <cellStyle name="Normal 8 2 5 5 2 2" xfId="8657" xr:uid="{00000000-0005-0000-0000-00001A1D0000}"/>
    <cellStyle name="Normal 8 2 5 5 2 2 2" xfId="17093" xr:uid="{EB5EF65F-5978-4444-9226-980426443478}"/>
    <cellStyle name="Normal 8 2 5 5 2 3" xfId="12875" xr:uid="{38BDA31B-2C42-4BF3-BF58-CED60AA4AD36}"/>
    <cellStyle name="Normal 8 2 5 5 3" xfId="6512" xr:uid="{00000000-0005-0000-0000-00001B1D0000}"/>
    <cellStyle name="Normal 8 2 5 5 3 2" xfId="14948" xr:uid="{3C9494ED-7BF0-47FB-B5BD-E1707A12BBCC}"/>
    <cellStyle name="Normal 8 2 5 5 4" xfId="10730" xr:uid="{ADA11B0A-2CE0-4306-9846-35D108BD353A}"/>
    <cellStyle name="Normal 8 2 5 6" xfId="2641" xr:uid="{00000000-0005-0000-0000-00001C1D0000}"/>
    <cellStyle name="Normal 8 2 5 6 2" xfId="6925" xr:uid="{00000000-0005-0000-0000-00001D1D0000}"/>
    <cellStyle name="Normal 8 2 5 6 2 2" xfId="15361" xr:uid="{25B2603E-F647-4E20-953C-29EC639520A9}"/>
    <cellStyle name="Normal 8 2 5 6 3" xfId="11143" xr:uid="{DAD966BE-B5C7-4F4D-B786-F54FA02B9859}"/>
    <cellStyle name="Normal 8 2 5 7" xfId="4860" xr:uid="{00000000-0005-0000-0000-00001E1D0000}"/>
    <cellStyle name="Normal 8 2 5 7 2" xfId="13296" xr:uid="{3456222B-E523-4D2E-BB6E-F5D901EC3DFE}"/>
    <cellStyle name="Normal 8 2 5 8" xfId="9078" xr:uid="{B9464892-7226-4DFF-B9B7-609903C0AEC8}"/>
    <cellStyle name="Normal 8 2 6" xfId="946" xr:uid="{00000000-0005-0000-0000-00001F1D0000}"/>
    <cellStyle name="Normal 8 2 6 2" xfId="3180" xr:uid="{00000000-0005-0000-0000-0000201D0000}"/>
    <cellStyle name="Normal 8 2 6 2 2" xfId="7403" xr:uid="{00000000-0005-0000-0000-0000211D0000}"/>
    <cellStyle name="Normal 8 2 6 2 2 2" xfId="15839" xr:uid="{00B283B5-AD39-482D-AE27-17B88F5792E0}"/>
    <cellStyle name="Normal 8 2 6 2 3" xfId="11621" xr:uid="{D7ADA9A5-8BAD-4D06-AB90-390FB75D4456}"/>
    <cellStyle name="Normal 8 2 6 3" xfId="5258" xr:uid="{00000000-0005-0000-0000-0000221D0000}"/>
    <cellStyle name="Normal 8 2 6 3 2" xfId="13694" xr:uid="{245C0F5C-903F-4190-B4B3-E16D4B0E75B6}"/>
    <cellStyle name="Normal 8 2 6 4" xfId="9476" xr:uid="{6A89250D-4884-4921-971A-C5FC822BB7C5}"/>
    <cellStyle name="Normal 8 2 7" xfId="1363" xr:uid="{00000000-0005-0000-0000-0000231D0000}"/>
    <cellStyle name="Normal 8 2 7 2" xfId="3593" xr:uid="{00000000-0005-0000-0000-0000241D0000}"/>
    <cellStyle name="Normal 8 2 7 2 2" xfId="7816" xr:uid="{00000000-0005-0000-0000-0000251D0000}"/>
    <cellStyle name="Normal 8 2 7 2 2 2" xfId="16252" xr:uid="{4161EEB0-40F7-4BCE-A3A0-F142AEC14CE1}"/>
    <cellStyle name="Normal 8 2 7 2 3" xfId="12034" xr:uid="{FDF13FFE-33E4-4748-9CA1-F94F8361E2E5}"/>
    <cellStyle name="Normal 8 2 7 3" xfId="5671" xr:uid="{00000000-0005-0000-0000-0000261D0000}"/>
    <cellStyle name="Normal 8 2 7 3 2" xfId="14107" xr:uid="{E7415218-3317-485B-8582-03320AE4386E}"/>
    <cellStyle name="Normal 8 2 7 4" xfId="9889" xr:uid="{C9854C13-A7B5-453F-ADA7-72F1C0132C11}"/>
    <cellStyle name="Normal 8 2 8" xfId="1776" xr:uid="{00000000-0005-0000-0000-0000271D0000}"/>
    <cellStyle name="Normal 8 2 8 2" xfId="4006" xr:uid="{00000000-0005-0000-0000-0000281D0000}"/>
    <cellStyle name="Normal 8 2 8 2 2" xfId="8229" xr:uid="{00000000-0005-0000-0000-0000291D0000}"/>
    <cellStyle name="Normal 8 2 8 2 2 2" xfId="16665" xr:uid="{17E2846F-DD16-4C6E-A0D5-12C434DE6168}"/>
    <cellStyle name="Normal 8 2 8 2 3" xfId="12447" xr:uid="{93B2268D-8176-4C1B-B9E8-C57E6FC3D23D}"/>
    <cellStyle name="Normal 8 2 8 3" xfId="6084" xr:uid="{00000000-0005-0000-0000-00002A1D0000}"/>
    <cellStyle name="Normal 8 2 8 3 2" xfId="14520" xr:uid="{40852EC2-FA37-4027-B98D-A570AE5D8EDF}"/>
    <cellStyle name="Normal 8 2 8 4" xfId="10302" xr:uid="{A285C180-8F21-419D-83FC-8FB223C9BB5B}"/>
    <cellStyle name="Normal 8 2 9" xfId="2190" xr:uid="{00000000-0005-0000-0000-00002B1D0000}"/>
    <cellStyle name="Normal 8 2 9 2" xfId="4419" xr:uid="{00000000-0005-0000-0000-00002C1D0000}"/>
    <cellStyle name="Normal 8 2 9 2 2" xfId="8642" xr:uid="{00000000-0005-0000-0000-00002D1D0000}"/>
    <cellStyle name="Normal 8 2 9 2 2 2" xfId="17078" xr:uid="{5E749648-D7D5-4488-9B94-218F590BB2CE}"/>
    <cellStyle name="Normal 8 2 9 2 3" xfId="12860" xr:uid="{E36C6310-6ACA-4182-832A-63A7F7FC8769}"/>
    <cellStyle name="Normal 8 2 9 3" xfId="6497" xr:uid="{00000000-0005-0000-0000-00002E1D0000}"/>
    <cellStyle name="Normal 8 2 9 3 2" xfId="14933" xr:uid="{B2F1BCFC-78CF-4674-8C2E-D9D32D9E8EE3}"/>
    <cellStyle name="Normal 8 2 9 4" xfId="10715" xr:uid="{1A3A72DF-3F39-4C7B-8B8D-9C285AF4CC2C}"/>
    <cellStyle name="Normal 8 3" xfId="495" xr:uid="{00000000-0005-0000-0000-00002F1D0000}"/>
    <cellStyle name="Normal 8 3 10" xfId="4861" xr:uid="{00000000-0005-0000-0000-0000301D0000}"/>
    <cellStyle name="Normal 8 3 10 2" xfId="13297" xr:uid="{83924085-3487-4874-9F6F-34396D6A2074}"/>
    <cellStyle name="Normal 8 3 11" xfId="9079" xr:uid="{9191760E-A95E-4F38-A7D4-51904B999DAE}"/>
    <cellStyle name="Normal 8 3 2" xfId="496" xr:uid="{00000000-0005-0000-0000-0000311D0000}"/>
    <cellStyle name="Normal 8 3 2 10" xfId="9080" xr:uid="{455CFEFF-6A6A-4E4D-B8A2-D07C8384573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58" xr:uid="{E42B8824-193C-4450-BC5F-B6369048BFA6}"/>
    <cellStyle name="Normal 8 3 2 2 2 2 2 3" xfId="11640" xr:uid="{255221E2-274C-42D3-A119-8C577805444D}"/>
    <cellStyle name="Normal 8 3 2 2 2 2 3" xfId="5277" xr:uid="{00000000-0005-0000-0000-0000371D0000}"/>
    <cellStyle name="Normal 8 3 2 2 2 2 3 2" xfId="13713" xr:uid="{F67EB5C3-4F75-467D-801F-E0DCE9C7F7F5}"/>
    <cellStyle name="Normal 8 3 2 2 2 2 4" xfId="9495" xr:uid="{AB4B271D-13B8-4A4E-BB41-9587E574BF7A}"/>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1" xr:uid="{83998BFF-C66C-4B25-9AB4-09F55244E79A}"/>
    <cellStyle name="Normal 8 3 2 2 2 3 2 3" xfId="12053" xr:uid="{9D327738-19AC-4654-A0D4-046A73D6A4B7}"/>
    <cellStyle name="Normal 8 3 2 2 2 3 3" xfId="5690" xr:uid="{00000000-0005-0000-0000-00003B1D0000}"/>
    <cellStyle name="Normal 8 3 2 2 2 3 3 2" xfId="14126" xr:uid="{C116395C-ECDE-4A45-A88B-9F9EA90E0F8E}"/>
    <cellStyle name="Normal 8 3 2 2 2 3 4" xfId="9908" xr:uid="{B6B22787-FFA7-4921-AF43-E942897DEA0A}"/>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4" xr:uid="{F4BE3D94-23DD-4AD6-8331-D337A2C1EED5}"/>
    <cellStyle name="Normal 8 3 2 2 2 4 2 3" xfId="12466" xr:uid="{763FBECE-F210-4AEA-89C2-84380EE475B3}"/>
    <cellStyle name="Normal 8 3 2 2 2 4 3" xfId="6103" xr:uid="{00000000-0005-0000-0000-00003F1D0000}"/>
    <cellStyle name="Normal 8 3 2 2 2 4 3 2" xfId="14539" xr:uid="{3061FCCF-9FA6-49FF-8697-C7533E3C71DA}"/>
    <cellStyle name="Normal 8 3 2 2 2 4 4" xfId="10321" xr:uid="{C84577DD-7D60-4242-A030-4FD3421AFFB4}"/>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097" xr:uid="{23EDD902-1709-48C6-A64D-33432C4EE262}"/>
    <cellStyle name="Normal 8 3 2 2 2 5 2 3" xfId="12879" xr:uid="{F39E565A-D45D-4A19-805B-3E0C8C905A56}"/>
    <cellStyle name="Normal 8 3 2 2 2 5 3" xfId="6516" xr:uid="{00000000-0005-0000-0000-0000431D0000}"/>
    <cellStyle name="Normal 8 3 2 2 2 5 3 2" xfId="14952" xr:uid="{78C64377-D7B6-4E12-9187-91BDE4DDEA65}"/>
    <cellStyle name="Normal 8 3 2 2 2 5 4" xfId="10734" xr:uid="{5434FFC6-9466-472A-A2CF-463364214C77}"/>
    <cellStyle name="Normal 8 3 2 2 2 6" xfId="2645" xr:uid="{00000000-0005-0000-0000-0000441D0000}"/>
    <cellStyle name="Normal 8 3 2 2 2 6 2" xfId="6929" xr:uid="{00000000-0005-0000-0000-0000451D0000}"/>
    <cellStyle name="Normal 8 3 2 2 2 6 2 2" xfId="15365" xr:uid="{E23A2C41-8DB9-46AC-B304-505BEAED1E5B}"/>
    <cellStyle name="Normal 8 3 2 2 2 6 3" xfId="11147" xr:uid="{C52431C5-7958-4703-BFE9-6064685EC068}"/>
    <cellStyle name="Normal 8 3 2 2 2 7" xfId="4864" xr:uid="{00000000-0005-0000-0000-0000461D0000}"/>
    <cellStyle name="Normal 8 3 2 2 2 7 2" xfId="13300" xr:uid="{C0C0423E-0090-42AA-9E26-AE8E0782A75F}"/>
    <cellStyle name="Normal 8 3 2 2 2 8" xfId="9082" xr:uid="{9BA9D4C5-F581-440E-901E-71E80CB53212}"/>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57" xr:uid="{F5925636-D3A2-4991-9191-CE0D2AE150FB}"/>
    <cellStyle name="Normal 8 3 2 2 3 2 3" xfId="11639" xr:uid="{FED264C7-93E2-4136-A8A1-DD97373B2746}"/>
    <cellStyle name="Normal 8 3 2 2 3 3" xfId="5276" xr:uid="{00000000-0005-0000-0000-00004A1D0000}"/>
    <cellStyle name="Normal 8 3 2 2 3 3 2" xfId="13712" xr:uid="{545B148D-B928-4385-A9CE-CB0D3B0F24C0}"/>
    <cellStyle name="Normal 8 3 2 2 3 4" xfId="9494" xr:uid="{2CBFF77B-5E79-4AFA-8EE9-6AD1E9F709C6}"/>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0" xr:uid="{A4E70580-BE2F-466F-B025-D63CBAD6BD07}"/>
    <cellStyle name="Normal 8 3 2 2 4 2 3" xfId="12052" xr:uid="{F7069712-80C0-43B7-8898-9520DF44E203}"/>
    <cellStyle name="Normal 8 3 2 2 4 3" xfId="5689" xr:uid="{00000000-0005-0000-0000-00004E1D0000}"/>
    <cellStyle name="Normal 8 3 2 2 4 3 2" xfId="14125" xr:uid="{530A8937-F955-4F77-96ED-CDF81B05B3A8}"/>
    <cellStyle name="Normal 8 3 2 2 4 4" xfId="9907" xr:uid="{7FFDA24C-7A7B-4E75-A8DD-DCB1AF7D028C}"/>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3" xr:uid="{4C9D58F4-5A3B-42BA-B7E4-F96A31F6531D}"/>
    <cellStyle name="Normal 8 3 2 2 5 2 3" xfId="12465" xr:uid="{D77BAACB-FF42-44A9-857B-D0FB134B5F75}"/>
    <cellStyle name="Normal 8 3 2 2 5 3" xfId="6102" xr:uid="{00000000-0005-0000-0000-0000521D0000}"/>
    <cellStyle name="Normal 8 3 2 2 5 3 2" xfId="14538" xr:uid="{147CC6B1-3A9F-4C29-BF21-D665AFB57EA6}"/>
    <cellStyle name="Normal 8 3 2 2 5 4" xfId="10320" xr:uid="{DC4C6B92-58F8-4EBF-9094-01BAE89CD9F4}"/>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6" xr:uid="{6347771C-F1E6-40C9-A99C-C5449F253579}"/>
    <cellStyle name="Normal 8 3 2 2 6 2 3" xfId="12878" xr:uid="{812C063F-562B-45E2-8027-1315D3674091}"/>
    <cellStyle name="Normal 8 3 2 2 6 3" xfId="6515" xr:uid="{00000000-0005-0000-0000-0000561D0000}"/>
    <cellStyle name="Normal 8 3 2 2 6 3 2" xfId="14951" xr:uid="{1E3D941A-854F-4E61-BD1C-D7E4B2D74621}"/>
    <cellStyle name="Normal 8 3 2 2 6 4" xfId="10733" xr:uid="{941ED314-83CA-46EC-8482-FAF871D3E83F}"/>
    <cellStyle name="Normal 8 3 2 2 7" xfId="2644" xr:uid="{00000000-0005-0000-0000-0000571D0000}"/>
    <cellStyle name="Normal 8 3 2 2 7 2" xfId="6928" xr:uid="{00000000-0005-0000-0000-0000581D0000}"/>
    <cellStyle name="Normal 8 3 2 2 7 2 2" xfId="15364" xr:uid="{5EFCA85B-978A-4056-8DB3-E4D1C7F800AB}"/>
    <cellStyle name="Normal 8 3 2 2 7 3" xfId="11146" xr:uid="{B6FB8594-43EE-4E7B-B69F-F65D98471EFC}"/>
    <cellStyle name="Normal 8 3 2 2 8" xfId="4863" xr:uid="{00000000-0005-0000-0000-0000591D0000}"/>
    <cellStyle name="Normal 8 3 2 2 8 2" xfId="13299" xr:uid="{36EECCFA-5CD5-4512-9A81-E5CDAE7FB19F}"/>
    <cellStyle name="Normal 8 3 2 2 9" xfId="9081" xr:uid="{F12B1AF0-4015-43AA-B5E6-7130292038E7}"/>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59" xr:uid="{90367CF2-53B3-4BCE-93A3-F7D7832343BF}"/>
    <cellStyle name="Normal 8 3 2 3 2 2 3" xfId="11641" xr:uid="{591FCB4B-61FA-49AB-8B6E-EC7FB8F576FE}"/>
    <cellStyle name="Normal 8 3 2 3 2 3" xfId="5278" xr:uid="{00000000-0005-0000-0000-00005E1D0000}"/>
    <cellStyle name="Normal 8 3 2 3 2 3 2" xfId="13714" xr:uid="{71188956-5C64-4A6C-BFA8-06E392A31D18}"/>
    <cellStyle name="Normal 8 3 2 3 2 4" xfId="9496" xr:uid="{704B1826-424A-47B5-8BD5-3564A1725F48}"/>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2" xr:uid="{F3091ADF-ECCB-4F26-88EB-72F40D94C54B}"/>
    <cellStyle name="Normal 8 3 2 3 3 2 3" xfId="12054" xr:uid="{030FD6F2-C1FD-42B3-AF83-90FBA2B90685}"/>
    <cellStyle name="Normal 8 3 2 3 3 3" xfId="5691" xr:uid="{00000000-0005-0000-0000-0000621D0000}"/>
    <cellStyle name="Normal 8 3 2 3 3 3 2" xfId="14127" xr:uid="{915C2543-BDB5-4E75-A663-A1A89D82FBE3}"/>
    <cellStyle name="Normal 8 3 2 3 3 4" xfId="9909" xr:uid="{EE795ECE-E0CC-40E5-B01B-F752B46FBB02}"/>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5" xr:uid="{16A5C841-2BA1-4B97-B208-FFA665018C51}"/>
    <cellStyle name="Normal 8 3 2 3 4 2 3" xfId="12467" xr:uid="{B659CCF1-B3EB-4C2F-A10A-53BDD6E75D1D}"/>
    <cellStyle name="Normal 8 3 2 3 4 3" xfId="6104" xr:uid="{00000000-0005-0000-0000-0000661D0000}"/>
    <cellStyle name="Normal 8 3 2 3 4 3 2" xfId="14540" xr:uid="{8843E203-0A40-41EE-89D2-F316ECB89350}"/>
    <cellStyle name="Normal 8 3 2 3 4 4" xfId="10322" xr:uid="{D33DE344-6D37-492D-A707-ABD5B51BB93B}"/>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098" xr:uid="{F4EB4A62-1B11-4E71-8CC2-62DA11A6B983}"/>
    <cellStyle name="Normal 8 3 2 3 5 2 3" xfId="12880" xr:uid="{F3E25A02-60E2-49EB-A109-9E17132E07D0}"/>
    <cellStyle name="Normal 8 3 2 3 5 3" xfId="6517" xr:uid="{00000000-0005-0000-0000-00006A1D0000}"/>
    <cellStyle name="Normal 8 3 2 3 5 3 2" xfId="14953" xr:uid="{247FA616-56E6-4053-A63C-0941B958CBFA}"/>
    <cellStyle name="Normal 8 3 2 3 5 4" xfId="10735" xr:uid="{7F2D7B8A-3F43-44C6-A526-643191BB70BE}"/>
    <cellStyle name="Normal 8 3 2 3 6" xfId="2646" xr:uid="{00000000-0005-0000-0000-00006B1D0000}"/>
    <cellStyle name="Normal 8 3 2 3 6 2" xfId="6930" xr:uid="{00000000-0005-0000-0000-00006C1D0000}"/>
    <cellStyle name="Normal 8 3 2 3 6 2 2" xfId="15366" xr:uid="{20AB47C2-CA99-4882-A555-9CA2812DD25A}"/>
    <cellStyle name="Normal 8 3 2 3 6 3" xfId="11148" xr:uid="{4E6690F2-AFD9-4C29-B28D-770E137F0D9A}"/>
    <cellStyle name="Normal 8 3 2 3 7" xfId="4865" xr:uid="{00000000-0005-0000-0000-00006D1D0000}"/>
    <cellStyle name="Normal 8 3 2 3 7 2" xfId="13301" xr:uid="{D50EA241-9544-4EA3-A11D-4843396087C5}"/>
    <cellStyle name="Normal 8 3 2 3 8" xfId="9083" xr:uid="{27FB3A59-3385-41AC-8D3C-4225D5488E44}"/>
    <cellStyle name="Normal 8 3 2 4" xfId="963" xr:uid="{00000000-0005-0000-0000-00006E1D0000}"/>
    <cellStyle name="Normal 8 3 2 4 2" xfId="3197" xr:uid="{00000000-0005-0000-0000-00006F1D0000}"/>
    <cellStyle name="Normal 8 3 2 4 2 2" xfId="7420" xr:uid="{00000000-0005-0000-0000-0000701D0000}"/>
    <cellStyle name="Normal 8 3 2 4 2 2 2" xfId="15856" xr:uid="{63153718-AFE6-4054-90E9-486395DC9854}"/>
    <cellStyle name="Normal 8 3 2 4 2 3" xfId="11638" xr:uid="{439049E5-2611-4F85-AC91-C6249150AFDC}"/>
    <cellStyle name="Normal 8 3 2 4 3" xfId="5275" xr:uid="{00000000-0005-0000-0000-0000711D0000}"/>
    <cellStyle name="Normal 8 3 2 4 3 2" xfId="13711" xr:uid="{4B375B51-F49A-4D87-A46B-81317F669743}"/>
    <cellStyle name="Normal 8 3 2 4 4" xfId="9493" xr:uid="{9CF2AF77-AE8F-4CA1-A917-1BEDB979BB10}"/>
    <cellStyle name="Normal 8 3 2 5" xfId="1380" xr:uid="{00000000-0005-0000-0000-0000721D0000}"/>
    <cellStyle name="Normal 8 3 2 5 2" xfId="3610" xr:uid="{00000000-0005-0000-0000-0000731D0000}"/>
    <cellStyle name="Normal 8 3 2 5 2 2" xfId="7833" xr:uid="{00000000-0005-0000-0000-0000741D0000}"/>
    <cellStyle name="Normal 8 3 2 5 2 2 2" xfId="16269" xr:uid="{918B6ED1-3778-4692-816E-3CD1E1540078}"/>
    <cellStyle name="Normal 8 3 2 5 2 3" xfId="12051" xr:uid="{2CB62C12-2DCE-406C-996B-9DBB956CE9B5}"/>
    <cellStyle name="Normal 8 3 2 5 3" xfId="5688" xr:uid="{00000000-0005-0000-0000-0000751D0000}"/>
    <cellStyle name="Normal 8 3 2 5 3 2" xfId="14124" xr:uid="{7481F466-5730-4893-B234-1F24D605364B}"/>
    <cellStyle name="Normal 8 3 2 5 4" xfId="9906" xr:uid="{7CDAD463-46D5-4D92-A89C-64BC83F6B6B5}"/>
    <cellStyle name="Normal 8 3 2 6" xfId="1793" xr:uid="{00000000-0005-0000-0000-0000761D0000}"/>
    <cellStyle name="Normal 8 3 2 6 2" xfId="4023" xr:uid="{00000000-0005-0000-0000-0000771D0000}"/>
    <cellStyle name="Normal 8 3 2 6 2 2" xfId="8246" xr:uid="{00000000-0005-0000-0000-0000781D0000}"/>
    <cellStyle name="Normal 8 3 2 6 2 2 2" xfId="16682" xr:uid="{14D82BB6-B0F4-461E-B2EB-98631DBB34E1}"/>
    <cellStyle name="Normal 8 3 2 6 2 3" xfId="12464" xr:uid="{EE92CED2-D91F-4B5D-BD5D-CB39EC1ABF2B}"/>
    <cellStyle name="Normal 8 3 2 6 3" xfId="6101" xr:uid="{00000000-0005-0000-0000-0000791D0000}"/>
    <cellStyle name="Normal 8 3 2 6 3 2" xfId="14537" xr:uid="{85C0AD17-4AB2-4E4D-9DF2-AF3A3CA6536C}"/>
    <cellStyle name="Normal 8 3 2 6 4" xfId="10319" xr:uid="{7C8A8E2B-5CEF-46B0-921B-B667C41367C5}"/>
    <cellStyle name="Normal 8 3 2 7" xfId="2207" xr:uid="{00000000-0005-0000-0000-00007A1D0000}"/>
    <cellStyle name="Normal 8 3 2 7 2" xfId="4436" xr:uid="{00000000-0005-0000-0000-00007B1D0000}"/>
    <cellStyle name="Normal 8 3 2 7 2 2" xfId="8659" xr:uid="{00000000-0005-0000-0000-00007C1D0000}"/>
    <cellStyle name="Normal 8 3 2 7 2 2 2" xfId="17095" xr:uid="{9C8AB49F-5B32-4C98-876E-6A48965B996D}"/>
    <cellStyle name="Normal 8 3 2 7 2 3" xfId="12877" xr:uid="{2444FAE8-BCDA-4748-95E7-E41A5F650996}"/>
    <cellStyle name="Normal 8 3 2 7 3" xfId="6514" xr:uid="{00000000-0005-0000-0000-00007D1D0000}"/>
    <cellStyle name="Normal 8 3 2 7 3 2" xfId="14950" xr:uid="{6A14DB03-FB7A-4388-BAB2-761B79705E44}"/>
    <cellStyle name="Normal 8 3 2 7 4" xfId="10732" xr:uid="{BFFB39CB-0A37-49CE-A104-01EE02F8074F}"/>
    <cellStyle name="Normal 8 3 2 8" xfId="2643" xr:uid="{00000000-0005-0000-0000-00007E1D0000}"/>
    <cellStyle name="Normal 8 3 2 8 2" xfId="6927" xr:uid="{00000000-0005-0000-0000-00007F1D0000}"/>
    <cellStyle name="Normal 8 3 2 8 2 2" xfId="15363" xr:uid="{CFEB8CBA-BC82-416B-AC15-1473193AD81D}"/>
    <cellStyle name="Normal 8 3 2 8 3" xfId="11145" xr:uid="{D0050D9D-74AF-4CCC-97AA-C8486764CE0F}"/>
    <cellStyle name="Normal 8 3 2 9" xfId="4862" xr:uid="{00000000-0005-0000-0000-0000801D0000}"/>
    <cellStyle name="Normal 8 3 2 9 2" xfId="13298" xr:uid="{328BEE36-0272-4F7D-9C09-9AEEF68A14DC}"/>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1" xr:uid="{860D8C29-CF5A-4D50-A120-15FF01DA5EB1}"/>
    <cellStyle name="Normal 8 3 3 2 2 2 3" xfId="11643" xr:uid="{E51FAD48-61D2-4FE9-9ABF-045E76E6E1FE}"/>
    <cellStyle name="Normal 8 3 3 2 2 3" xfId="5280" xr:uid="{00000000-0005-0000-0000-0000861D0000}"/>
    <cellStyle name="Normal 8 3 3 2 2 3 2" xfId="13716" xr:uid="{1D277EC2-CE31-4228-A282-416209BA79B9}"/>
    <cellStyle name="Normal 8 3 3 2 2 4" xfId="9498" xr:uid="{E6E27DA2-8DC5-4E49-A641-26D572A12418}"/>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4" xr:uid="{A913AB8B-7B5F-439E-8CE0-224B340805F3}"/>
    <cellStyle name="Normal 8 3 3 2 3 2 3" xfId="12056" xr:uid="{458E28D5-66C7-4238-BB4D-F7E420019332}"/>
    <cellStyle name="Normal 8 3 3 2 3 3" xfId="5693" xr:uid="{00000000-0005-0000-0000-00008A1D0000}"/>
    <cellStyle name="Normal 8 3 3 2 3 3 2" xfId="14129" xr:uid="{4DC0ED8A-453E-4E34-AB2A-3D4E824340F3}"/>
    <cellStyle name="Normal 8 3 3 2 3 4" xfId="9911" xr:uid="{5A68DEC5-89FD-49D4-97B0-4982DB262E52}"/>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87" xr:uid="{D9F2C3D8-9B7F-45AD-82D1-27242B731017}"/>
    <cellStyle name="Normal 8 3 3 2 4 2 3" xfId="12469" xr:uid="{B163E674-5BFB-4314-AD31-2CC2899D000D}"/>
    <cellStyle name="Normal 8 3 3 2 4 3" xfId="6106" xr:uid="{00000000-0005-0000-0000-00008E1D0000}"/>
    <cellStyle name="Normal 8 3 3 2 4 3 2" xfId="14542" xr:uid="{DA7D05E9-0C50-4C6C-92E1-C1405F812835}"/>
    <cellStyle name="Normal 8 3 3 2 4 4" xfId="10324" xr:uid="{4F42E591-F971-4031-8A98-06CF6D7C584F}"/>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0" xr:uid="{81CBB704-86F1-41A6-BDD9-1382A43D63F5}"/>
    <cellStyle name="Normal 8 3 3 2 5 2 3" xfId="12882" xr:uid="{4DFA3CC7-1F2A-4177-A9CC-2E298BC70D37}"/>
    <cellStyle name="Normal 8 3 3 2 5 3" xfId="6519" xr:uid="{00000000-0005-0000-0000-0000921D0000}"/>
    <cellStyle name="Normal 8 3 3 2 5 3 2" xfId="14955" xr:uid="{9791B644-9EF6-4CF4-89D1-8C412688394E}"/>
    <cellStyle name="Normal 8 3 3 2 5 4" xfId="10737" xr:uid="{89554C6B-C00F-4124-A067-1AEE14A1E90A}"/>
    <cellStyle name="Normal 8 3 3 2 6" xfId="2648" xr:uid="{00000000-0005-0000-0000-0000931D0000}"/>
    <cellStyle name="Normal 8 3 3 2 6 2" xfId="6932" xr:uid="{00000000-0005-0000-0000-0000941D0000}"/>
    <cellStyle name="Normal 8 3 3 2 6 2 2" xfId="15368" xr:uid="{A501307D-A871-4E26-AC9A-964A24FC342D}"/>
    <cellStyle name="Normal 8 3 3 2 6 3" xfId="11150" xr:uid="{312E0E68-29E8-492F-9562-22F343995C80}"/>
    <cellStyle name="Normal 8 3 3 2 7" xfId="4867" xr:uid="{00000000-0005-0000-0000-0000951D0000}"/>
    <cellStyle name="Normal 8 3 3 2 7 2" xfId="13303" xr:uid="{F21A2C05-8A65-4637-B5AE-6EA582DEC027}"/>
    <cellStyle name="Normal 8 3 3 2 8" xfId="9085" xr:uid="{8C323DBF-565F-4449-ABCF-A5AC207DC4C3}"/>
    <cellStyle name="Normal 8 3 3 3" xfId="967" xr:uid="{00000000-0005-0000-0000-0000961D0000}"/>
    <cellStyle name="Normal 8 3 3 3 2" xfId="3201" xr:uid="{00000000-0005-0000-0000-0000971D0000}"/>
    <cellStyle name="Normal 8 3 3 3 2 2" xfId="7424" xr:uid="{00000000-0005-0000-0000-0000981D0000}"/>
    <cellStyle name="Normal 8 3 3 3 2 2 2" xfId="15860" xr:uid="{F5D0F670-8FAA-4B23-89F2-9D7878CAF07E}"/>
    <cellStyle name="Normal 8 3 3 3 2 3" xfId="11642" xr:uid="{ECC009AA-0D64-47D1-AD2A-48648486B091}"/>
    <cellStyle name="Normal 8 3 3 3 3" xfId="5279" xr:uid="{00000000-0005-0000-0000-0000991D0000}"/>
    <cellStyle name="Normal 8 3 3 3 3 2" xfId="13715" xr:uid="{59E56E45-B848-4EEC-A590-A8E7E71E849D}"/>
    <cellStyle name="Normal 8 3 3 3 4" xfId="9497" xr:uid="{B4013B3F-A0D8-494A-9B35-A22D69A4D75D}"/>
    <cellStyle name="Normal 8 3 3 4" xfId="1384" xr:uid="{00000000-0005-0000-0000-00009A1D0000}"/>
    <cellStyle name="Normal 8 3 3 4 2" xfId="3614" xr:uid="{00000000-0005-0000-0000-00009B1D0000}"/>
    <cellStyle name="Normal 8 3 3 4 2 2" xfId="7837" xr:uid="{00000000-0005-0000-0000-00009C1D0000}"/>
    <cellStyle name="Normal 8 3 3 4 2 2 2" xfId="16273" xr:uid="{72B02F23-A37C-48E0-B96E-672CD6A9036C}"/>
    <cellStyle name="Normal 8 3 3 4 2 3" xfId="12055" xr:uid="{CEEE5389-FE3C-463B-B6E8-197AE9E29E05}"/>
    <cellStyle name="Normal 8 3 3 4 3" xfId="5692" xr:uid="{00000000-0005-0000-0000-00009D1D0000}"/>
    <cellStyle name="Normal 8 3 3 4 3 2" xfId="14128" xr:uid="{42DF7745-530B-4917-ABB6-A056908F7055}"/>
    <cellStyle name="Normal 8 3 3 4 4" xfId="9910" xr:uid="{71281A05-977B-427F-BCEF-CD356FE629A9}"/>
    <cellStyle name="Normal 8 3 3 5" xfId="1797" xr:uid="{00000000-0005-0000-0000-00009E1D0000}"/>
    <cellStyle name="Normal 8 3 3 5 2" xfId="4027" xr:uid="{00000000-0005-0000-0000-00009F1D0000}"/>
    <cellStyle name="Normal 8 3 3 5 2 2" xfId="8250" xr:uid="{00000000-0005-0000-0000-0000A01D0000}"/>
    <cellStyle name="Normal 8 3 3 5 2 2 2" xfId="16686" xr:uid="{E30F21EC-A4F0-4371-99A0-912706E8D35D}"/>
    <cellStyle name="Normal 8 3 3 5 2 3" xfId="12468" xr:uid="{405BDE08-CD30-4A09-A96F-B75C359A9F51}"/>
    <cellStyle name="Normal 8 3 3 5 3" xfId="6105" xr:uid="{00000000-0005-0000-0000-0000A11D0000}"/>
    <cellStyle name="Normal 8 3 3 5 3 2" xfId="14541" xr:uid="{6FA02898-BD57-4883-BD78-38BFF5851D75}"/>
    <cellStyle name="Normal 8 3 3 5 4" xfId="10323" xr:uid="{07E1541C-DD43-4FF6-8B7A-90C34C30C65D}"/>
    <cellStyle name="Normal 8 3 3 6" xfId="2211" xr:uid="{00000000-0005-0000-0000-0000A21D0000}"/>
    <cellStyle name="Normal 8 3 3 6 2" xfId="4440" xr:uid="{00000000-0005-0000-0000-0000A31D0000}"/>
    <cellStyle name="Normal 8 3 3 6 2 2" xfId="8663" xr:uid="{00000000-0005-0000-0000-0000A41D0000}"/>
    <cellStyle name="Normal 8 3 3 6 2 2 2" xfId="17099" xr:uid="{9AF46E3D-D529-401C-B226-9C3C606D9C9F}"/>
    <cellStyle name="Normal 8 3 3 6 2 3" xfId="12881" xr:uid="{45EB560F-D764-4CD5-ABA5-BAB5B61CFE31}"/>
    <cellStyle name="Normal 8 3 3 6 3" xfId="6518" xr:uid="{00000000-0005-0000-0000-0000A51D0000}"/>
    <cellStyle name="Normal 8 3 3 6 3 2" xfId="14954" xr:uid="{9F96B0AA-BF70-4A56-84D9-02F3B0106163}"/>
    <cellStyle name="Normal 8 3 3 6 4" xfId="10736" xr:uid="{5F246D2D-1C64-4D06-AA58-991BFE8883D1}"/>
    <cellStyle name="Normal 8 3 3 7" xfId="2647" xr:uid="{00000000-0005-0000-0000-0000A61D0000}"/>
    <cellStyle name="Normal 8 3 3 7 2" xfId="6931" xr:uid="{00000000-0005-0000-0000-0000A71D0000}"/>
    <cellStyle name="Normal 8 3 3 7 2 2" xfId="15367" xr:uid="{5C993C0D-0347-4768-AACE-6F35996E40D3}"/>
    <cellStyle name="Normal 8 3 3 7 3" xfId="11149" xr:uid="{601F8511-FE93-40AC-A524-A051D7B93BF0}"/>
    <cellStyle name="Normal 8 3 3 8" xfId="4866" xr:uid="{00000000-0005-0000-0000-0000A81D0000}"/>
    <cellStyle name="Normal 8 3 3 8 2" xfId="13302" xr:uid="{FD3839E5-9853-464F-B88A-F42F3C1D042D}"/>
    <cellStyle name="Normal 8 3 3 9" xfId="9084" xr:uid="{97246945-C0B4-4561-A4B5-74AE674D346A}"/>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2" xr:uid="{FD6C0B49-92F2-47EF-9C4A-4D5EC96211C5}"/>
    <cellStyle name="Normal 8 3 4 2 2 3" xfId="11644" xr:uid="{3C177A8D-5893-403D-8ABA-1C169E1C44A3}"/>
    <cellStyle name="Normal 8 3 4 2 3" xfId="5281" xr:uid="{00000000-0005-0000-0000-0000AD1D0000}"/>
    <cellStyle name="Normal 8 3 4 2 3 2" xfId="13717" xr:uid="{7FFFAE07-2307-43B2-9CDA-3C435E3BD84D}"/>
    <cellStyle name="Normal 8 3 4 2 4" xfId="9499" xr:uid="{432E1138-6171-48C8-9959-89CA8B0B3EB1}"/>
    <cellStyle name="Normal 8 3 4 3" xfId="1386" xr:uid="{00000000-0005-0000-0000-0000AE1D0000}"/>
    <cellStyle name="Normal 8 3 4 3 2" xfId="3616" xr:uid="{00000000-0005-0000-0000-0000AF1D0000}"/>
    <cellStyle name="Normal 8 3 4 3 2 2" xfId="7839" xr:uid="{00000000-0005-0000-0000-0000B01D0000}"/>
    <cellStyle name="Normal 8 3 4 3 2 2 2" xfId="16275" xr:uid="{5BB77F93-469C-4256-9AAE-4BACDDA9354B}"/>
    <cellStyle name="Normal 8 3 4 3 2 3" xfId="12057" xr:uid="{4A6A4854-352F-4503-A2EE-CBD93C699154}"/>
    <cellStyle name="Normal 8 3 4 3 3" xfId="5694" xr:uid="{00000000-0005-0000-0000-0000B11D0000}"/>
    <cellStyle name="Normal 8 3 4 3 3 2" xfId="14130" xr:uid="{A72091F6-933D-48FE-A144-DE2CEB9EE303}"/>
    <cellStyle name="Normal 8 3 4 3 4" xfId="9912" xr:uid="{50B78F09-1A7A-4F98-9467-17D80AFF19B5}"/>
    <cellStyle name="Normal 8 3 4 4" xfId="1799" xr:uid="{00000000-0005-0000-0000-0000B21D0000}"/>
    <cellStyle name="Normal 8 3 4 4 2" xfId="4029" xr:uid="{00000000-0005-0000-0000-0000B31D0000}"/>
    <cellStyle name="Normal 8 3 4 4 2 2" xfId="8252" xr:uid="{00000000-0005-0000-0000-0000B41D0000}"/>
    <cellStyle name="Normal 8 3 4 4 2 2 2" xfId="16688" xr:uid="{6AD3180D-DE3E-4AE8-99D5-4897F09DE876}"/>
    <cellStyle name="Normal 8 3 4 4 2 3" xfId="12470" xr:uid="{C4ECB8D2-9D1F-46CF-976E-F0A373FFA2DF}"/>
    <cellStyle name="Normal 8 3 4 4 3" xfId="6107" xr:uid="{00000000-0005-0000-0000-0000B51D0000}"/>
    <cellStyle name="Normal 8 3 4 4 3 2" xfId="14543" xr:uid="{BF5E53B5-27D7-4D84-83C7-EC3DF1F381CA}"/>
    <cellStyle name="Normal 8 3 4 4 4" xfId="10325" xr:uid="{ABEBD498-4A56-40F5-878C-F89AEBD644E8}"/>
    <cellStyle name="Normal 8 3 4 5" xfId="2213" xr:uid="{00000000-0005-0000-0000-0000B61D0000}"/>
    <cellStyle name="Normal 8 3 4 5 2" xfId="4442" xr:uid="{00000000-0005-0000-0000-0000B71D0000}"/>
    <cellStyle name="Normal 8 3 4 5 2 2" xfId="8665" xr:uid="{00000000-0005-0000-0000-0000B81D0000}"/>
    <cellStyle name="Normal 8 3 4 5 2 2 2" xfId="17101" xr:uid="{4EE9F41A-4537-4776-8632-1C6E02874D09}"/>
    <cellStyle name="Normal 8 3 4 5 2 3" xfId="12883" xr:uid="{D64A5F50-F797-4353-BCC4-7397452F2A59}"/>
    <cellStyle name="Normal 8 3 4 5 3" xfId="6520" xr:uid="{00000000-0005-0000-0000-0000B91D0000}"/>
    <cellStyle name="Normal 8 3 4 5 3 2" xfId="14956" xr:uid="{7B1D6A85-7F8C-49F1-9274-6A46E1DF114D}"/>
    <cellStyle name="Normal 8 3 4 5 4" xfId="10738" xr:uid="{2999EEA6-2622-429E-81C3-B69B658E32CE}"/>
    <cellStyle name="Normal 8 3 4 6" xfId="2649" xr:uid="{00000000-0005-0000-0000-0000BA1D0000}"/>
    <cellStyle name="Normal 8 3 4 6 2" xfId="6933" xr:uid="{00000000-0005-0000-0000-0000BB1D0000}"/>
    <cellStyle name="Normal 8 3 4 6 2 2" xfId="15369" xr:uid="{79DE6097-29E7-4C5F-8757-19DC020F6E75}"/>
    <cellStyle name="Normal 8 3 4 6 3" xfId="11151" xr:uid="{0C9F4A37-AAC1-4123-8E69-EC8E74DAE7F4}"/>
    <cellStyle name="Normal 8 3 4 7" xfId="4868" xr:uid="{00000000-0005-0000-0000-0000BC1D0000}"/>
    <cellStyle name="Normal 8 3 4 7 2" xfId="13304" xr:uid="{48D18598-EBA9-4301-BF4C-7180B5C14C14}"/>
    <cellStyle name="Normal 8 3 4 8" xfId="9086" xr:uid="{5517767E-EE3A-4862-9D06-01DB9BF05D45}"/>
    <cellStyle name="Normal 8 3 5" xfId="962" xr:uid="{00000000-0005-0000-0000-0000BD1D0000}"/>
    <cellStyle name="Normal 8 3 5 2" xfId="3196" xr:uid="{00000000-0005-0000-0000-0000BE1D0000}"/>
    <cellStyle name="Normal 8 3 5 2 2" xfId="7419" xr:uid="{00000000-0005-0000-0000-0000BF1D0000}"/>
    <cellStyle name="Normal 8 3 5 2 2 2" xfId="15855" xr:uid="{A2F1345D-2EBE-4971-853A-423964CCE04E}"/>
    <cellStyle name="Normal 8 3 5 2 3" xfId="11637" xr:uid="{97C1EEB5-D13A-4A45-8129-3EB67B7AB257}"/>
    <cellStyle name="Normal 8 3 5 3" xfId="5274" xr:uid="{00000000-0005-0000-0000-0000C01D0000}"/>
    <cellStyle name="Normal 8 3 5 3 2" xfId="13710" xr:uid="{A678A60A-A059-4C03-A73C-4AAD5B1A721D}"/>
    <cellStyle name="Normal 8 3 5 4" xfId="9492" xr:uid="{3743F1FA-F99A-4655-A290-5ECA7543BEE7}"/>
    <cellStyle name="Normal 8 3 6" xfId="1379" xr:uid="{00000000-0005-0000-0000-0000C11D0000}"/>
    <cellStyle name="Normal 8 3 6 2" xfId="3609" xr:uid="{00000000-0005-0000-0000-0000C21D0000}"/>
    <cellStyle name="Normal 8 3 6 2 2" xfId="7832" xr:uid="{00000000-0005-0000-0000-0000C31D0000}"/>
    <cellStyle name="Normal 8 3 6 2 2 2" xfId="16268" xr:uid="{68CD2458-3D85-423B-9296-F8E5F10C499D}"/>
    <cellStyle name="Normal 8 3 6 2 3" xfId="12050" xr:uid="{19AA52C3-7BED-4BCA-948D-E69E869CFDC6}"/>
    <cellStyle name="Normal 8 3 6 3" xfId="5687" xr:uid="{00000000-0005-0000-0000-0000C41D0000}"/>
    <cellStyle name="Normal 8 3 6 3 2" xfId="14123" xr:uid="{5851AC7B-25D1-4C5F-A78B-14C08A2D802C}"/>
    <cellStyle name="Normal 8 3 6 4" xfId="9905" xr:uid="{8451C4E5-020A-4266-9B0D-1F1E78EA9189}"/>
    <cellStyle name="Normal 8 3 7" xfId="1792" xr:uid="{00000000-0005-0000-0000-0000C51D0000}"/>
    <cellStyle name="Normal 8 3 7 2" xfId="4022" xr:uid="{00000000-0005-0000-0000-0000C61D0000}"/>
    <cellStyle name="Normal 8 3 7 2 2" xfId="8245" xr:uid="{00000000-0005-0000-0000-0000C71D0000}"/>
    <cellStyle name="Normal 8 3 7 2 2 2" xfId="16681" xr:uid="{F68EDA4C-AF16-432B-B3FA-D8569FF4323D}"/>
    <cellStyle name="Normal 8 3 7 2 3" xfId="12463" xr:uid="{FE9000DE-8052-40C7-9B90-3C142BF6AB29}"/>
    <cellStyle name="Normal 8 3 7 3" xfId="6100" xr:uid="{00000000-0005-0000-0000-0000C81D0000}"/>
    <cellStyle name="Normal 8 3 7 3 2" xfId="14536" xr:uid="{E8D61340-9E33-46A3-A1DA-217624C3F47D}"/>
    <cellStyle name="Normal 8 3 7 4" xfId="10318" xr:uid="{E069AC36-68E9-4FB3-BD1D-5B5E669EC7A2}"/>
    <cellStyle name="Normal 8 3 8" xfId="2206" xr:uid="{00000000-0005-0000-0000-0000C91D0000}"/>
    <cellStyle name="Normal 8 3 8 2" xfId="4435" xr:uid="{00000000-0005-0000-0000-0000CA1D0000}"/>
    <cellStyle name="Normal 8 3 8 2 2" xfId="8658" xr:uid="{00000000-0005-0000-0000-0000CB1D0000}"/>
    <cellStyle name="Normal 8 3 8 2 2 2" xfId="17094" xr:uid="{6D580692-0FAB-4CA2-8BEE-8CFA2BA26EF2}"/>
    <cellStyle name="Normal 8 3 8 2 3" xfId="12876" xr:uid="{9A864306-8654-449D-95B8-258C10F133CE}"/>
    <cellStyle name="Normal 8 3 8 3" xfId="6513" xr:uid="{00000000-0005-0000-0000-0000CC1D0000}"/>
    <cellStyle name="Normal 8 3 8 3 2" xfId="14949" xr:uid="{F8D4F62D-9BBF-4022-9594-EF7F676D988D}"/>
    <cellStyle name="Normal 8 3 8 4" xfId="10731" xr:uid="{E0AEF6CC-E416-414B-B7AB-C392D25EAD02}"/>
    <cellStyle name="Normal 8 3 9" xfId="2642" xr:uid="{00000000-0005-0000-0000-0000CD1D0000}"/>
    <cellStyle name="Normal 8 3 9 2" xfId="6926" xr:uid="{00000000-0005-0000-0000-0000CE1D0000}"/>
    <cellStyle name="Normal 8 3 9 2 2" xfId="15362" xr:uid="{538720DD-6F6D-4D52-B008-2A544D0C1A13}"/>
    <cellStyle name="Normal 8 3 9 3" xfId="11144" xr:uid="{EC85BE19-5726-4955-A313-4369B8B48744}"/>
    <cellStyle name="Normal 8 4" xfId="503" xr:uid="{00000000-0005-0000-0000-0000CF1D0000}"/>
    <cellStyle name="Normal 8 4 10" xfId="9087" xr:uid="{4E581753-F3FD-4DF7-8F37-D61C0771998A}"/>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5" xr:uid="{A0C42110-18DD-49D9-8912-BBF315704CD1}"/>
    <cellStyle name="Normal 8 4 2 2 2 2 3" xfId="11647" xr:uid="{A33EBD09-0B4D-47EA-98C3-7DC8CB169CB6}"/>
    <cellStyle name="Normal 8 4 2 2 2 3" xfId="5284" xr:uid="{00000000-0005-0000-0000-0000D51D0000}"/>
    <cellStyle name="Normal 8 4 2 2 2 3 2" xfId="13720" xr:uid="{DAB44C5A-F2CE-4A70-9C86-112CB9CAED73}"/>
    <cellStyle name="Normal 8 4 2 2 2 4" xfId="9502" xr:uid="{D6FF1C61-E9DC-4B46-87FF-BF13B6A16CC1}"/>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78" xr:uid="{02AF2D06-BEF2-4357-9C84-1ACD4C16D164}"/>
    <cellStyle name="Normal 8 4 2 2 3 2 3" xfId="12060" xr:uid="{1CB5214E-5A23-4313-9869-3A0A7B88B235}"/>
    <cellStyle name="Normal 8 4 2 2 3 3" xfId="5697" xr:uid="{00000000-0005-0000-0000-0000D91D0000}"/>
    <cellStyle name="Normal 8 4 2 2 3 3 2" xfId="14133" xr:uid="{D4B580AB-CDC8-4446-B5ED-619E23B8EE07}"/>
    <cellStyle name="Normal 8 4 2 2 3 4" xfId="9915" xr:uid="{80FB7BB5-B325-4176-8157-B22CFC6236B1}"/>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1" xr:uid="{1F9B5D64-8209-44C4-96BA-1C1CF46F1CF5}"/>
    <cellStyle name="Normal 8 4 2 2 4 2 3" xfId="12473" xr:uid="{49907970-6C24-446F-9332-77525F92B91E}"/>
    <cellStyle name="Normal 8 4 2 2 4 3" xfId="6110" xr:uid="{00000000-0005-0000-0000-0000DD1D0000}"/>
    <cellStyle name="Normal 8 4 2 2 4 3 2" xfId="14546" xr:uid="{2466612A-10E4-4374-ABF7-4B293796A77B}"/>
    <cellStyle name="Normal 8 4 2 2 4 4" xfId="10328" xr:uid="{3EFE6965-56CF-414B-8232-5D0E72ED93A7}"/>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4" xr:uid="{6A80E569-49D5-46C6-9C63-5F8065B6CE0D}"/>
    <cellStyle name="Normal 8 4 2 2 5 2 3" xfId="12886" xr:uid="{89DB7BB7-D6B2-4A29-B428-EBC24DCF5720}"/>
    <cellStyle name="Normal 8 4 2 2 5 3" xfId="6523" xr:uid="{00000000-0005-0000-0000-0000E11D0000}"/>
    <cellStyle name="Normal 8 4 2 2 5 3 2" xfId="14959" xr:uid="{157D9D65-2BBC-4DF7-AAC3-E840856034EA}"/>
    <cellStyle name="Normal 8 4 2 2 5 4" xfId="10741" xr:uid="{6A666EE5-B037-4E08-85CF-1301991A43CA}"/>
    <cellStyle name="Normal 8 4 2 2 6" xfId="2652" xr:uid="{00000000-0005-0000-0000-0000E21D0000}"/>
    <cellStyle name="Normal 8 4 2 2 6 2" xfId="6936" xr:uid="{00000000-0005-0000-0000-0000E31D0000}"/>
    <cellStyle name="Normal 8 4 2 2 6 2 2" xfId="15372" xr:uid="{7EA31718-AB6B-4396-82F6-38B1A8FF0338}"/>
    <cellStyle name="Normal 8 4 2 2 6 3" xfId="11154" xr:uid="{E94FD419-7CF1-471A-859D-7E93145CBCC9}"/>
    <cellStyle name="Normal 8 4 2 2 7" xfId="4871" xr:uid="{00000000-0005-0000-0000-0000E41D0000}"/>
    <cellStyle name="Normal 8 4 2 2 7 2" xfId="13307" xr:uid="{30226F48-E25F-47FB-945A-5F35EB9992D3}"/>
    <cellStyle name="Normal 8 4 2 2 8" xfId="9089" xr:uid="{F2BD7C5A-A059-421D-AFBB-91A66BE7B413}"/>
    <cellStyle name="Normal 8 4 2 3" xfId="971" xr:uid="{00000000-0005-0000-0000-0000E51D0000}"/>
    <cellStyle name="Normal 8 4 2 3 2" xfId="3205" xr:uid="{00000000-0005-0000-0000-0000E61D0000}"/>
    <cellStyle name="Normal 8 4 2 3 2 2" xfId="7428" xr:uid="{00000000-0005-0000-0000-0000E71D0000}"/>
    <cellStyle name="Normal 8 4 2 3 2 2 2" xfId="15864" xr:uid="{F8DB54FB-7AF0-4FE0-BFFD-C95AA47C27ED}"/>
    <cellStyle name="Normal 8 4 2 3 2 3" xfId="11646" xr:uid="{6C2804B7-2355-4CC0-84EA-51D2A67D425C}"/>
    <cellStyle name="Normal 8 4 2 3 3" xfId="5283" xr:uid="{00000000-0005-0000-0000-0000E81D0000}"/>
    <cellStyle name="Normal 8 4 2 3 3 2" xfId="13719" xr:uid="{E5F55159-5355-4F17-9966-758DA9B4780F}"/>
    <cellStyle name="Normal 8 4 2 3 4" xfId="9501" xr:uid="{E610D84F-419E-4BC0-A60E-FC815B23EA8B}"/>
    <cellStyle name="Normal 8 4 2 4" xfId="1388" xr:uid="{00000000-0005-0000-0000-0000E91D0000}"/>
    <cellStyle name="Normal 8 4 2 4 2" xfId="3618" xr:uid="{00000000-0005-0000-0000-0000EA1D0000}"/>
    <cellStyle name="Normal 8 4 2 4 2 2" xfId="7841" xr:uid="{00000000-0005-0000-0000-0000EB1D0000}"/>
    <cellStyle name="Normal 8 4 2 4 2 2 2" xfId="16277" xr:uid="{367E4261-E72D-4475-9FE9-AB0FACE1916B}"/>
    <cellStyle name="Normal 8 4 2 4 2 3" xfId="12059" xr:uid="{3B7B5645-4F49-49CF-85C8-1FBFDE96B2C6}"/>
    <cellStyle name="Normal 8 4 2 4 3" xfId="5696" xr:uid="{00000000-0005-0000-0000-0000EC1D0000}"/>
    <cellStyle name="Normal 8 4 2 4 3 2" xfId="14132" xr:uid="{57B08B57-0C05-45AF-94ED-72138B629C4A}"/>
    <cellStyle name="Normal 8 4 2 4 4" xfId="9914" xr:uid="{E7E50684-E76C-4A16-BBA3-0B458B91C3F5}"/>
    <cellStyle name="Normal 8 4 2 5" xfId="1801" xr:uid="{00000000-0005-0000-0000-0000ED1D0000}"/>
    <cellStyle name="Normal 8 4 2 5 2" xfId="4031" xr:uid="{00000000-0005-0000-0000-0000EE1D0000}"/>
    <cellStyle name="Normal 8 4 2 5 2 2" xfId="8254" xr:uid="{00000000-0005-0000-0000-0000EF1D0000}"/>
    <cellStyle name="Normal 8 4 2 5 2 2 2" xfId="16690" xr:uid="{1FA7C7B3-E838-4F39-998B-3F3C644D3542}"/>
    <cellStyle name="Normal 8 4 2 5 2 3" xfId="12472" xr:uid="{99585BF7-BF9D-4BD2-96BC-CB70CFCABC66}"/>
    <cellStyle name="Normal 8 4 2 5 3" xfId="6109" xr:uid="{00000000-0005-0000-0000-0000F01D0000}"/>
    <cellStyle name="Normal 8 4 2 5 3 2" xfId="14545" xr:uid="{9FFAB4C8-7FD1-4008-A035-6B8F17907309}"/>
    <cellStyle name="Normal 8 4 2 5 4" xfId="10327" xr:uid="{0A92EE11-A78E-4E0E-8C74-67087D6744EC}"/>
    <cellStyle name="Normal 8 4 2 6" xfId="2215" xr:uid="{00000000-0005-0000-0000-0000F11D0000}"/>
    <cellStyle name="Normal 8 4 2 6 2" xfId="4444" xr:uid="{00000000-0005-0000-0000-0000F21D0000}"/>
    <cellStyle name="Normal 8 4 2 6 2 2" xfId="8667" xr:uid="{00000000-0005-0000-0000-0000F31D0000}"/>
    <cellStyle name="Normal 8 4 2 6 2 2 2" xfId="17103" xr:uid="{D289D148-A347-435D-8A2E-E5CBBCF7F57A}"/>
    <cellStyle name="Normal 8 4 2 6 2 3" xfId="12885" xr:uid="{C3F9CCF9-BE29-4DD9-A551-2410FB194F4C}"/>
    <cellStyle name="Normal 8 4 2 6 3" xfId="6522" xr:uid="{00000000-0005-0000-0000-0000F41D0000}"/>
    <cellStyle name="Normal 8 4 2 6 3 2" xfId="14958" xr:uid="{8F21A02E-B110-42FC-82C6-2839C3A2525C}"/>
    <cellStyle name="Normal 8 4 2 6 4" xfId="10740" xr:uid="{A6F06133-3254-42FB-8EA2-058960193A47}"/>
    <cellStyle name="Normal 8 4 2 7" xfId="2651" xr:uid="{00000000-0005-0000-0000-0000F51D0000}"/>
    <cellStyle name="Normal 8 4 2 7 2" xfId="6935" xr:uid="{00000000-0005-0000-0000-0000F61D0000}"/>
    <cellStyle name="Normal 8 4 2 7 2 2" xfId="15371" xr:uid="{3D7817B0-6342-4BBD-9387-E1AE973C8602}"/>
    <cellStyle name="Normal 8 4 2 7 3" xfId="11153" xr:uid="{1D1AC2D6-D053-4E72-908C-7987A432FED9}"/>
    <cellStyle name="Normal 8 4 2 8" xfId="4870" xr:uid="{00000000-0005-0000-0000-0000F71D0000}"/>
    <cellStyle name="Normal 8 4 2 8 2" xfId="13306" xr:uid="{021B4ABA-248D-4104-86F1-C5FA57A1E87C}"/>
    <cellStyle name="Normal 8 4 2 9" xfId="9088" xr:uid="{D121ADD0-4D60-4A4C-9ED6-AE938557474F}"/>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6" xr:uid="{8E108173-352F-40B2-89A5-BB71F52EDA61}"/>
    <cellStyle name="Normal 8 4 3 2 2 3" xfId="11648" xr:uid="{71EBFFBF-02B0-4269-BE5D-F8E7A7B1778A}"/>
    <cellStyle name="Normal 8 4 3 2 3" xfId="5285" xr:uid="{00000000-0005-0000-0000-0000FC1D0000}"/>
    <cellStyle name="Normal 8 4 3 2 3 2" xfId="13721" xr:uid="{E57FB5C7-632E-4606-8DA2-308A1BC292C0}"/>
    <cellStyle name="Normal 8 4 3 2 4" xfId="9503" xr:uid="{D1B97DD0-DB18-4C5C-90E1-3D18FDEBE02C}"/>
    <cellStyle name="Normal 8 4 3 3" xfId="1390" xr:uid="{00000000-0005-0000-0000-0000FD1D0000}"/>
    <cellStyle name="Normal 8 4 3 3 2" xfId="3620" xr:uid="{00000000-0005-0000-0000-0000FE1D0000}"/>
    <cellStyle name="Normal 8 4 3 3 2 2" xfId="7843" xr:uid="{00000000-0005-0000-0000-0000FF1D0000}"/>
    <cellStyle name="Normal 8 4 3 3 2 2 2" xfId="16279" xr:uid="{6AD42137-8FD8-4EE8-B8DD-D2598154FA6F}"/>
    <cellStyle name="Normal 8 4 3 3 2 3" xfId="12061" xr:uid="{5FA7AF8E-FC9A-40C6-814E-56004FF2484C}"/>
    <cellStyle name="Normal 8 4 3 3 3" xfId="5698" xr:uid="{00000000-0005-0000-0000-0000001E0000}"/>
    <cellStyle name="Normal 8 4 3 3 3 2" xfId="14134" xr:uid="{A2FE3815-4D62-4CF8-B90D-0C1A166ECA2B}"/>
    <cellStyle name="Normal 8 4 3 3 4" xfId="9916" xr:uid="{56E24099-5195-48A8-8F93-758C6989D261}"/>
    <cellStyle name="Normal 8 4 3 4" xfId="1803" xr:uid="{00000000-0005-0000-0000-0000011E0000}"/>
    <cellStyle name="Normal 8 4 3 4 2" xfId="4033" xr:uid="{00000000-0005-0000-0000-0000021E0000}"/>
    <cellStyle name="Normal 8 4 3 4 2 2" xfId="8256" xr:uid="{00000000-0005-0000-0000-0000031E0000}"/>
    <cellStyle name="Normal 8 4 3 4 2 2 2" xfId="16692" xr:uid="{414711F2-91F2-427B-B64D-D88D9F75BA2E}"/>
    <cellStyle name="Normal 8 4 3 4 2 3" xfId="12474" xr:uid="{B63337D7-8ABD-49C8-A1DE-9B2106342798}"/>
    <cellStyle name="Normal 8 4 3 4 3" xfId="6111" xr:uid="{00000000-0005-0000-0000-0000041E0000}"/>
    <cellStyle name="Normal 8 4 3 4 3 2" xfId="14547" xr:uid="{0EDF6583-77DE-48BB-AC9B-3D7C16D7C244}"/>
    <cellStyle name="Normal 8 4 3 4 4" xfId="10329" xr:uid="{6C1E5456-92F6-4303-A834-8FC952029253}"/>
    <cellStyle name="Normal 8 4 3 5" xfId="2217" xr:uid="{00000000-0005-0000-0000-0000051E0000}"/>
    <cellStyle name="Normal 8 4 3 5 2" xfId="4446" xr:uid="{00000000-0005-0000-0000-0000061E0000}"/>
    <cellStyle name="Normal 8 4 3 5 2 2" xfId="8669" xr:uid="{00000000-0005-0000-0000-0000071E0000}"/>
    <cellStyle name="Normal 8 4 3 5 2 2 2" xfId="17105" xr:uid="{285342B9-2D06-47DE-996A-14F63E73F9E9}"/>
    <cellStyle name="Normal 8 4 3 5 2 3" xfId="12887" xr:uid="{F4F8BA85-C919-4E48-B03C-FBAB27B89816}"/>
    <cellStyle name="Normal 8 4 3 5 3" xfId="6524" xr:uid="{00000000-0005-0000-0000-0000081E0000}"/>
    <cellStyle name="Normal 8 4 3 5 3 2" xfId="14960" xr:uid="{DD33C82D-E3AD-41FD-A4E6-9D7A7E567882}"/>
    <cellStyle name="Normal 8 4 3 5 4" xfId="10742" xr:uid="{155816C4-3DD9-467E-A808-65D2848EC166}"/>
    <cellStyle name="Normal 8 4 3 6" xfId="2653" xr:uid="{00000000-0005-0000-0000-0000091E0000}"/>
    <cellStyle name="Normal 8 4 3 6 2" xfId="6937" xr:uid="{00000000-0005-0000-0000-00000A1E0000}"/>
    <cellStyle name="Normal 8 4 3 6 2 2" xfId="15373" xr:uid="{98D54BEF-7AB5-4072-877D-2D6F173AC21B}"/>
    <cellStyle name="Normal 8 4 3 6 3" xfId="11155" xr:uid="{8FDAF76D-7719-46C4-876F-AB7B61F60069}"/>
    <cellStyle name="Normal 8 4 3 7" xfId="4872" xr:uid="{00000000-0005-0000-0000-00000B1E0000}"/>
    <cellStyle name="Normal 8 4 3 7 2" xfId="13308" xr:uid="{26F7A965-0E69-4B70-9A8B-2F5647AAD9B0}"/>
    <cellStyle name="Normal 8 4 3 8" xfId="9090" xr:uid="{00576986-437C-4F13-8186-97FF53AEA4CB}"/>
    <cellStyle name="Normal 8 4 4" xfId="970" xr:uid="{00000000-0005-0000-0000-00000C1E0000}"/>
    <cellStyle name="Normal 8 4 4 2" xfId="3204" xr:uid="{00000000-0005-0000-0000-00000D1E0000}"/>
    <cellStyle name="Normal 8 4 4 2 2" xfId="7427" xr:uid="{00000000-0005-0000-0000-00000E1E0000}"/>
    <cellStyle name="Normal 8 4 4 2 2 2" xfId="15863" xr:uid="{EA717299-117D-4D1B-BDD2-F5E544FFE4F2}"/>
    <cellStyle name="Normal 8 4 4 2 3" xfId="11645" xr:uid="{15C28D20-79CC-406C-B968-76B04641A5ED}"/>
    <cellStyle name="Normal 8 4 4 3" xfId="5282" xr:uid="{00000000-0005-0000-0000-00000F1E0000}"/>
    <cellStyle name="Normal 8 4 4 3 2" xfId="13718" xr:uid="{23508A0C-D78A-4980-B2D2-952636793629}"/>
    <cellStyle name="Normal 8 4 4 4" xfId="9500" xr:uid="{0C3CC739-6BFD-4BFA-A336-82790806BBB9}"/>
    <cellStyle name="Normal 8 4 5" xfId="1387" xr:uid="{00000000-0005-0000-0000-0000101E0000}"/>
    <cellStyle name="Normal 8 4 5 2" xfId="3617" xr:uid="{00000000-0005-0000-0000-0000111E0000}"/>
    <cellStyle name="Normal 8 4 5 2 2" xfId="7840" xr:uid="{00000000-0005-0000-0000-0000121E0000}"/>
    <cellStyle name="Normal 8 4 5 2 2 2" xfId="16276" xr:uid="{61379242-F725-4C1F-9424-384AD849B957}"/>
    <cellStyle name="Normal 8 4 5 2 3" xfId="12058" xr:uid="{D4BD8B75-04B8-4EAD-B02D-3E471238E131}"/>
    <cellStyle name="Normal 8 4 5 3" xfId="5695" xr:uid="{00000000-0005-0000-0000-0000131E0000}"/>
    <cellStyle name="Normal 8 4 5 3 2" xfId="14131" xr:uid="{7C545E98-C5F9-4602-A804-B31AA84C0B3B}"/>
    <cellStyle name="Normal 8 4 5 4" xfId="9913" xr:uid="{AE3F0AA0-977A-40FE-AE70-3642600BEB8F}"/>
    <cellStyle name="Normal 8 4 6" xfId="1800" xr:uid="{00000000-0005-0000-0000-0000141E0000}"/>
    <cellStyle name="Normal 8 4 6 2" xfId="4030" xr:uid="{00000000-0005-0000-0000-0000151E0000}"/>
    <cellStyle name="Normal 8 4 6 2 2" xfId="8253" xr:uid="{00000000-0005-0000-0000-0000161E0000}"/>
    <cellStyle name="Normal 8 4 6 2 2 2" xfId="16689" xr:uid="{008C8096-BE2B-4E86-B553-2C17A9FBE6D4}"/>
    <cellStyle name="Normal 8 4 6 2 3" xfId="12471" xr:uid="{10B32458-859E-4A01-9F66-8E7C84E4DF7E}"/>
    <cellStyle name="Normal 8 4 6 3" xfId="6108" xr:uid="{00000000-0005-0000-0000-0000171E0000}"/>
    <cellStyle name="Normal 8 4 6 3 2" xfId="14544" xr:uid="{3D43158C-3C2F-462B-AA75-C4DFA2DA531A}"/>
    <cellStyle name="Normal 8 4 6 4" xfId="10326" xr:uid="{F8C23F9C-3792-46E5-B35B-5592A9986E1C}"/>
    <cellStyle name="Normal 8 4 7" xfId="2214" xr:uid="{00000000-0005-0000-0000-0000181E0000}"/>
    <cellStyle name="Normal 8 4 7 2" xfId="4443" xr:uid="{00000000-0005-0000-0000-0000191E0000}"/>
    <cellStyle name="Normal 8 4 7 2 2" xfId="8666" xr:uid="{00000000-0005-0000-0000-00001A1E0000}"/>
    <cellStyle name="Normal 8 4 7 2 2 2" xfId="17102" xr:uid="{1E13CB15-A123-49FA-94B5-0C127122D040}"/>
    <cellStyle name="Normal 8 4 7 2 3" xfId="12884" xr:uid="{00191D92-C24F-4595-AAC6-07B362C81A05}"/>
    <cellStyle name="Normal 8 4 7 3" xfId="6521" xr:uid="{00000000-0005-0000-0000-00001B1E0000}"/>
    <cellStyle name="Normal 8 4 7 3 2" xfId="14957" xr:uid="{7E93F128-26DF-4E74-8F45-7A7F8A9FEE29}"/>
    <cellStyle name="Normal 8 4 7 4" xfId="10739" xr:uid="{2ECE21FD-DE3D-49B2-8903-93D95D3F4C5E}"/>
    <cellStyle name="Normal 8 4 8" xfId="2650" xr:uid="{00000000-0005-0000-0000-00001C1E0000}"/>
    <cellStyle name="Normal 8 4 8 2" xfId="6934" xr:uid="{00000000-0005-0000-0000-00001D1E0000}"/>
    <cellStyle name="Normal 8 4 8 2 2" xfId="15370" xr:uid="{E17FF3CC-443C-4344-B53E-D8256562C992}"/>
    <cellStyle name="Normal 8 4 8 3" xfId="11152" xr:uid="{6B4AA84A-39CB-4C03-A0EB-70BBA1E99716}"/>
    <cellStyle name="Normal 8 4 9" xfId="4869" xr:uid="{00000000-0005-0000-0000-00001E1E0000}"/>
    <cellStyle name="Normal 8 4 9 2" xfId="13305" xr:uid="{06C58205-43ED-4E4E-9F28-1B9E4FA7ACEF}"/>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68" xr:uid="{3F2E79E2-2B0B-40DA-BFDD-2239BEC731BB}"/>
    <cellStyle name="Normal 8 5 2 2 2 3" xfId="11650" xr:uid="{8F485C3C-A499-4160-92FC-41B31454AC24}"/>
    <cellStyle name="Normal 8 5 2 2 3" xfId="5287" xr:uid="{00000000-0005-0000-0000-0000241E0000}"/>
    <cellStyle name="Normal 8 5 2 2 3 2" xfId="13723" xr:uid="{30D17F2F-F27F-436A-A0D2-300608D02768}"/>
    <cellStyle name="Normal 8 5 2 2 4" xfId="9505" xr:uid="{EC81E8A3-0ADF-433E-9746-32AB80E06D9E}"/>
    <cellStyle name="Normal 8 5 2 3" xfId="1392" xr:uid="{00000000-0005-0000-0000-0000251E0000}"/>
    <cellStyle name="Normal 8 5 2 3 2" xfId="3622" xr:uid="{00000000-0005-0000-0000-0000261E0000}"/>
    <cellStyle name="Normal 8 5 2 3 2 2" xfId="7845" xr:uid="{00000000-0005-0000-0000-0000271E0000}"/>
    <cellStyle name="Normal 8 5 2 3 2 2 2" xfId="16281" xr:uid="{218281E5-935E-4D6D-A8DD-E1F1389D17EF}"/>
    <cellStyle name="Normal 8 5 2 3 2 3" xfId="12063" xr:uid="{C136571E-2D63-49E6-9496-7805AC2E9F0C}"/>
    <cellStyle name="Normal 8 5 2 3 3" xfId="5700" xr:uid="{00000000-0005-0000-0000-0000281E0000}"/>
    <cellStyle name="Normal 8 5 2 3 3 2" xfId="14136" xr:uid="{05952434-A3AE-4A3C-808B-ACABC480C09E}"/>
    <cellStyle name="Normal 8 5 2 3 4" xfId="9918" xr:uid="{2C21F22D-E11E-44B9-A59C-D84F615AF814}"/>
    <cellStyle name="Normal 8 5 2 4" xfId="1805" xr:uid="{00000000-0005-0000-0000-0000291E0000}"/>
    <cellStyle name="Normal 8 5 2 4 2" xfId="4035" xr:uid="{00000000-0005-0000-0000-00002A1E0000}"/>
    <cellStyle name="Normal 8 5 2 4 2 2" xfId="8258" xr:uid="{00000000-0005-0000-0000-00002B1E0000}"/>
    <cellStyle name="Normal 8 5 2 4 2 2 2" xfId="16694" xr:uid="{07F83F73-DF99-4202-921E-4D10C0EA28E8}"/>
    <cellStyle name="Normal 8 5 2 4 2 3" xfId="12476" xr:uid="{11D0FDD2-7F81-42A9-98A3-1FFFC7B2ABFD}"/>
    <cellStyle name="Normal 8 5 2 4 3" xfId="6113" xr:uid="{00000000-0005-0000-0000-00002C1E0000}"/>
    <cellStyle name="Normal 8 5 2 4 3 2" xfId="14549" xr:uid="{CCBE9C13-E705-403D-851D-0CC422C80CF1}"/>
    <cellStyle name="Normal 8 5 2 4 4" xfId="10331" xr:uid="{92F3E83A-D1EC-4BE8-ABC4-DB5268337A7E}"/>
    <cellStyle name="Normal 8 5 2 5" xfId="2219" xr:uid="{00000000-0005-0000-0000-00002D1E0000}"/>
    <cellStyle name="Normal 8 5 2 5 2" xfId="4448" xr:uid="{00000000-0005-0000-0000-00002E1E0000}"/>
    <cellStyle name="Normal 8 5 2 5 2 2" xfId="8671" xr:uid="{00000000-0005-0000-0000-00002F1E0000}"/>
    <cellStyle name="Normal 8 5 2 5 2 2 2" xfId="17107" xr:uid="{CDAC2A43-71A4-4E80-B7D4-869AFDDC3CBF}"/>
    <cellStyle name="Normal 8 5 2 5 2 3" xfId="12889" xr:uid="{C4ABFF0F-1727-49F1-83B5-0C18A6213365}"/>
    <cellStyle name="Normal 8 5 2 5 3" xfId="6526" xr:uid="{00000000-0005-0000-0000-0000301E0000}"/>
    <cellStyle name="Normal 8 5 2 5 3 2" xfId="14962" xr:uid="{AB911967-2E56-44D4-987F-D011B09B8273}"/>
    <cellStyle name="Normal 8 5 2 5 4" xfId="10744" xr:uid="{871005ED-A29D-4679-864A-1FE5CF5CE9CC}"/>
    <cellStyle name="Normal 8 5 2 6" xfId="2655" xr:uid="{00000000-0005-0000-0000-0000311E0000}"/>
    <cellStyle name="Normal 8 5 2 6 2" xfId="6939" xr:uid="{00000000-0005-0000-0000-0000321E0000}"/>
    <cellStyle name="Normal 8 5 2 6 2 2" xfId="15375" xr:uid="{886075FA-C733-46DC-A45E-AC85848AFFA2}"/>
    <cellStyle name="Normal 8 5 2 6 3" xfId="11157" xr:uid="{6E448957-9B47-4CB0-9911-10510F4CB0AF}"/>
    <cellStyle name="Normal 8 5 2 7" xfId="4874" xr:uid="{00000000-0005-0000-0000-0000331E0000}"/>
    <cellStyle name="Normal 8 5 2 7 2" xfId="13310" xr:uid="{7161696F-2945-49F8-B79B-45B1DCD2CA9B}"/>
    <cellStyle name="Normal 8 5 2 8" xfId="9092" xr:uid="{F34396D2-6C51-4D63-8A32-D62428F3A9F3}"/>
    <cellStyle name="Normal 8 5 3" xfId="974" xr:uid="{00000000-0005-0000-0000-0000341E0000}"/>
    <cellStyle name="Normal 8 5 3 2" xfId="3208" xr:uid="{00000000-0005-0000-0000-0000351E0000}"/>
    <cellStyle name="Normal 8 5 3 2 2" xfId="7431" xr:uid="{00000000-0005-0000-0000-0000361E0000}"/>
    <cellStyle name="Normal 8 5 3 2 2 2" xfId="15867" xr:uid="{899D0841-D136-4B05-B21D-C02CC8A8C327}"/>
    <cellStyle name="Normal 8 5 3 2 3" xfId="11649" xr:uid="{7C0AB7C0-3DD2-4C1A-B7F0-0A5461D14CB6}"/>
    <cellStyle name="Normal 8 5 3 3" xfId="5286" xr:uid="{00000000-0005-0000-0000-0000371E0000}"/>
    <cellStyle name="Normal 8 5 3 3 2" xfId="13722" xr:uid="{6820DB51-A791-48E7-BF4D-BE956D18CBCC}"/>
    <cellStyle name="Normal 8 5 3 4" xfId="9504" xr:uid="{653EEF2E-F382-4046-8BE6-5E4B04F03079}"/>
    <cellStyle name="Normal 8 5 4" xfId="1391" xr:uid="{00000000-0005-0000-0000-0000381E0000}"/>
    <cellStyle name="Normal 8 5 4 2" xfId="3621" xr:uid="{00000000-0005-0000-0000-0000391E0000}"/>
    <cellStyle name="Normal 8 5 4 2 2" xfId="7844" xr:uid="{00000000-0005-0000-0000-00003A1E0000}"/>
    <cellStyle name="Normal 8 5 4 2 2 2" xfId="16280" xr:uid="{5CF4BA66-7727-44F0-917D-486AD4100175}"/>
    <cellStyle name="Normal 8 5 4 2 3" xfId="12062" xr:uid="{EF393764-D134-49C6-A7B4-63DD1ECF2C1D}"/>
    <cellStyle name="Normal 8 5 4 3" xfId="5699" xr:uid="{00000000-0005-0000-0000-00003B1E0000}"/>
    <cellStyle name="Normal 8 5 4 3 2" xfId="14135" xr:uid="{2C7E0F52-31F7-4164-B2CF-CB5077499EAA}"/>
    <cellStyle name="Normal 8 5 4 4" xfId="9917" xr:uid="{FC2A175A-78CE-4830-9ED4-E980F8B80266}"/>
    <cellStyle name="Normal 8 5 5" xfId="1804" xr:uid="{00000000-0005-0000-0000-00003C1E0000}"/>
    <cellStyle name="Normal 8 5 5 2" xfId="4034" xr:uid="{00000000-0005-0000-0000-00003D1E0000}"/>
    <cellStyle name="Normal 8 5 5 2 2" xfId="8257" xr:uid="{00000000-0005-0000-0000-00003E1E0000}"/>
    <cellStyle name="Normal 8 5 5 2 2 2" xfId="16693" xr:uid="{0E1F51AA-A7AB-46C7-9E55-9BCE2FDA0DC7}"/>
    <cellStyle name="Normal 8 5 5 2 3" xfId="12475" xr:uid="{AAE3D37F-83C9-42B8-8FC0-F193D0420847}"/>
    <cellStyle name="Normal 8 5 5 3" xfId="6112" xr:uid="{00000000-0005-0000-0000-00003F1E0000}"/>
    <cellStyle name="Normal 8 5 5 3 2" xfId="14548" xr:uid="{EFE0A9A6-3E95-436D-83D1-346DCD5D6204}"/>
    <cellStyle name="Normal 8 5 5 4" xfId="10330" xr:uid="{F3887BB7-FCC8-4748-942E-018C51D21F15}"/>
    <cellStyle name="Normal 8 5 6" xfId="2218" xr:uid="{00000000-0005-0000-0000-0000401E0000}"/>
    <cellStyle name="Normal 8 5 6 2" xfId="4447" xr:uid="{00000000-0005-0000-0000-0000411E0000}"/>
    <cellStyle name="Normal 8 5 6 2 2" xfId="8670" xr:uid="{00000000-0005-0000-0000-0000421E0000}"/>
    <cellStyle name="Normal 8 5 6 2 2 2" xfId="17106" xr:uid="{85E37DE1-A326-4EA1-8F18-0DA2C5DB81AE}"/>
    <cellStyle name="Normal 8 5 6 2 3" xfId="12888" xr:uid="{9EE81461-A757-4314-AE16-91F9B0DAA51A}"/>
    <cellStyle name="Normal 8 5 6 3" xfId="6525" xr:uid="{00000000-0005-0000-0000-0000431E0000}"/>
    <cellStyle name="Normal 8 5 6 3 2" xfId="14961" xr:uid="{4630EB22-A4D1-4512-8A84-EB4FC554820E}"/>
    <cellStyle name="Normal 8 5 6 4" xfId="10743" xr:uid="{C07788B3-D030-4D4F-88FC-AB66CEFDD823}"/>
    <cellStyle name="Normal 8 5 7" xfId="2654" xr:uid="{00000000-0005-0000-0000-0000441E0000}"/>
    <cellStyle name="Normal 8 5 7 2" xfId="6938" xr:uid="{00000000-0005-0000-0000-0000451E0000}"/>
    <cellStyle name="Normal 8 5 7 2 2" xfId="15374" xr:uid="{30464ADF-6250-4D10-8D7E-CED8FC7FFDE9}"/>
    <cellStyle name="Normal 8 5 7 3" xfId="11156" xr:uid="{9D233517-FA77-46B8-A1DC-F32D268615C7}"/>
    <cellStyle name="Normal 8 5 8" xfId="4873" xr:uid="{00000000-0005-0000-0000-0000461E0000}"/>
    <cellStyle name="Normal 8 5 8 2" xfId="13309" xr:uid="{AC4FD87A-AE24-4221-803B-2820DDDB35F2}"/>
    <cellStyle name="Normal 8 5 9" xfId="9091" xr:uid="{C24EE485-07EC-4B2D-AEFD-C76CC030300E}"/>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69" xr:uid="{E4356178-D3E7-49CB-9EE3-08C99ECB2D70}"/>
    <cellStyle name="Normal 8 6 2 2 3" xfId="11651" xr:uid="{37511287-DC71-4F6D-89F4-F754911C2D5B}"/>
    <cellStyle name="Normal 8 6 2 3" xfId="5288" xr:uid="{00000000-0005-0000-0000-00004B1E0000}"/>
    <cellStyle name="Normal 8 6 2 3 2" xfId="13724" xr:uid="{1C8B2AF6-7555-493F-B9FD-5428B04BB0DC}"/>
    <cellStyle name="Normal 8 6 2 4" xfId="9506" xr:uid="{D1FD5054-3FDA-4D6E-8F43-22AB36F4FC3B}"/>
    <cellStyle name="Normal 8 6 3" xfId="1393" xr:uid="{00000000-0005-0000-0000-00004C1E0000}"/>
    <cellStyle name="Normal 8 6 3 2" xfId="3623" xr:uid="{00000000-0005-0000-0000-00004D1E0000}"/>
    <cellStyle name="Normal 8 6 3 2 2" xfId="7846" xr:uid="{00000000-0005-0000-0000-00004E1E0000}"/>
    <cellStyle name="Normal 8 6 3 2 2 2" xfId="16282" xr:uid="{6FB4CDBE-7C74-4D66-8D70-A8BFFCD03C49}"/>
    <cellStyle name="Normal 8 6 3 2 3" xfId="12064" xr:uid="{C0223F71-D925-47AE-81FB-8F68BEF07E8E}"/>
    <cellStyle name="Normal 8 6 3 3" xfId="5701" xr:uid="{00000000-0005-0000-0000-00004F1E0000}"/>
    <cellStyle name="Normal 8 6 3 3 2" xfId="14137" xr:uid="{F016A169-7360-4549-8078-8B6015D56262}"/>
    <cellStyle name="Normal 8 6 3 4" xfId="9919" xr:uid="{41BF4046-9CB3-4350-BDB3-155B0EC23550}"/>
    <cellStyle name="Normal 8 6 4" xfId="1806" xr:uid="{00000000-0005-0000-0000-0000501E0000}"/>
    <cellStyle name="Normal 8 6 4 2" xfId="4036" xr:uid="{00000000-0005-0000-0000-0000511E0000}"/>
    <cellStyle name="Normal 8 6 4 2 2" xfId="8259" xr:uid="{00000000-0005-0000-0000-0000521E0000}"/>
    <cellStyle name="Normal 8 6 4 2 2 2" xfId="16695" xr:uid="{688B715A-85A1-4C94-9F67-35116E4EC6E7}"/>
    <cellStyle name="Normal 8 6 4 2 3" xfId="12477" xr:uid="{CA936D40-B0EE-4A90-95F2-58C7AB62D457}"/>
    <cellStyle name="Normal 8 6 4 3" xfId="6114" xr:uid="{00000000-0005-0000-0000-0000531E0000}"/>
    <cellStyle name="Normal 8 6 4 3 2" xfId="14550" xr:uid="{BE5A52B6-D939-4F85-9812-444793ACA100}"/>
    <cellStyle name="Normal 8 6 4 4" xfId="10332" xr:uid="{C5D6533F-761B-450C-881E-3BEE7122EEFA}"/>
    <cellStyle name="Normal 8 6 5" xfId="2220" xr:uid="{00000000-0005-0000-0000-0000541E0000}"/>
    <cellStyle name="Normal 8 6 5 2" xfId="4449" xr:uid="{00000000-0005-0000-0000-0000551E0000}"/>
    <cellStyle name="Normal 8 6 5 2 2" xfId="8672" xr:uid="{00000000-0005-0000-0000-0000561E0000}"/>
    <cellStyle name="Normal 8 6 5 2 2 2" xfId="17108" xr:uid="{4AA5F5F7-367B-49D7-93DC-9527E3D5394A}"/>
    <cellStyle name="Normal 8 6 5 2 3" xfId="12890" xr:uid="{76E22CEB-DCAB-443E-89A8-D999B69002D1}"/>
    <cellStyle name="Normal 8 6 5 3" xfId="6527" xr:uid="{00000000-0005-0000-0000-0000571E0000}"/>
    <cellStyle name="Normal 8 6 5 3 2" xfId="14963" xr:uid="{365B3200-775D-467A-B310-E43FDED0BFCA}"/>
    <cellStyle name="Normal 8 6 5 4" xfId="10745" xr:uid="{AB4018AB-4E6D-421D-98DF-5D1D0F5FFB5E}"/>
    <cellStyle name="Normal 8 6 6" xfId="2656" xr:uid="{00000000-0005-0000-0000-0000581E0000}"/>
    <cellStyle name="Normal 8 6 6 2" xfId="6940" xr:uid="{00000000-0005-0000-0000-0000591E0000}"/>
    <cellStyle name="Normal 8 6 6 2 2" xfId="15376" xr:uid="{B1EB0B8C-7304-41C0-98D0-1C7C718C7EC3}"/>
    <cellStyle name="Normal 8 6 6 3" xfId="11158" xr:uid="{3B23F0AB-00D6-4904-B549-3788F35B3FE3}"/>
    <cellStyle name="Normal 8 6 7" xfId="4875" xr:uid="{00000000-0005-0000-0000-00005A1E0000}"/>
    <cellStyle name="Normal 8 6 7 2" xfId="13311" xr:uid="{43DFCEF5-8409-4E86-A0E6-69ACA54BC52E}"/>
    <cellStyle name="Normal 8 6 8" xfId="9093" xr:uid="{FAA95A7A-97CF-4E37-86BD-9657BE780F77}"/>
    <cellStyle name="Normal 8 7" xfId="945" xr:uid="{00000000-0005-0000-0000-00005B1E0000}"/>
    <cellStyle name="Normal 8 7 2" xfId="3179" xr:uid="{00000000-0005-0000-0000-00005C1E0000}"/>
    <cellStyle name="Normal 8 7 2 2" xfId="7402" xr:uid="{00000000-0005-0000-0000-00005D1E0000}"/>
    <cellStyle name="Normal 8 7 2 2 2" xfId="15838" xr:uid="{B1AFDAE0-0A15-4395-87CE-748C877FA025}"/>
    <cellStyle name="Normal 8 7 2 3" xfId="11620" xr:uid="{CCF9345B-9E5C-474A-97D3-D2B68824AC89}"/>
    <cellStyle name="Normal 8 7 3" xfId="5257" xr:uid="{00000000-0005-0000-0000-00005E1E0000}"/>
    <cellStyle name="Normal 8 7 3 2" xfId="13693" xr:uid="{08BC29D4-C4FB-4252-A250-E7257E187AB3}"/>
    <cellStyle name="Normal 8 7 4" xfId="9475" xr:uid="{098F5EAF-A023-44CD-9740-5F958C4C6F0F}"/>
    <cellStyle name="Normal 8 8" xfId="1362" xr:uid="{00000000-0005-0000-0000-00005F1E0000}"/>
    <cellStyle name="Normal 8 8 2" xfId="3592" xr:uid="{00000000-0005-0000-0000-0000601E0000}"/>
    <cellStyle name="Normal 8 8 2 2" xfId="7815" xr:uid="{00000000-0005-0000-0000-0000611E0000}"/>
    <cellStyle name="Normal 8 8 2 2 2" xfId="16251" xr:uid="{3ECDCE24-1D4A-49C5-8C66-67AD352D3356}"/>
    <cellStyle name="Normal 8 8 2 3" xfId="12033" xr:uid="{8180FB27-C16A-43C7-AE8E-AFD08B791765}"/>
    <cellStyle name="Normal 8 8 3" xfId="5670" xr:uid="{00000000-0005-0000-0000-0000621E0000}"/>
    <cellStyle name="Normal 8 8 3 2" xfId="14106" xr:uid="{4B804290-6698-4810-89D0-1223C9B2F983}"/>
    <cellStyle name="Normal 8 8 4" xfId="9888" xr:uid="{77DD042D-F740-4D30-9960-FB47C256C99E}"/>
    <cellStyle name="Normal 8 9" xfId="1775" xr:uid="{00000000-0005-0000-0000-0000631E0000}"/>
    <cellStyle name="Normal 8 9 2" xfId="4005" xr:uid="{00000000-0005-0000-0000-0000641E0000}"/>
    <cellStyle name="Normal 8 9 2 2" xfId="8228" xr:uid="{00000000-0005-0000-0000-0000651E0000}"/>
    <cellStyle name="Normal 8 9 2 2 2" xfId="16664" xr:uid="{606F40B1-19B3-4C50-AC18-466A550F09CA}"/>
    <cellStyle name="Normal 8 9 2 3" xfId="12446" xr:uid="{AAA10EEF-29E1-4BD5-8D76-0C1AF418F9E8}"/>
    <cellStyle name="Normal 8 9 3" xfId="6083" xr:uid="{00000000-0005-0000-0000-0000661E0000}"/>
    <cellStyle name="Normal 8 9 3 2" xfId="14519" xr:uid="{C3BC5DAC-8AD3-414D-B099-C6A0ACE5B079}"/>
    <cellStyle name="Normal 8 9 4" xfId="10301" xr:uid="{7B09806E-460E-48F8-9BCC-1339F8786143}"/>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77" xr:uid="{2FCB519A-3975-466D-ACCF-A5084852908B}"/>
    <cellStyle name="Normal 9 2 10 3" xfId="11159" xr:uid="{293F5E4A-7FE4-4917-A204-5E7F4F7F4C18}"/>
    <cellStyle name="Normal 9 2 11" xfId="4876" xr:uid="{00000000-0005-0000-0000-00006B1E0000}"/>
    <cellStyle name="Normal 9 2 11 2" xfId="13312" xr:uid="{498D88B2-5D31-4EA4-AEC6-63B912110D08}"/>
    <cellStyle name="Normal 9 2 12" xfId="9094" xr:uid="{1A746F71-4A13-418B-900B-B867F08D0D39}"/>
    <cellStyle name="Normal 9 2 2" xfId="512" xr:uid="{00000000-0005-0000-0000-00006C1E0000}"/>
    <cellStyle name="Normal 9 2 2 10" xfId="4877" xr:uid="{00000000-0005-0000-0000-00006D1E0000}"/>
    <cellStyle name="Normal 9 2 2 10 2" xfId="13313" xr:uid="{81E25D96-F3C1-46F5-A38D-442EB60B94FB}"/>
    <cellStyle name="Normal 9 2 2 11" xfId="9095" xr:uid="{FF4378C5-F167-4EA3-B850-77823CE7804D}"/>
    <cellStyle name="Normal 9 2 2 2" xfId="513" xr:uid="{00000000-0005-0000-0000-00006E1E0000}"/>
    <cellStyle name="Normal 9 2 2 2 10" xfId="9096" xr:uid="{4F29FD1E-4DCE-42CD-9F34-162F05D8896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4" xr:uid="{E35F9FAE-D8C8-40B3-A45E-A438D981B5DA}"/>
    <cellStyle name="Normal 9 2 2 2 2 2 2 2 3" xfId="11656" xr:uid="{BB3738E8-F8AD-42BE-A72C-AC0208FDE612}"/>
    <cellStyle name="Normal 9 2 2 2 2 2 2 3" xfId="5293" xr:uid="{00000000-0005-0000-0000-0000741E0000}"/>
    <cellStyle name="Normal 9 2 2 2 2 2 2 3 2" xfId="13729" xr:uid="{69A842D1-44FC-480A-A311-4602B0C9D470}"/>
    <cellStyle name="Normal 9 2 2 2 2 2 2 4" xfId="9511" xr:uid="{6C80372F-5386-4A2E-9C78-8E647742A131}"/>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87" xr:uid="{DEE9D771-71E9-424E-BEA5-2F158922B83C}"/>
    <cellStyle name="Normal 9 2 2 2 2 2 3 2 3" xfId="12069" xr:uid="{AF198D87-68C4-4793-A416-FF2EFFCEF6A9}"/>
    <cellStyle name="Normal 9 2 2 2 2 2 3 3" xfId="5706" xr:uid="{00000000-0005-0000-0000-0000781E0000}"/>
    <cellStyle name="Normal 9 2 2 2 2 2 3 3 2" xfId="14142" xr:uid="{95A8E725-CC40-434A-8AFC-CBA78B09192D}"/>
    <cellStyle name="Normal 9 2 2 2 2 2 3 4" xfId="9924" xr:uid="{CA08F307-D48D-4A7D-A5D9-20BB6531D098}"/>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0" xr:uid="{216F9A2D-9F7A-453F-B445-280835352FDA}"/>
    <cellStyle name="Normal 9 2 2 2 2 2 4 2 3" xfId="12482" xr:uid="{89CA9C5F-B00C-452D-8BD9-24785FC34FBF}"/>
    <cellStyle name="Normal 9 2 2 2 2 2 4 3" xfId="6119" xr:uid="{00000000-0005-0000-0000-00007C1E0000}"/>
    <cellStyle name="Normal 9 2 2 2 2 2 4 3 2" xfId="14555" xr:uid="{9619CFFD-48B8-4B25-872B-E505D634CE1D}"/>
    <cellStyle name="Normal 9 2 2 2 2 2 4 4" xfId="10337" xr:uid="{0D5EFA7F-20D5-4918-BD0C-F670DD0A65F4}"/>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3" xr:uid="{EAC76C2B-EC81-48EA-84F4-2C1F83FFBC6E}"/>
    <cellStyle name="Normal 9 2 2 2 2 2 5 2 3" xfId="12895" xr:uid="{C93AA6B1-B9C5-45DF-8692-8F4A3675E659}"/>
    <cellStyle name="Normal 9 2 2 2 2 2 5 3" xfId="6532" xr:uid="{00000000-0005-0000-0000-0000801E0000}"/>
    <cellStyle name="Normal 9 2 2 2 2 2 5 3 2" xfId="14968" xr:uid="{9A315AAA-7823-477B-A578-BE2ACC56C95F}"/>
    <cellStyle name="Normal 9 2 2 2 2 2 5 4" xfId="10750" xr:uid="{B4DBE754-9B6F-4AE1-8D84-1E5E7ECB2EBA}"/>
    <cellStyle name="Normal 9 2 2 2 2 2 6" xfId="2661" xr:uid="{00000000-0005-0000-0000-0000811E0000}"/>
    <cellStyle name="Normal 9 2 2 2 2 2 6 2" xfId="6945" xr:uid="{00000000-0005-0000-0000-0000821E0000}"/>
    <cellStyle name="Normal 9 2 2 2 2 2 6 2 2" xfId="15381" xr:uid="{BEB7CEEE-26E3-4E57-8EAC-45251CBE12F4}"/>
    <cellStyle name="Normal 9 2 2 2 2 2 6 3" xfId="11163" xr:uid="{60F1BA6E-FC61-4E9D-BEEE-D1E84AE10F10}"/>
    <cellStyle name="Normal 9 2 2 2 2 2 7" xfId="4880" xr:uid="{00000000-0005-0000-0000-0000831E0000}"/>
    <cellStyle name="Normal 9 2 2 2 2 2 7 2" xfId="13316" xr:uid="{C18E3E53-05D8-4DB1-8A9D-31A520C3ED34}"/>
    <cellStyle name="Normal 9 2 2 2 2 2 8" xfId="9098" xr:uid="{503305AA-E0B4-4C99-94BD-49EC63E8C84A}"/>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3" xr:uid="{05CE8C39-5484-448B-9006-245C59837458}"/>
    <cellStyle name="Normal 9 2 2 2 2 3 2 3" xfId="11655" xr:uid="{3CD7E224-F6C4-4FD7-B2BC-BDFBD1C51396}"/>
    <cellStyle name="Normal 9 2 2 2 2 3 3" xfId="5292" xr:uid="{00000000-0005-0000-0000-0000871E0000}"/>
    <cellStyle name="Normal 9 2 2 2 2 3 3 2" xfId="13728" xr:uid="{28068934-0373-4FCF-A426-E07B7F0D7394}"/>
    <cellStyle name="Normal 9 2 2 2 2 3 4" xfId="9510" xr:uid="{7889DC7D-3CF9-4992-98A4-5CAB61490DF2}"/>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6" xr:uid="{91513683-400F-4614-9E22-C832C6D647FB}"/>
    <cellStyle name="Normal 9 2 2 2 2 4 2 3" xfId="12068" xr:uid="{D0D06402-FD8B-4454-8B31-8B0C2CA21E66}"/>
    <cellStyle name="Normal 9 2 2 2 2 4 3" xfId="5705" xr:uid="{00000000-0005-0000-0000-00008B1E0000}"/>
    <cellStyle name="Normal 9 2 2 2 2 4 3 2" xfId="14141" xr:uid="{B5371951-38B6-492B-A6FB-4C3AE4B3C1E9}"/>
    <cellStyle name="Normal 9 2 2 2 2 4 4" xfId="9923" xr:uid="{04EE0912-DF9B-49F7-849F-C8A777509F8E}"/>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699" xr:uid="{FE85813C-612B-4939-B4E5-8E14716F9AE9}"/>
    <cellStyle name="Normal 9 2 2 2 2 5 2 3" xfId="12481" xr:uid="{B045C0EB-6B76-47A7-88BE-C7A174F10957}"/>
    <cellStyle name="Normal 9 2 2 2 2 5 3" xfId="6118" xr:uid="{00000000-0005-0000-0000-00008F1E0000}"/>
    <cellStyle name="Normal 9 2 2 2 2 5 3 2" xfId="14554" xr:uid="{3193F021-4FEE-498D-B694-6009700B7120}"/>
    <cellStyle name="Normal 9 2 2 2 2 5 4" xfId="10336" xr:uid="{571090F8-70E2-43A3-96F9-F28C863337DA}"/>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2" xr:uid="{81C0C683-32EE-4CDD-A9C9-A9EE1CB4F906}"/>
    <cellStyle name="Normal 9 2 2 2 2 6 2 3" xfId="12894" xr:uid="{E462080B-05A5-4A18-A6C8-F1CAA23F919B}"/>
    <cellStyle name="Normal 9 2 2 2 2 6 3" xfId="6531" xr:uid="{00000000-0005-0000-0000-0000931E0000}"/>
    <cellStyle name="Normal 9 2 2 2 2 6 3 2" xfId="14967" xr:uid="{5AB3B973-FF73-44CC-ADF7-83040C322C52}"/>
    <cellStyle name="Normal 9 2 2 2 2 6 4" xfId="10749" xr:uid="{A8AE4A3B-D662-4FAF-A957-B292FD320728}"/>
    <cellStyle name="Normal 9 2 2 2 2 7" xfId="2660" xr:uid="{00000000-0005-0000-0000-0000941E0000}"/>
    <cellStyle name="Normal 9 2 2 2 2 7 2" xfId="6944" xr:uid="{00000000-0005-0000-0000-0000951E0000}"/>
    <cellStyle name="Normal 9 2 2 2 2 7 2 2" xfId="15380" xr:uid="{064C7BF2-FB3F-4530-A93E-61CE3806752A}"/>
    <cellStyle name="Normal 9 2 2 2 2 7 3" xfId="11162" xr:uid="{E90A0768-364E-4CA0-8B8B-AB095B45A277}"/>
    <cellStyle name="Normal 9 2 2 2 2 8" xfId="4879" xr:uid="{00000000-0005-0000-0000-0000961E0000}"/>
    <cellStyle name="Normal 9 2 2 2 2 8 2" xfId="13315" xr:uid="{D6CC04D5-B1A2-42E4-9E1E-18A019066A87}"/>
    <cellStyle name="Normal 9 2 2 2 2 9" xfId="9097" xr:uid="{8D5277DA-3998-46FF-ACE2-47C5F09FDE02}"/>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5" xr:uid="{23A3D70D-9BBE-4F80-8846-F069CDED85AD}"/>
    <cellStyle name="Normal 9 2 2 2 3 2 2 3" xfId="11657" xr:uid="{AF8D3B65-68EF-4A02-BAE6-F8CF8AEBFE78}"/>
    <cellStyle name="Normal 9 2 2 2 3 2 3" xfId="5294" xr:uid="{00000000-0005-0000-0000-00009B1E0000}"/>
    <cellStyle name="Normal 9 2 2 2 3 2 3 2" xfId="13730" xr:uid="{48D402D1-185A-40B8-BDF2-88BC9323266B}"/>
    <cellStyle name="Normal 9 2 2 2 3 2 4" xfId="9512" xr:uid="{E1BC38AA-E760-4830-9E1D-A7F8160663A6}"/>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88" xr:uid="{80F334E6-54A6-494F-AA2D-C4D7CCDA5A9E}"/>
    <cellStyle name="Normal 9 2 2 2 3 3 2 3" xfId="12070" xr:uid="{4FA93C1E-6C2D-4C00-92B0-49F292C8D441}"/>
    <cellStyle name="Normal 9 2 2 2 3 3 3" xfId="5707" xr:uid="{00000000-0005-0000-0000-00009F1E0000}"/>
    <cellStyle name="Normal 9 2 2 2 3 3 3 2" xfId="14143" xr:uid="{02E46E03-0DB1-4540-9540-EB2389CEC9A4}"/>
    <cellStyle name="Normal 9 2 2 2 3 3 4" xfId="9925" xr:uid="{0BE660FC-6EAE-4E90-A5CA-5E621AD42379}"/>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1" xr:uid="{4B95A2D8-A923-4CD3-BC7B-E491E9D26AA2}"/>
    <cellStyle name="Normal 9 2 2 2 3 4 2 3" xfId="12483" xr:uid="{F27DF35D-0E19-4A9D-A9AB-DAA75374DFA0}"/>
    <cellStyle name="Normal 9 2 2 2 3 4 3" xfId="6120" xr:uid="{00000000-0005-0000-0000-0000A31E0000}"/>
    <cellStyle name="Normal 9 2 2 2 3 4 3 2" xfId="14556" xr:uid="{7DD1EEAB-EDA2-499D-BD7A-709F79C06132}"/>
    <cellStyle name="Normal 9 2 2 2 3 4 4" xfId="10338" xr:uid="{717BC87B-6C07-46E3-B2DD-3248D69EC1C1}"/>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4" xr:uid="{E4EC45F4-9077-4D76-B03E-9B590D202369}"/>
    <cellStyle name="Normal 9 2 2 2 3 5 2 3" xfId="12896" xr:uid="{910F8F4F-42EF-4927-92FF-25C1DD290365}"/>
    <cellStyle name="Normal 9 2 2 2 3 5 3" xfId="6533" xr:uid="{00000000-0005-0000-0000-0000A71E0000}"/>
    <cellStyle name="Normal 9 2 2 2 3 5 3 2" xfId="14969" xr:uid="{05F2EA45-BA79-4494-8190-C8A23D17EF3F}"/>
    <cellStyle name="Normal 9 2 2 2 3 5 4" xfId="10751" xr:uid="{1C0B93B9-CF2D-4F99-98A5-D59B945DDC64}"/>
    <cellStyle name="Normal 9 2 2 2 3 6" xfId="2662" xr:uid="{00000000-0005-0000-0000-0000A81E0000}"/>
    <cellStyle name="Normal 9 2 2 2 3 6 2" xfId="6946" xr:uid="{00000000-0005-0000-0000-0000A91E0000}"/>
    <cellStyle name="Normal 9 2 2 2 3 6 2 2" xfId="15382" xr:uid="{EAA19014-FD36-4978-8E77-D359A5C99A9A}"/>
    <cellStyle name="Normal 9 2 2 2 3 6 3" xfId="11164" xr:uid="{8763B1D1-D581-45BA-91FE-EEFB6B274C4B}"/>
    <cellStyle name="Normal 9 2 2 2 3 7" xfId="4881" xr:uid="{00000000-0005-0000-0000-0000AA1E0000}"/>
    <cellStyle name="Normal 9 2 2 2 3 7 2" xfId="13317" xr:uid="{A21E7896-C874-4B70-9B6E-96858236B63A}"/>
    <cellStyle name="Normal 9 2 2 2 3 8" xfId="9099" xr:uid="{D44DA17E-EFB6-453D-A9B7-8F1C27324B8B}"/>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2" xr:uid="{06AE4753-59C7-47B4-8D72-26F7CC71DE6D}"/>
    <cellStyle name="Normal 9 2 2 2 4 2 3" xfId="11654" xr:uid="{32AF41A1-BB04-4F75-9F29-6DB117AC9A54}"/>
    <cellStyle name="Normal 9 2 2 2 4 3" xfId="5291" xr:uid="{00000000-0005-0000-0000-0000AE1E0000}"/>
    <cellStyle name="Normal 9 2 2 2 4 3 2" xfId="13727" xr:uid="{976C803A-F304-4407-94DF-EDD802E0D8BC}"/>
    <cellStyle name="Normal 9 2 2 2 4 4" xfId="9509" xr:uid="{61DBEEBF-FAD4-4CBA-A85E-4887E053259D}"/>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5" xr:uid="{D8830139-3453-498F-B267-EFD6A412BD77}"/>
    <cellStyle name="Normal 9 2 2 2 5 2 3" xfId="12067" xr:uid="{2430B27F-6F14-480D-A899-C759AF8DC8B8}"/>
    <cellStyle name="Normal 9 2 2 2 5 3" xfId="5704" xr:uid="{00000000-0005-0000-0000-0000B21E0000}"/>
    <cellStyle name="Normal 9 2 2 2 5 3 2" xfId="14140" xr:uid="{318B3B8D-CE7E-4189-8857-CC6F99DE3E27}"/>
    <cellStyle name="Normal 9 2 2 2 5 4" xfId="9922" xr:uid="{50240AA5-9565-4B4D-BC5F-92E9815B6B0B}"/>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698" xr:uid="{76BF5E5B-F564-4F9C-A98F-56A6C88457FF}"/>
    <cellStyle name="Normal 9 2 2 2 6 2 3" xfId="12480" xr:uid="{0E6FEF24-5EA7-41E9-94B6-807424A8FE8F}"/>
    <cellStyle name="Normal 9 2 2 2 6 3" xfId="6117" xr:uid="{00000000-0005-0000-0000-0000B61E0000}"/>
    <cellStyle name="Normal 9 2 2 2 6 3 2" xfId="14553" xr:uid="{91520F03-CB22-4EF4-93D4-0E9285EBEE58}"/>
    <cellStyle name="Normal 9 2 2 2 6 4" xfId="10335" xr:uid="{65A08112-0857-40EB-B508-272CBD14D4DE}"/>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1" xr:uid="{FD371DCD-0C82-4D99-A00F-413E30B93B5B}"/>
    <cellStyle name="Normal 9 2 2 2 7 2 3" xfId="12893" xr:uid="{17B5A67B-5DDE-4495-8824-E0B16A383351}"/>
    <cellStyle name="Normal 9 2 2 2 7 3" xfId="6530" xr:uid="{00000000-0005-0000-0000-0000BA1E0000}"/>
    <cellStyle name="Normal 9 2 2 2 7 3 2" xfId="14966" xr:uid="{97DF7D29-898E-4E13-B266-294AA3142096}"/>
    <cellStyle name="Normal 9 2 2 2 7 4" xfId="10748" xr:uid="{3C8A145C-7278-4D22-91C3-41FED66357B1}"/>
    <cellStyle name="Normal 9 2 2 2 8" xfId="2659" xr:uid="{00000000-0005-0000-0000-0000BB1E0000}"/>
    <cellStyle name="Normal 9 2 2 2 8 2" xfId="6943" xr:uid="{00000000-0005-0000-0000-0000BC1E0000}"/>
    <cellStyle name="Normal 9 2 2 2 8 2 2" xfId="15379" xr:uid="{CA2DE626-2C6F-4F11-B5AE-6E65FBC6C02E}"/>
    <cellStyle name="Normal 9 2 2 2 8 3" xfId="11161" xr:uid="{023B6EBC-6644-4BA8-978D-E7ABB9B77742}"/>
    <cellStyle name="Normal 9 2 2 2 9" xfId="4878" xr:uid="{00000000-0005-0000-0000-0000BD1E0000}"/>
    <cellStyle name="Normal 9 2 2 2 9 2" xfId="13314" xr:uid="{2090B429-C72D-42F5-9DCA-72A7F503A41B}"/>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77" xr:uid="{31783DF1-B255-4BD5-961E-3D1151018045}"/>
    <cellStyle name="Normal 9 2 2 3 2 2 2 3" xfId="11659" xr:uid="{AE5B27F5-CA19-4B1F-92AC-15FA247C30D0}"/>
    <cellStyle name="Normal 9 2 2 3 2 2 3" xfId="5296" xr:uid="{00000000-0005-0000-0000-0000C31E0000}"/>
    <cellStyle name="Normal 9 2 2 3 2 2 3 2" xfId="13732" xr:uid="{2BF11294-7C81-4EDD-83C2-D52BEF448B64}"/>
    <cellStyle name="Normal 9 2 2 3 2 2 4" xfId="9514" xr:uid="{A76587BA-ECD0-4D4A-ABBE-AC04BB2C820D}"/>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0" xr:uid="{6DE94ED6-BF81-45E2-9E6C-D9AD1E1C1FE8}"/>
    <cellStyle name="Normal 9 2 2 3 2 3 2 3" xfId="12072" xr:uid="{DFE7A532-2437-434F-9E1F-09C338C5E25C}"/>
    <cellStyle name="Normal 9 2 2 3 2 3 3" xfId="5709" xr:uid="{00000000-0005-0000-0000-0000C71E0000}"/>
    <cellStyle name="Normal 9 2 2 3 2 3 3 2" xfId="14145" xr:uid="{C2153FC5-5965-4D39-982D-98FA5B969F71}"/>
    <cellStyle name="Normal 9 2 2 3 2 3 4" xfId="9927" xr:uid="{16D60784-9258-4EF6-A946-C97CF1875BA1}"/>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3" xr:uid="{3C830CEC-E588-4B8D-920A-DB6F4978F9BA}"/>
    <cellStyle name="Normal 9 2 2 3 2 4 2 3" xfId="12485" xr:uid="{77C0FAA5-D4D5-4688-8106-110FAB7A9FC9}"/>
    <cellStyle name="Normal 9 2 2 3 2 4 3" xfId="6122" xr:uid="{00000000-0005-0000-0000-0000CB1E0000}"/>
    <cellStyle name="Normal 9 2 2 3 2 4 3 2" xfId="14558" xr:uid="{98F11BE6-7494-4853-88C1-FFFE8564AD23}"/>
    <cellStyle name="Normal 9 2 2 3 2 4 4" xfId="10340" xr:uid="{E5EE8628-0CC3-402E-BC08-D0FC180B24B2}"/>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6" xr:uid="{E0C4B549-7F45-4F85-ACFB-FA9508E84430}"/>
    <cellStyle name="Normal 9 2 2 3 2 5 2 3" xfId="12898" xr:uid="{90DE1FE8-9988-4C7F-A68F-9C0F24E57ED9}"/>
    <cellStyle name="Normal 9 2 2 3 2 5 3" xfId="6535" xr:uid="{00000000-0005-0000-0000-0000CF1E0000}"/>
    <cellStyle name="Normal 9 2 2 3 2 5 3 2" xfId="14971" xr:uid="{9B863EC4-9293-4FD9-8C58-32D07DA990E5}"/>
    <cellStyle name="Normal 9 2 2 3 2 5 4" xfId="10753" xr:uid="{9F464C9E-CED5-490E-8E3F-C299CADD2AEE}"/>
    <cellStyle name="Normal 9 2 2 3 2 6" xfId="2664" xr:uid="{00000000-0005-0000-0000-0000D01E0000}"/>
    <cellStyle name="Normal 9 2 2 3 2 6 2" xfId="6948" xr:uid="{00000000-0005-0000-0000-0000D11E0000}"/>
    <cellStyle name="Normal 9 2 2 3 2 6 2 2" xfId="15384" xr:uid="{03D328FD-E2FD-4D4E-A93C-82C444838B9A}"/>
    <cellStyle name="Normal 9 2 2 3 2 6 3" xfId="11166" xr:uid="{EBB90842-4588-4B62-B96F-7394FB0B0628}"/>
    <cellStyle name="Normal 9 2 2 3 2 7" xfId="4883" xr:uid="{00000000-0005-0000-0000-0000D21E0000}"/>
    <cellStyle name="Normal 9 2 2 3 2 7 2" xfId="13319" xr:uid="{B0DF49AC-9C1A-4E2B-9ED6-0B6C5297A1D8}"/>
    <cellStyle name="Normal 9 2 2 3 2 8" xfId="9101" xr:uid="{455EA687-ABF6-4692-B76E-3DD294308F02}"/>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6" xr:uid="{B03243EC-C3AA-4BD1-8A30-1F4D1D475FAE}"/>
    <cellStyle name="Normal 9 2 2 3 3 2 3" xfId="11658" xr:uid="{A2EC66E0-6C9A-459E-A678-B351A85D70DF}"/>
    <cellStyle name="Normal 9 2 2 3 3 3" xfId="5295" xr:uid="{00000000-0005-0000-0000-0000D61E0000}"/>
    <cellStyle name="Normal 9 2 2 3 3 3 2" xfId="13731" xr:uid="{C969A612-7D05-427B-9FF5-23B1C02F8A67}"/>
    <cellStyle name="Normal 9 2 2 3 3 4" xfId="9513" xr:uid="{3A907288-8ADD-4609-91EB-3D01D8C0929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89" xr:uid="{3023A94C-F4E3-4F0E-96D6-B923878DFA37}"/>
    <cellStyle name="Normal 9 2 2 3 4 2 3" xfId="12071" xr:uid="{C6CC9863-AD14-40B7-87C5-E143AE49912F}"/>
    <cellStyle name="Normal 9 2 2 3 4 3" xfId="5708" xr:uid="{00000000-0005-0000-0000-0000DA1E0000}"/>
    <cellStyle name="Normal 9 2 2 3 4 3 2" xfId="14144" xr:uid="{103B2698-534F-454B-A50C-AF7DB2444854}"/>
    <cellStyle name="Normal 9 2 2 3 4 4" xfId="9926" xr:uid="{BF1E9B8D-B192-467F-B198-895CA4DED1B5}"/>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2" xr:uid="{7E0FB4ED-B4A3-43C7-A84E-53C1015F1086}"/>
    <cellStyle name="Normal 9 2 2 3 5 2 3" xfId="12484" xr:uid="{214BFAB3-FC01-408E-B28F-5A15CD44C160}"/>
    <cellStyle name="Normal 9 2 2 3 5 3" xfId="6121" xr:uid="{00000000-0005-0000-0000-0000DE1E0000}"/>
    <cellStyle name="Normal 9 2 2 3 5 3 2" xfId="14557" xr:uid="{2FE45CCE-4A6F-41BC-B6C7-DDAC517FE918}"/>
    <cellStyle name="Normal 9 2 2 3 5 4" xfId="10339" xr:uid="{3E213BE7-6CCA-4A2B-B4B5-7C8123D73B03}"/>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5" xr:uid="{72B6FE88-5F12-4713-93C1-6270C2C7CFD2}"/>
    <cellStyle name="Normal 9 2 2 3 6 2 3" xfId="12897" xr:uid="{032C1543-AAA2-4729-99F3-DD793C79274D}"/>
    <cellStyle name="Normal 9 2 2 3 6 3" xfId="6534" xr:uid="{00000000-0005-0000-0000-0000E21E0000}"/>
    <cellStyle name="Normal 9 2 2 3 6 3 2" xfId="14970" xr:uid="{FF3F73F0-0C24-437A-A7AA-5537736D5AEC}"/>
    <cellStyle name="Normal 9 2 2 3 6 4" xfId="10752" xr:uid="{B6B0DAB7-FDDB-4D4D-B278-21044B3001E4}"/>
    <cellStyle name="Normal 9 2 2 3 7" xfId="2663" xr:uid="{00000000-0005-0000-0000-0000E31E0000}"/>
    <cellStyle name="Normal 9 2 2 3 7 2" xfId="6947" xr:uid="{00000000-0005-0000-0000-0000E41E0000}"/>
    <cellStyle name="Normal 9 2 2 3 7 2 2" xfId="15383" xr:uid="{57065821-F8A6-4DBF-BB1D-07575CEEA8A7}"/>
    <cellStyle name="Normal 9 2 2 3 7 3" xfId="11165" xr:uid="{7931E0AB-5B39-4703-81FB-0F582B5994D5}"/>
    <cellStyle name="Normal 9 2 2 3 8" xfId="4882" xr:uid="{00000000-0005-0000-0000-0000E51E0000}"/>
    <cellStyle name="Normal 9 2 2 3 8 2" xfId="13318" xr:uid="{3269CC58-5A10-466D-903A-0749D410AAFB}"/>
    <cellStyle name="Normal 9 2 2 3 9" xfId="9100" xr:uid="{3BACDE8E-0BBF-42C9-B5E3-A88D1C51C37D}"/>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78" xr:uid="{6CD92003-CB9B-405C-AF2F-167ADF8FE06D}"/>
    <cellStyle name="Normal 9 2 2 4 2 2 3" xfId="11660" xr:uid="{431201F8-78AC-4642-B78C-0BFCEB624F77}"/>
    <cellStyle name="Normal 9 2 2 4 2 3" xfId="5297" xr:uid="{00000000-0005-0000-0000-0000EA1E0000}"/>
    <cellStyle name="Normal 9 2 2 4 2 3 2" xfId="13733" xr:uid="{E63FC58F-D892-456C-8312-3A19E979D041}"/>
    <cellStyle name="Normal 9 2 2 4 2 4" xfId="9515" xr:uid="{1309595B-3CD7-47C6-BFB9-C4C6444120A9}"/>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1" xr:uid="{DE6BE5CB-6851-4CED-89C8-A324F5E94B94}"/>
    <cellStyle name="Normal 9 2 2 4 3 2 3" xfId="12073" xr:uid="{21614F9C-90DD-4D24-8213-C004AA02CE2F}"/>
    <cellStyle name="Normal 9 2 2 4 3 3" xfId="5710" xr:uid="{00000000-0005-0000-0000-0000EE1E0000}"/>
    <cellStyle name="Normal 9 2 2 4 3 3 2" xfId="14146" xr:uid="{3AC10FE8-18F1-4A4C-B8BE-772AC2002B1E}"/>
    <cellStyle name="Normal 9 2 2 4 3 4" xfId="9928" xr:uid="{E137723C-892D-4E50-8614-42C30424735C}"/>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4" xr:uid="{0D55A7DF-C928-4A2E-8663-EB01C9E53433}"/>
    <cellStyle name="Normal 9 2 2 4 4 2 3" xfId="12486" xr:uid="{62F6BA97-820B-49EA-9C5D-459C9D6C3380}"/>
    <cellStyle name="Normal 9 2 2 4 4 3" xfId="6123" xr:uid="{00000000-0005-0000-0000-0000F21E0000}"/>
    <cellStyle name="Normal 9 2 2 4 4 3 2" xfId="14559" xr:uid="{717EB568-BC3B-42F9-B60E-F7BC9973437A}"/>
    <cellStyle name="Normal 9 2 2 4 4 4" xfId="10341" xr:uid="{2D1CD64D-4527-4DEA-90C8-004EFC86E743}"/>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17" xr:uid="{AA779F2F-DF0E-4143-A6EA-DC593D923CC9}"/>
    <cellStyle name="Normal 9 2 2 4 5 2 3" xfId="12899" xr:uid="{17F480A0-B512-4FE0-A04C-DF2A2F096C6D}"/>
    <cellStyle name="Normal 9 2 2 4 5 3" xfId="6536" xr:uid="{00000000-0005-0000-0000-0000F61E0000}"/>
    <cellStyle name="Normal 9 2 2 4 5 3 2" xfId="14972" xr:uid="{F7A23BFE-A717-4E8F-8EC3-6078FA5355BA}"/>
    <cellStyle name="Normal 9 2 2 4 5 4" xfId="10754" xr:uid="{B4B01985-8CE0-41B4-BD41-069888C4B451}"/>
    <cellStyle name="Normal 9 2 2 4 6" xfId="2665" xr:uid="{00000000-0005-0000-0000-0000F71E0000}"/>
    <cellStyle name="Normal 9 2 2 4 6 2" xfId="6949" xr:uid="{00000000-0005-0000-0000-0000F81E0000}"/>
    <cellStyle name="Normal 9 2 2 4 6 2 2" xfId="15385" xr:uid="{66138E76-3251-4196-B2C8-24304697BF1B}"/>
    <cellStyle name="Normal 9 2 2 4 6 3" xfId="11167" xr:uid="{CC627FE1-1D0A-4530-99BF-5DFA17B15355}"/>
    <cellStyle name="Normal 9 2 2 4 7" xfId="4884" xr:uid="{00000000-0005-0000-0000-0000F91E0000}"/>
    <cellStyle name="Normal 9 2 2 4 7 2" xfId="13320" xr:uid="{8B562CBB-CFAF-4096-8E58-0CD68AE0BD9A}"/>
    <cellStyle name="Normal 9 2 2 4 8" xfId="9102" xr:uid="{0DB7BDBB-7FDE-4AE9-953E-387A39E5C75A}"/>
    <cellStyle name="Normal 9 2 2 5" xfId="979" xr:uid="{00000000-0005-0000-0000-0000FA1E0000}"/>
    <cellStyle name="Normal 9 2 2 5 2" xfId="3212" xr:uid="{00000000-0005-0000-0000-0000FB1E0000}"/>
    <cellStyle name="Normal 9 2 2 5 2 2" xfId="7435" xr:uid="{00000000-0005-0000-0000-0000FC1E0000}"/>
    <cellStyle name="Normal 9 2 2 5 2 2 2" xfId="15871" xr:uid="{0DEF2E39-9026-4C77-AE12-389E7978CAE0}"/>
    <cellStyle name="Normal 9 2 2 5 2 3" xfId="11653" xr:uid="{6AB81890-B728-4B28-AAEF-3E8B3371B0CC}"/>
    <cellStyle name="Normal 9 2 2 5 3" xfId="5290" xr:uid="{00000000-0005-0000-0000-0000FD1E0000}"/>
    <cellStyle name="Normal 9 2 2 5 3 2" xfId="13726" xr:uid="{79661BF2-3D86-4D7A-AADA-332723856AE8}"/>
    <cellStyle name="Normal 9 2 2 5 4" xfId="9508" xr:uid="{CEB459AA-8243-4337-B2CA-0D93C9622FD4}"/>
    <cellStyle name="Normal 9 2 2 6" xfId="1395" xr:uid="{00000000-0005-0000-0000-0000FE1E0000}"/>
    <cellStyle name="Normal 9 2 2 6 2" xfId="3625" xr:uid="{00000000-0005-0000-0000-0000FF1E0000}"/>
    <cellStyle name="Normal 9 2 2 6 2 2" xfId="7848" xr:uid="{00000000-0005-0000-0000-0000001F0000}"/>
    <cellStyle name="Normal 9 2 2 6 2 2 2" xfId="16284" xr:uid="{6EF326D1-6B4B-4838-83F6-E98946E0EE91}"/>
    <cellStyle name="Normal 9 2 2 6 2 3" xfId="12066" xr:uid="{27376D7C-A8C5-4009-9B01-E9FD48864B16}"/>
    <cellStyle name="Normal 9 2 2 6 3" xfId="5703" xr:uid="{00000000-0005-0000-0000-0000011F0000}"/>
    <cellStyle name="Normal 9 2 2 6 3 2" xfId="14139" xr:uid="{B476286E-FF88-4318-88DE-1276C8B71D48}"/>
    <cellStyle name="Normal 9 2 2 6 4" xfId="9921" xr:uid="{AD35DFBA-EDDC-4D36-B412-0152D163DE99}"/>
    <cellStyle name="Normal 9 2 2 7" xfId="1808" xr:uid="{00000000-0005-0000-0000-0000021F0000}"/>
    <cellStyle name="Normal 9 2 2 7 2" xfId="4038" xr:uid="{00000000-0005-0000-0000-0000031F0000}"/>
    <cellStyle name="Normal 9 2 2 7 2 2" xfId="8261" xr:uid="{00000000-0005-0000-0000-0000041F0000}"/>
    <cellStyle name="Normal 9 2 2 7 2 2 2" xfId="16697" xr:uid="{56BD738C-78AD-402E-8256-DC83F0BB7045}"/>
    <cellStyle name="Normal 9 2 2 7 2 3" xfId="12479" xr:uid="{B6A56B7A-8363-4214-82ED-2985AC9E2A5D}"/>
    <cellStyle name="Normal 9 2 2 7 3" xfId="6116" xr:uid="{00000000-0005-0000-0000-0000051F0000}"/>
    <cellStyle name="Normal 9 2 2 7 3 2" xfId="14552" xr:uid="{BD69A4FF-B2DC-4FAD-848C-13E0FEF42F41}"/>
    <cellStyle name="Normal 9 2 2 7 4" xfId="10334" xr:uid="{272DCBC8-B526-460C-BC1F-E8F84D39601A}"/>
    <cellStyle name="Normal 9 2 2 8" xfId="2222" xr:uid="{00000000-0005-0000-0000-0000061F0000}"/>
    <cellStyle name="Normal 9 2 2 8 2" xfId="4451" xr:uid="{00000000-0005-0000-0000-0000071F0000}"/>
    <cellStyle name="Normal 9 2 2 8 2 2" xfId="8674" xr:uid="{00000000-0005-0000-0000-0000081F0000}"/>
    <cellStyle name="Normal 9 2 2 8 2 2 2" xfId="17110" xr:uid="{44F30CAF-D35E-48C1-9D3B-54F5C2B7CB0D}"/>
    <cellStyle name="Normal 9 2 2 8 2 3" xfId="12892" xr:uid="{74B6FBE0-4382-4DF9-AAAF-6A59AE245D7C}"/>
    <cellStyle name="Normal 9 2 2 8 3" xfId="6529" xr:uid="{00000000-0005-0000-0000-0000091F0000}"/>
    <cellStyle name="Normal 9 2 2 8 3 2" xfId="14965" xr:uid="{44717964-7984-4937-AFDF-AB94FD761621}"/>
    <cellStyle name="Normal 9 2 2 8 4" xfId="10747" xr:uid="{66F6BFDA-1E3D-4C2D-889F-93319598F663}"/>
    <cellStyle name="Normal 9 2 2 9" xfId="2658" xr:uid="{00000000-0005-0000-0000-00000A1F0000}"/>
    <cellStyle name="Normal 9 2 2 9 2" xfId="6942" xr:uid="{00000000-0005-0000-0000-00000B1F0000}"/>
    <cellStyle name="Normal 9 2 2 9 2 2" xfId="15378" xr:uid="{7A42D275-6DD0-4D31-8361-1BED7001B30B}"/>
    <cellStyle name="Normal 9 2 2 9 3" xfId="11160" xr:uid="{83D1B374-C059-4323-9E14-090CC99C2380}"/>
    <cellStyle name="Normal 9 2 3" xfId="520" xr:uid="{00000000-0005-0000-0000-00000C1F0000}"/>
    <cellStyle name="Normal 9 2 3 10" xfId="9103" xr:uid="{92DA07DC-2B77-4E04-A0DA-473156723C38}"/>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1" xr:uid="{C1C80F2A-8C64-4504-AD6E-10509C2BA2C0}"/>
    <cellStyle name="Normal 9 2 3 2 2 2 2 3" xfId="11663" xr:uid="{10FA0D55-1256-4FFA-A825-4038E30E57C7}"/>
    <cellStyle name="Normal 9 2 3 2 2 2 3" xfId="5300" xr:uid="{00000000-0005-0000-0000-0000121F0000}"/>
    <cellStyle name="Normal 9 2 3 2 2 2 3 2" xfId="13736" xr:uid="{2890127E-A0C9-4C69-B9A6-3F63B1A62763}"/>
    <cellStyle name="Normal 9 2 3 2 2 2 4" xfId="9518" xr:uid="{80C14283-8FCA-4D50-98FF-1935C43F3BCC}"/>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4" xr:uid="{5A95870E-5FA6-4B82-A524-37ECCE0B9CE6}"/>
    <cellStyle name="Normal 9 2 3 2 2 3 2 3" xfId="12076" xr:uid="{155AF8B5-4044-4A69-9793-93AB301E9DB9}"/>
    <cellStyle name="Normal 9 2 3 2 2 3 3" xfId="5713" xr:uid="{00000000-0005-0000-0000-0000161F0000}"/>
    <cellStyle name="Normal 9 2 3 2 2 3 3 2" xfId="14149" xr:uid="{AD1C9190-1C49-41EE-810E-9305D4BF474C}"/>
    <cellStyle name="Normal 9 2 3 2 2 3 4" xfId="9931" xr:uid="{1318EDC8-83B3-4ED2-B918-76C30D12CAD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07" xr:uid="{F048CAEB-B892-41DB-9297-B73765E7A281}"/>
    <cellStyle name="Normal 9 2 3 2 2 4 2 3" xfId="12489" xr:uid="{81EC72F8-20DC-471E-8966-062B719EF7EF}"/>
    <cellStyle name="Normal 9 2 3 2 2 4 3" xfId="6126" xr:uid="{00000000-0005-0000-0000-00001A1F0000}"/>
    <cellStyle name="Normal 9 2 3 2 2 4 3 2" xfId="14562" xr:uid="{364F9380-0974-4D32-BA59-FE6209F15D64}"/>
    <cellStyle name="Normal 9 2 3 2 2 4 4" xfId="10344" xr:uid="{280D466C-1A12-4EAA-BCD8-07CA3A6BD5F2}"/>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0" xr:uid="{6AF822B3-4CF3-4A58-A0C9-7F0FA1FC57B3}"/>
    <cellStyle name="Normal 9 2 3 2 2 5 2 3" xfId="12902" xr:uid="{01F890B6-1A0B-4E03-AE0A-D3CC608FE850}"/>
    <cellStyle name="Normal 9 2 3 2 2 5 3" xfId="6539" xr:uid="{00000000-0005-0000-0000-00001E1F0000}"/>
    <cellStyle name="Normal 9 2 3 2 2 5 3 2" xfId="14975" xr:uid="{F3FCC4A1-A86D-4BFF-9125-6DAD0F5E8829}"/>
    <cellStyle name="Normal 9 2 3 2 2 5 4" xfId="10757" xr:uid="{F4C661CA-28AD-4904-A0B1-7DF020514674}"/>
    <cellStyle name="Normal 9 2 3 2 2 6" xfId="2668" xr:uid="{00000000-0005-0000-0000-00001F1F0000}"/>
    <cellStyle name="Normal 9 2 3 2 2 6 2" xfId="6952" xr:uid="{00000000-0005-0000-0000-0000201F0000}"/>
    <cellStyle name="Normal 9 2 3 2 2 6 2 2" xfId="15388" xr:uid="{9D1744D3-5ADD-4CF6-A174-9433AACC8651}"/>
    <cellStyle name="Normal 9 2 3 2 2 6 3" xfId="11170" xr:uid="{CDA62177-FA00-4D9D-9816-A8FA8A27134A}"/>
    <cellStyle name="Normal 9 2 3 2 2 7" xfId="4887" xr:uid="{00000000-0005-0000-0000-0000211F0000}"/>
    <cellStyle name="Normal 9 2 3 2 2 7 2" xfId="13323" xr:uid="{3A80210D-A286-473D-A1EA-41D78E2D286D}"/>
    <cellStyle name="Normal 9 2 3 2 2 8" xfId="9105" xr:uid="{0BED6C65-836A-4E47-9812-DF898E3C5EB7}"/>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0" xr:uid="{7DDE26DD-001D-4A40-8B0F-2E8987E62938}"/>
    <cellStyle name="Normal 9 2 3 2 3 2 3" xfId="11662" xr:uid="{A1E8BCA5-FD52-4399-94D5-E9CDCE130ABB}"/>
    <cellStyle name="Normal 9 2 3 2 3 3" xfId="5299" xr:uid="{00000000-0005-0000-0000-0000251F0000}"/>
    <cellStyle name="Normal 9 2 3 2 3 3 2" xfId="13735" xr:uid="{6C62FCA3-45E4-48A4-8667-9AC68465B6CA}"/>
    <cellStyle name="Normal 9 2 3 2 3 4" xfId="9517" xr:uid="{EB9D9B79-085E-4D2A-BAEE-A31E409CC487}"/>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3" xr:uid="{541EAE72-44BF-4C53-83EF-9C5469054E20}"/>
    <cellStyle name="Normal 9 2 3 2 4 2 3" xfId="12075" xr:uid="{876DC6DE-EBDE-4008-80BD-AF434205627D}"/>
    <cellStyle name="Normal 9 2 3 2 4 3" xfId="5712" xr:uid="{00000000-0005-0000-0000-0000291F0000}"/>
    <cellStyle name="Normal 9 2 3 2 4 3 2" xfId="14148" xr:uid="{5B43FC63-2101-41A7-A9AB-9769820F574A}"/>
    <cellStyle name="Normal 9 2 3 2 4 4" xfId="9930" xr:uid="{137F627A-61CF-462D-806D-72744595C049}"/>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6" xr:uid="{57E3843E-1C88-4512-A709-4E90FD2070BE}"/>
    <cellStyle name="Normal 9 2 3 2 5 2 3" xfId="12488" xr:uid="{A2847D2E-EB5A-4DC5-B94A-767B2C0F5138}"/>
    <cellStyle name="Normal 9 2 3 2 5 3" xfId="6125" xr:uid="{00000000-0005-0000-0000-00002D1F0000}"/>
    <cellStyle name="Normal 9 2 3 2 5 3 2" xfId="14561" xr:uid="{98F40B87-9716-4FDF-A796-77DB1A42074D}"/>
    <cellStyle name="Normal 9 2 3 2 5 4" xfId="10343" xr:uid="{D12E0FA7-3C8B-45C2-A981-95BF1C39B453}"/>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19" xr:uid="{94FA86BC-7E73-48CE-BF0B-06A7E3D4783B}"/>
    <cellStyle name="Normal 9 2 3 2 6 2 3" xfId="12901" xr:uid="{2369C910-2399-469B-853F-F290E9C4DA79}"/>
    <cellStyle name="Normal 9 2 3 2 6 3" xfId="6538" xr:uid="{00000000-0005-0000-0000-0000311F0000}"/>
    <cellStyle name="Normal 9 2 3 2 6 3 2" xfId="14974" xr:uid="{EFD9C57B-9500-463F-B45C-7384B16BEA21}"/>
    <cellStyle name="Normal 9 2 3 2 6 4" xfId="10756" xr:uid="{16F2D91D-BEEF-4D1A-87D8-8D010FB4611E}"/>
    <cellStyle name="Normal 9 2 3 2 7" xfId="2667" xr:uid="{00000000-0005-0000-0000-0000321F0000}"/>
    <cellStyle name="Normal 9 2 3 2 7 2" xfId="6951" xr:uid="{00000000-0005-0000-0000-0000331F0000}"/>
    <cellStyle name="Normal 9 2 3 2 7 2 2" xfId="15387" xr:uid="{475BC2C5-1E7B-44E9-B746-E3037ABBA948}"/>
    <cellStyle name="Normal 9 2 3 2 7 3" xfId="11169" xr:uid="{E9E856B9-8E9B-48C6-921B-DC415DF5E236}"/>
    <cellStyle name="Normal 9 2 3 2 8" xfId="4886" xr:uid="{00000000-0005-0000-0000-0000341F0000}"/>
    <cellStyle name="Normal 9 2 3 2 8 2" xfId="13322" xr:uid="{45930663-A914-4F9F-B15A-B0BDBEE6B346}"/>
    <cellStyle name="Normal 9 2 3 2 9" xfId="9104" xr:uid="{BE112BD9-9E60-4443-8776-B1DA176F696F}"/>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2" xr:uid="{B6BF1FB7-963E-428A-9392-E8E08D6FEF42}"/>
    <cellStyle name="Normal 9 2 3 3 2 2 3" xfId="11664" xr:uid="{B5998048-B9E0-40EF-BE39-6CCE9440BC5A}"/>
    <cellStyle name="Normal 9 2 3 3 2 3" xfId="5301" xr:uid="{00000000-0005-0000-0000-0000391F0000}"/>
    <cellStyle name="Normal 9 2 3 3 2 3 2" xfId="13737" xr:uid="{28649C80-A2BD-44BB-8D91-2DCAF4C49DB9}"/>
    <cellStyle name="Normal 9 2 3 3 2 4" xfId="9519" xr:uid="{3B28CAAD-5076-4757-80D7-2F60B887A308}"/>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5" xr:uid="{E3F01B05-2C1A-4787-8592-773F455C314C}"/>
    <cellStyle name="Normal 9 2 3 3 3 2 3" xfId="12077" xr:uid="{530697CE-4057-4745-BB7C-FF25F3CA7252}"/>
    <cellStyle name="Normal 9 2 3 3 3 3" xfId="5714" xr:uid="{00000000-0005-0000-0000-00003D1F0000}"/>
    <cellStyle name="Normal 9 2 3 3 3 3 2" xfId="14150" xr:uid="{E2DAFD04-4C75-4EA7-97B1-CEFB67326FEA}"/>
    <cellStyle name="Normal 9 2 3 3 3 4" xfId="9932" xr:uid="{6894994D-935E-423C-8B47-E9667C0D4315}"/>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08" xr:uid="{BAF24221-C57F-4207-BBE2-9CED3C8C0857}"/>
    <cellStyle name="Normal 9 2 3 3 4 2 3" xfId="12490" xr:uid="{3D4E2EF8-9571-4242-B141-8D64A9310721}"/>
    <cellStyle name="Normal 9 2 3 3 4 3" xfId="6127" xr:uid="{00000000-0005-0000-0000-0000411F0000}"/>
    <cellStyle name="Normal 9 2 3 3 4 3 2" xfId="14563" xr:uid="{B930B2E7-872C-45E0-AF85-13A0EF267ED0}"/>
    <cellStyle name="Normal 9 2 3 3 4 4" xfId="10345" xr:uid="{67F51985-6ABE-40C7-9A5D-C27F57D77424}"/>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1" xr:uid="{2AFF26B3-D263-4B7A-9FC3-D1C79E7EE519}"/>
    <cellStyle name="Normal 9 2 3 3 5 2 3" xfId="12903" xr:uid="{7F9A2792-4CEB-4346-B1E1-2B18248BE7B1}"/>
    <cellStyle name="Normal 9 2 3 3 5 3" xfId="6540" xr:uid="{00000000-0005-0000-0000-0000451F0000}"/>
    <cellStyle name="Normal 9 2 3 3 5 3 2" xfId="14976" xr:uid="{24980EFA-5CE9-4EF6-A657-45949B943A3A}"/>
    <cellStyle name="Normal 9 2 3 3 5 4" xfId="10758" xr:uid="{75186D31-2E82-4DB2-A293-858A8F9E6DBF}"/>
    <cellStyle name="Normal 9 2 3 3 6" xfId="2669" xr:uid="{00000000-0005-0000-0000-0000461F0000}"/>
    <cellStyle name="Normal 9 2 3 3 6 2" xfId="6953" xr:uid="{00000000-0005-0000-0000-0000471F0000}"/>
    <cellStyle name="Normal 9 2 3 3 6 2 2" xfId="15389" xr:uid="{E4EBA53F-220A-4396-816A-76F91E5B64BF}"/>
    <cellStyle name="Normal 9 2 3 3 6 3" xfId="11171" xr:uid="{BD987B45-5E5F-4BCA-93F8-1A6E268330F7}"/>
    <cellStyle name="Normal 9 2 3 3 7" xfId="4888" xr:uid="{00000000-0005-0000-0000-0000481F0000}"/>
    <cellStyle name="Normal 9 2 3 3 7 2" xfId="13324" xr:uid="{FDB09694-2811-4DF9-9D70-55EBFB66DAA0}"/>
    <cellStyle name="Normal 9 2 3 3 8" xfId="9106" xr:uid="{4543B65F-42A6-4E03-822F-C66A35058108}"/>
    <cellStyle name="Normal 9 2 3 4" xfId="987" xr:uid="{00000000-0005-0000-0000-0000491F0000}"/>
    <cellStyle name="Normal 9 2 3 4 2" xfId="3220" xr:uid="{00000000-0005-0000-0000-00004A1F0000}"/>
    <cellStyle name="Normal 9 2 3 4 2 2" xfId="7443" xr:uid="{00000000-0005-0000-0000-00004B1F0000}"/>
    <cellStyle name="Normal 9 2 3 4 2 2 2" xfId="15879" xr:uid="{4A4C42F0-A8F5-49D6-8A69-0F5663B68FEF}"/>
    <cellStyle name="Normal 9 2 3 4 2 3" xfId="11661" xr:uid="{74854664-35D9-4629-B3C2-521634E7AFF1}"/>
    <cellStyle name="Normal 9 2 3 4 3" xfId="5298" xr:uid="{00000000-0005-0000-0000-00004C1F0000}"/>
    <cellStyle name="Normal 9 2 3 4 3 2" xfId="13734" xr:uid="{DBA4CA3F-7AAA-4AFD-A021-B50EDF3B2645}"/>
    <cellStyle name="Normal 9 2 3 4 4" xfId="9516" xr:uid="{301D3925-8C0A-4CB3-9590-B6421F82E997}"/>
    <cellStyle name="Normal 9 2 3 5" xfId="1403" xr:uid="{00000000-0005-0000-0000-00004D1F0000}"/>
    <cellStyle name="Normal 9 2 3 5 2" xfId="3633" xr:uid="{00000000-0005-0000-0000-00004E1F0000}"/>
    <cellStyle name="Normal 9 2 3 5 2 2" xfId="7856" xr:uid="{00000000-0005-0000-0000-00004F1F0000}"/>
    <cellStyle name="Normal 9 2 3 5 2 2 2" xfId="16292" xr:uid="{0A2F0827-A85E-4299-82B0-74AF880B1C0A}"/>
    <cellStyle name="Normal 9 2 3 5 2 3" xfId="12074" xr:uid="{E2D1E7B5-7EDE-4639-B24A-9E2B51CCE6BB}"/>
    <cellStyle name="Normal 9 2 3 5 3" xfId="5711" xr:uid="{00000000-0005-0000-0000-0000501F0000}"/>
    <cellStyle name="Normal 9 2 3 5 3 2" xfId="14147" xr:uid="{8F7AC50E-4851-444B-95F0-9313D341169F}"/>
    <cellStyle name="Normal 9 2 3 5 4" xfId="9929" xr:uid="{A5D467E1-B5CB-4630-B674-90A704A70AC6}"/>
    <cellStyle name="Normal 9 2 3 6" xfId="1816" xr:uid="{00000000-0005-0000-0000-0000511F0000}"/>
    <cellStyle name="Normal 9 2 3 6 2" xfId="4046" xr:uid="{00000000-0005-0000-0000-0000521F0000}"/>
    <cellStyle name="Normal 9 2 3 6 2 2" xfId="8269" xr:uid="{00000000-0005-0000-0000-0000531F0000}"/>
    <cellStyle name="Normal 9 2 3 6 2 2 2" xfId="16705" xr:uid="{F7547035-CCF9-45BF-A4FC-5569053327D7}"/>
    <cellStyle name="Normal 9 2 3 6 2 3" xfId="12487" xr:uid="{F50BEC8C-D77A-432E-8C0D-DEF5A693F3BE}"/>
    <cellStyle name="Normal 9 2 3 6 3" xfId="6124" xr:uid="{00000000-0005-0000-0000-0000541F0000}"/>
    <cellStyle name="Normal 9 2 3 6 3 2" xfId="14560" xr:uid="{358E3A2D-AAD1-4DE4-9EEE-2B5F643235C7}"/>
    <cellStyle name="Normal 9 2 3 6 4" xfId="10342" xr:uid="{542AAF48-56B8-48CC-B203-06779F08EC88}"/>
    <cellStyle name="Normal 9 2 3 7" xfId="2230" xr:uid="{00000000-0005-0000-0000-0000551F0000}"/>
    <cellStyle name="Normal 9 2 3 7 2" xfId="4459" xr:uid="{00000000-0005-0000-0000-0000561F0000}"/>
    <cellStyle name="Normal 9 2 3 7 2 2" xfId="8682" xr:uid="{00000000-0005-0000-0000-0000571F0000}"/>
    <cellStyle name="Normal 9 2 3 7 2 2 2" xfId="17118" xr:uid="{4617B918-8178-4560-8539-4DFAC99870D7}"/>
    <cellStyle name="Normal 9 2 3 7 2 3" xfId="12900" xr:uid="{521F6D80-965E-4B9B-91E4-3EA6755BADAB}"/>
    <cellStyle name="Normal 9 2 3 7 3" xfId="6537" xr:uid="{00000000-0005-0000-0000-0000581F0000}"/>
    <cellStyle name="Normal 9 2 3 7 3 2" xfId="14973" xr:uid="{9EE17E6F-3558-4B18-86DA-8CB1A3F2E848}"/>
    <cellStyle name="Normal 9 2 3 7 4" xfId="10755" xr:uid="{9919440E-F29E-49AA-9201-FE517FF7716A}"/>
    <cellStyle name="Normal 9 2 3 8" xfId="2666" xr:uid="{00000000-0005-0000-0000-0000591F0000}"/>
    <cellStyle name="Normal 9 2 3 8 2" xfId="6950" xr:uid="{00000000-0005-0000-0000-00005A1F0000}"/>
    <cellStyle name="Normal 9 2 3 8 2 2" xfId="15386" xr:uid="{93B840B2-6CFB-4F6F-B925-DC4CC060D451}"/>
    <cellStyle name="Normal 9 2 3 8 3" xfId="11168" xr:uid="{1276055D-7328-42D0-8A5E-9761957B440A}"/>
    <cellStyle name="Normal 9 2 3 9" xfId="4885" xr:uid="{00000000-0005-0000-0000-00005B1F0000}"/>
    <cellStyle name="Normal 9 2 3 9 2" xfId="13321" xr:uid="{3E348C17-AE0A-4063-9B6C-1192B40780B6}"/>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4" xr:uid="{5B9FC677-6605-4BDA-A58E-FD952B5F30AF}"/>
    <cellStyle name="Normal 9 2 4 2 2 2 3" xfId="11666" xr:uid="{AF0B481B-C1FA-4D7D-912B-39DCB806AD58}"/>
    <cellStyle name="Normal 9 2 4 2 2 3" xfId="5303" xr:uid="{00000000-0005-0000-0000-0000611F0000}"/>
    <cellStyle name="Normal 9 2 4 2 2 3 2" xfId="13739" xr:uid="{05ECC556-0F01-4EFF-BF8B-21735F778643}"/>
    <cellStyle name="Normal 9 2 4 2 2 4" xfId="9521" xr:uid="{1FDBE1AB-7E10-4073-91EB-37C21DF8F2B3}"/>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297" xr:uid="{55035FFF-35D0-4C03-9B90-39664686B68F}"/>
    <cellStyle name="Normal 9 2 4 2 3 2 3" xfId="12079" xr:uid="{8C6CF9BD-18AD-4E74-85B1-96967643E497}"/>
    <cellStyle name="Normal 9 2 4 2 3 3" xfId="5716" xr:uid="{00000000-0005-0000-0000-0000651F0000}"/>
    <cellStyle name="Normal 9 2 4 2 3 3 2" xfId="14152" xr:uid="{5F679C2A-15CB-4CDF-914A-5B98F4FA926F}"/>
    <cellStyle name="Normal 9 2 4 2 3 4" xfId="9934" xr:uid="{D9B3B85B-23E6-4DAD-9B21-50149DE6543F}"/>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0" xr:uid="{0A8B79F7-F6D5-4527-903A-0CD5FF371BB4}"/>
    <cellStyle name="Normal 9 2 4 2 4 2 3" xfId="12492" xr:uid="{A6ACFB5F-9FAB-41B8-88EC-38ECB47270A1}"/>
    <cellStyle name="Normal 9 2 4 2 4 3" xfId="6129" xr:uid="{00000000-0005-0000-0000-0000691F0000}"/>
    <cellStyle name="Normal 9 2 4 2 4 3 2" xfId="14565" xr:uid="{539168CE-2658-4D98-BAFB-E96A432832BD}"/>
    <cellStyle name="Normal 9 2 4 2 4 4" xfId="10347" xr:uid="{6AE5662B-14CF-405D-95A4-CD02D7DBE1A7}"/>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3" xr:uid="{202B293D-4EDB-4AFA-B58A-3379E8BB7BF9}"/>
    <cellStyle name="Normal 9 2 4 2 5 2 3" xfId="12905" xr:uid="{0AA25306-514E-4566-897F-3F247479AA82}"/>
    <cellStyle name="Normal 9 2 4 2 5 3" xfId="6542" xr:uid="{00000000-0005-0000-0000-00006D1F0000}"/>
    <cellStyle name="Normal 9 2 4 2 5 3 2" xfId="14978" xr:uid="{2648522F-19FE-46BA-9ED9-267FCDA0E40F}"/>
    <cellStyle name="Normal 9 2 4 2 5 4" xfId="10760" xr:uid="{6D49F534-FF62-437C-A707-7E669A8E8E04}"/>
    <cellStyle name="Normal 9 2 4 2 6" xfId="2671" xr:uid="{00000000-0005-0000-0000-00006E1F0000}"/>
    <cellStyle name="Normal 9 2 4 2 6 2" xfId="6955" xr:uid="{00000000-0005-0000-0000-00006F1F0000}"/>
    <cellStyle name="Normal 9 2 4 2 6 2 2" xfId="15391" xr:uid="{B44CF68F-3B09-4FF5-9641-C961700D5752}"/>
    <cellStyle name="Normal 9 2 4 2 6 3" xfId="11173" xr:uid="{A73C128B-3C8E-498F-A884-BE9BE5E47400}"/>
    <cellStyle name="Normal 9 2 4 2 7" xfId="4890" xr:uid="{00000000-0005-0000-0000-0000701F0000}"/>
    <cellStyle name="Normal 9 2 4 2 7 2" xfId="13326" xr:uid="{90A012AF-815B-43B2-A580-CECF7BF4F4BE}"/>
    <cellStyle name="Normal 9 2 4 2 8" xfId="9108" xr:uid="{A8CD0532-E1EA-4754-AD1C-7CFC3854B85B}"/>
    <cellStyle name="Normal 9 2 4 3" xfId="991" xr:uid="{00000000-0005-0000-0000-0000711F0000}"/>
    <cellStyle name="Normal 9 2 4 3 2" xfId="3224" xr:uid="{00000000-0005-0000-0000-0000721F0000}"/>
    <cellStyle name="Normal 9 2 4 3 2 2" xfId="7447" xr:uid="{00000000-0005-0000-0000-0000731F0000}"/>
    <cellStyle name="Normal 9 2 4 3 2 2 2" xfId="15883" xr:uid="{CCC5CCCC-066A-426F-B093-1288809FD99B}"/>
    <cellStyle name="Normal 9 2 4 3 2 3" xfId="11665" xr:uid="{6CAFE29D-622A-4A9D-AF45-B9024ED7FB2D}"/>
    <cellStyle name="Normal 9 2 4 3 3" xfId="5302" xr:uid="{00000000-0005-0000-0000-0000741F0000}"/>
    <cellStyle name="Normal 9 2 4 3 3 2" xfId="13738" xr:uid="{87BDC324-C9BC-4607-A8D1-0B9C9700A1E9}"/>
    <cellStyle name="Normal 9 2 4 3 4" xfId="9520" xr:uid="{6F7277CA-35DF-4979-8DAC-7B2A39E7D4BA}"/>
    <cellStyle name="Normal 9 2 4 4" xfId="1407" xr:uid="{00000000-0005-0000-0000-0000751F0000}"/>
    <cellStyle name="Normal 9 2 4 4 2" xfId="3637" xr:uid="{00000000-0005-0000-0000-0000761F0000}"/>
    <cellStyle name="Normal 9 2 4 4 2 2" xfId="7860" xr:uid="{00000000-0005-0000-0000-0000771F0000}"/>
    <cellStyle name="Normal 9 2 4 4 2 2 2" xfId="16296" xr:uid="{B7D61A78-3010-4994-932E-6439169626F8}"/>
    <cellStyle name="Normal 9 2 4 4 2 3" xfId="12078" xr:uid="{988A7781-6BC6-4F44-AEEE-8BA4F909E83A}"/>
    <cellStyle name="Normal 9 2 4 4 3" xfId="5715" xr:uid="{00000000-0005-0000-0000-0000781F0000}"/>
    <cellStyle name="Normal 9 2 4 4 3 2" xfId="14151" xr:uid="{F0258832-6245-4004-AB7B-69F132DC111A}"/>
    <cellStyle name="Normal 9 2 4 4 4" xfId="9933" xr:uid="{D40E08D4-D75C-496F-9E72-F15FA3236C90}"/>
    <cellStyle name="Normal 9 2 4 5" xfId="1820" xr:uid="{00000000-0005-0000-0000-0000791F0000}"/>
    <cellStyle name="Normal 9 2 4 5 2" xfId="4050" xr:uid="{00000000-0005-0000-0000-00007A1F0000}"/>
    <cellStyle name="Normal 9 2 4 5 2 2" xfId="8273" xr:uid="{00000000-0005-0000-0000-00007B1F0000}"/>
    <cellStyle name="Normal 9 2 4 5 2 2 2" xfId="16709" xr:uid="{1CBF237E-E37F-4A80-9D7B-3E8EF2FED10E}"/>
    <cellStyle name="Normal 9 2 4 5 2 3" xfId="12491" xr:uid="{2F67C36C-230E-4ACF-A933-718B768C3530}"/>
    <cellStyle name="Normal 9 2 4 5 3" xfId="6128" xr:uid="{00000000-0005-0000-0000-00007C1F0000}"/>
    <cellStyle name="Normal 9 2 4 5 3 2" xfId="14564" xr:uid="{A3392433-D5B6-41BC-8FED-90B8EB5906F6}"/>
    <cellStyle name="Normal 9 2 4 5 4" xfId="10346" xr:uid="{97BDA437-55AB-4A3C-B71C-EE35761B065B}"/>
    <cellStyle name="Normal 9 2 4 6" xfId="2234" xr:uid="{00000000-0005-0000-0000-00007D1F0000}"/>
    <cellStyle name="Normal 9 2 4 6 2" xfId="4463" xr:uid="{00000000-0005-0000-0000-00007E1F0000}"/>
    <cellStyle name="Normal 9 2 4 6 2 2" xfId="8686" xr:uid="{00000000-0005-0000-0000-00007F1F0000}"/>
    <cellStyle name="Normal 9 2 4 6 2 2 2" xfId="17122" xr:uid="{E07854A9-2CD0-4DDC-AA26-B089B00A03B7}"/>
    <cellStyle name="Normal 9 2 4 6 2 3" xfId="12904" xr:uid="{769E4B9B-B6DA-4192-9FD9-A257E08DD70F}"/>
    <cellStyle name="Normal 9 2 4 6 3" xfId="6541" xr:uid="{00000000-0005-0000-0000-0000801F0000}"/>
    <cellStyle name="Normal 9 2 4 6 3 2" xfId="14977" xr:uid="{7F02D827-7542-460E-B19B-996A62B4DB00}"/>
    <cellStyle name="Normal 9 2 4 6 4" xfId="10759" xr:uid="{6A01AFBD-5C4F-41A8-85B0-41D63C37CF76}"/>
    <cellStyle name="Normal 9 2 4 7" xfId="2670" xr:uid="{00000000-0005-0000-0000-0000811F0000}"/>
    <cellStyle name="Normal 9 2 4 7 2" xfId="6954" xr:uid="{00000000-0005-0000-0000-0000821F0000}"/>
    <cellStyle name="Normal 9 2 4 7 2 2" xfId="15390" xr:uid="{DE4EA49A-F619-4FF5-B419-F914EA31345A}"/>
    <cellStyle name="Normal 9 2 4 7 3" xfId="11172" xr:uid="{A3DE31F4-5CD3-4659-A389-34146150B2FC}"/>
    <cellStyle name="Normal 9 2 4 8" xfId="4889" xr:uid="{00000000-0005-0000-0000-0000831F0000}"/>
    <cellStyle name="Normal 9 2 4 8 2" xfId="13325" xr:uid="{458B7DFE-3BC2-419F-9411-3FB3504AEE21}"/>
    <cellStyle name="Normal 9 2 4 9" xfId="9107" xr:uid="{794ED348-9297-4E24-AAED-21D4FA39AF37}"/>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5" xr:uid="{3FACA4D7-535B-4CAB-BEF9-10E333300A63}"/>
    <cellStyle name="Normal 9 2 5 2 2 3" xfId="11667" xr:uid="{E6B5D6DE-57C0-4C0C-8B96-F65AE63E7850}"/>
    <cellStyle name="Normal 9 2 5 2 3" xfId="5304" xr:uid="{00000000-0005-0000-0000-0000881F0000}"/>
    <cellStyle name="Normal 9 2 5 2 3 2" xfId="13740" xr:uid="{3BEAE97C-3D1E-491D-B5F1-CBEEEE8EBED5}"/>
    <cellStyle name="Normal 9 2 5 2 4" xfId="9522" xr:uid="{688283A1-0933-4DA5-8E51-87FCA13D8C7E}"/>
    <cellStyle name="Normal 9 2 5 3" xfId="1409" xr:uid="{00000000-0005-0000-0000-0000891F0000}"/>
    <cellStyle name="Normal 9 2 5 3 2" xfId="3639" xr:uid="{00000000-0005-0000-0000-00008A1F0000}"/>
    <cellStyle name="Normal 9 2 5 3 2 2" xfId="7862" xr:uid="{00000000-0005-0000-0000-00008B1F0000}"/>
    <cellStyle name="Normal 9 2 5 3 2 2 2" xfId="16298" xr:uid="{C1B22E66-2B0B-4DF1-BE8B-2ADF96C4D514}"/>
    <cellStyle name="Normal 9 2 5 3 2 3" xfId="12080" xr:uid="{00F83674-C8DF-41D4-B10A-D071DE77FA8D}"/>
    <cellStyle name="Normal 9 2 5 3 3" xfId="5717" xr:uid="{00000000-0005-0000-0000-00008C1F0000}"/>
    <cellStyle name="Normal 9 2 5 3 3 2" xfId="14153" xr:uid="{FCFE3A8B-8870-4351-B39A-F7B771DC998B}"/>
    <cellStyle name="Normal 9 2 5 3 4" xfId="9935" xr:uid="{29130165-566D-487B-BE9F-EC68DADF312E}"/>
    <cellStyle name="Normal 9 2 5 4" xfId="1822" xr:uid="{00000000-0005-0000-0000-00008D1F0000}"/>
    <cellStyle name="Normal 9 2 5 4 2" xfId="4052" xr:uid="{00000000-0005-0000-0000-00008E1F0000}"/>
    <cellStyle name="Normal 9 2 5 4 2 2" xfId="8275" xr:uid="{00000000-0005-0000-0000-00008F1F0000}"/>
    <cellStyle name="Normal 9 2 5 4 2 2 2" xfId="16711" xr:uid="{3EC6D6C8-3CB5-49E8-8576-2CD0BB093B59}"/>
    <cellStyle name="Normal 9 2 5 4 2 3" xfId="12493" xr:uid="{DCE4AC43-6F56-485D-AF72-9AB2022A0D0A}"/>
    <cellStyle name="Normal 9 2 5 4 3" xfId="6130" xr:uid="{00000000-0005-0000-0000-0000901F0000}"/>
    <cellStyle name="Normal 9 2 5 4 3 2" xfId="14566" xr:uid="{56549714-5DED-4607-8811-C3F1D9F542C1}"/>
    <cellStyle name="Normal 9 2 5 4 4" xfId="10348" xr:uid="{FB35C2F9-3715-4170-8EF6-188A5318491A}"/>
    <cellStyle name="Normal 9 2 5 5" xfId="2236" xr:uid="{00000000-0005-0000-0000-0000911F0000}"/>
    <cellStyle name="Normal 9 2 5 5 2" xfId="4465" xr:uid="{00000000-0005-0000-0000-0000921F0000}"/>
    <cellStyle name="Normal 9 2 5 5 2 2" xfId="8688" xr:uid="{00000000-0005-0000-0000-0000931F0000}"/>
    <cellStyle name="Normal 9 2 5 5 2 2 2" xfId="17124" xr:uid="{422E472E-DE4A-48E2-B1DC-1803051ACEE1}"/>
    <cellStyle name="Normal 9 2 5 5 2 3" xfId="12906" xr:uid="{A8722E0D-41B5-479F-9256-964891589264}"/>
    <cellStyle name="Normal 9 2 5 5 3" xfId="6543" xr:uid="{00000000-0005-0000-0000-0000941F0000}"/>
    <cellStyle name="Normal 9 2 5 5 3 2" xfId="14979" xr:uid="{43307342-1A33-4A3D-B4D4-070E8E79F39B}"/>
    <cellStyle name="Normal 9 2 5 5 4" xfId="10761" xr:uid="{84A3E64B-3A50-47D1-82FE-ECBAACE3DC8B}"/>
    <cellStyle name="Normal 9 2 5 6" xfId="2672" xr:uid="{00000000-0005-0000-0000-0000951F0000}"/>
    <cellStyle name="Normal 9 2 5 6 2" xfId="6956" xr:uid="{00000000-0005-0000-0000-0000961F0000}"/>
    <cellStyle name="Normal 9 2 5 6 2 2" xfId="15392" xr:uid="{A7614C2E-B146-4C9C-8E40-260617688D6D}"/>
    <cellStyle name="Normal 9 2 5 6 3" xfId="11174" xr:uid="{4861C4EE-3A84-446F-8B03-D402C8476104}"/>
    <cellStyle name="Normal 9 2 5 7" xfId="4891" xr:uid="{00000000-0005-0000-0000-0000971F0000}"/>
    <cellStyle name="Normal 9 2 5 7 2" xfId="13327" xr:uid="{9E90110A-801D-4584-A19F-90057D260FDA}"/>
    <cellStyle name="Normal 9 2 5 8" xfId="9109" xr:uid="{DF619BF3-196F-4C86-AF4F-276C5F1167BA}"/>
    <cellStyle name="Normal 9 2 6" xfId="978" xr:uid="{00000000-0005-0000-0000-0000981F0000}"/>
    <cellStyle name="Normal 9 2 6 2" xfId="3211" xr:uid="{00000000-0005-0000-0000-0000991F0000}"/>
    <cellStyle name="Normal 9 2 6 2 2" xfId="7434" xr:uid="{00000000-0005-0000-0000-00009A1F0000}"/>
    <cellStyle name="Normal 9 2 6 2 2 2" xfId="15870" xr:uid="{FE6F247A-86C2-4559-B8BE-438640CCDCAA}"/>
    <cellStyle name="Normal 9 2 6 2 3" xfId="11652" xr:uid="{91CEFA4F-FCB9-4AA8-8771-B91BC09ABF4F}"/>
    <cellStyle name="Normal 9 2 6 3" xfId="5289" xr:uid="{00000000-0005-0000-0000-00009B1F0000}"/>
    <cellStyle name="Normal 9 2 6 3 2" xfId="13725" xr:uid="{54153884-5C2A-4D29-AD0B-1B00C2AF3022}"/>
    <cellStyle name="Normal 9 2 6 4" xfId="9507" xr:uid="{D5C90054-9DB0-48FE-B869-698255D1886F}"/>
    <cellStyle name="Normal 9 2 7" xfId="1394" xr:uid="{00000000-0005-0000-0000-00009C1F0000}"/>
    <cellStyle name="Normal 9 2 7 2" xfId="3624" xr:uid="{00000000-0005-0000-0000-00009D1F0000}"/>
    <cellStyle name="Normal 9 2 7 2 2" xfId="7847" xr:uid="{00000000-0005-0000-0000-00009E1F0000}"/>
    <cellStyle name="Normal 9 2 7 2 2 2" xfId="16283" xr:uid="{6F487F3C-8213-45D6-A3DA-4A5D006E742B}"/>
    <cellStyle name="Normal 9 2 7 2 3" xfId="12065" xr:uid="{39A8A6BD-7A06-41B3-820F-E81AC3C45B33}"/>
    <cellStyle name="Normal 9 2 7 3" xfId="5702" xr:uid="{00000000-0005-0000-0000-00009F1F0000}"/>
    <cellStyle name="Normal 9 2 7 3 2" xfId="14138" xr:uid="{F3A4F842-6659-473E-9334-83F894158119}"/>
    <cellStyle name="Normal 9 2 7 4" xfId="9920" xr:uid="{C2D2214F-CCA0-4B83-A4BE-53E48FB587A3}"/>
    <cellStyle name="Normal 9 2 8" xfId="1807" xr:uid="{00000000-0005-0000-0000-0000A01F0000}"/>
    <cellStyle name="Normal 9 2 8 2" xfId="4037" xr:uid="{00000000-0005-0000-0000-0000A11F0000}"/>
    <cellStyle name="Normal 9 2 8 2 2" xfId="8260" xr:uid="{00000000-0005-0000-0000-0000A21F0000}"/>
    <cellStyle name="Normal 9 2 8 2 2 2" xfId="16696" xr:uid="{7609975A-AC68-414F-A49F-69611A203684}"/>
    <cellStyle name="Normal 9 2 8 2 3" xfId="12478" xr:uid="{121235BC-0BB8-4640-8AED-DA0153DE66AA}"/>
    <cellStyle name="Normal 9 2 8 3" xfId="6115" xr:uid="{00000000-0005-0000-0000-0000A31F0000}"/>
    <cellStyle name="Normal 9 2 8 3 2" xfId="14551" xr:uid="{53EB401B-CB71-4661-A2A5-D73E7B909059}"/>
    <cellStyle name="Normal 9 2 8 4" xfId="10333" xr:uid="{EF8F5FD5-5E95-42CE-A4FB-5D9428E253FF}"/>
    <cellStyle name="Normal 9 2 9" xfId="2221" xr:uid="{00000000-0005-0000-0000-0000A41F0000}"/>
    <cellStyle name="Normal 9 2 9 2" xfId="4450" xr:uid="{00000000-0005-0000-0000-0000A51F0000}"/>
    <cellStyle name="Normal 9 2 9 2 2" xfId="8673" xr:uid="{00000000-0005-0000-0000-0000A61F0000}"/>
    <cellStyle name="Normal 9 2 9 2 2 2" xfId="17109" xr:uid="{B30582D4-F73E-45C6-87F2-7DD746B10DAB}"/>
    <cellStyle name="Normal 9 2 9 2 3" xfId="12891" xr:uid="{4D410BC9-8839-48E9-9688-A5063D1D15C5}"/>
    <cellStyle name="Normal 9 2 9 3" xfId="6528" xr:uid="{00000000-0005-0000-0000-0000A71F0000}"/>
    <cellStyle name="Normal 9 2 9 3 2" xfId="14964" xr:uid="{C3A577AE-A9D4-4709-83E1-97714A127B5C}"/>
    <cellStyle name="Normal 9 2 9 4" xfId="10746" xr:uid="{2EB676AF-2270-40D7-89CE-30C9D03CA482}"/>
    <cellStyle name="Normal 9 3" xfId="527" xr:uid="{00000000-0005-0000-0000-0000A81F0000}"/>
    <cellStyle name="Normal 9 3 10" xfId="4892" xr:uid="{00000000-0005-0000-0000-0000A91F0000}"/>
    <cellStyle name="Normal 9 3 10 2" xfId="13328" xr:uid="{191FDF23-F922-40C9-BEE9-7CE3D0720D1B}"/>
    <cellStyle name="Normal 9 3 11" xfId="9110" xr:uid="{0138C6B4-8681-42A7-BB66-3CC49CB887BF}"/>
    <cellStyle name="Normal 9 3 2" xfId="528" xr:uid="{00000000-0005-0000-0000-0000AA1F0000}"/>
    <cellStyle name="Normal 9 3 2 10" xfId="9111" xr:uid="{3FE95E44-9726-4704-AC15-2F96E8764A93}"/>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89" xr:uid="{6AB3F1D2-9665-42D1-8A4B-8A8ED3384A80}"/>
    <cellStyle name="Normal 9 3 2 2 2 2 2 3" xfId="11671" xr:uid="{39854BFE-7654-4358-B696-056CE915996E}"/>
    <cellStyle name="Normal 9 3 2 2 2 2 3" xfId="5308" xr:uid="{00000000-0005-0000-0000-0000B01F0000}"/>
    <cellStyle name="Normal 9 3 2 2 2 2 3 2" xfId="13744" xr:uid="{711AF4A5-55FA-4696-9AB1-6AB763CEDB5A}"/>
    <cellStyle name="Normal 9 3 2 2 2 2 4" xfId="9526" xr:uid="{2C0233F0-FC7F-470A-9F7C-5077616FA305}"/>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2" xr:uid="{0B74DFA9-1928-44E9-BA34-112DDF2A2E30}"/>
    <cellStyle name="Normal 9 3 2 2 2 3 2 3" xfId="12084" xr:uid="{96791E87-4100-48BE-96C0-56097B2526F5}"/>
    <cellStyle name="Normal 9 3 2 2 2 3 3" xfId="5721" xr:uid="{00000000-0005-0000-0000-0000B41F0000}"/>
    <cellStyle name="Normal 9 3 2 2 2 3 3 2" xfId="14157" xr:uid="{A2065FFF-9D47-435D-A943-10CAC3621ECA}"/>
    <cellStyle name="Normal 9 3 2 2 2 3 4" xfId="9939" xr:uid="{32A683F4-9F2D-4914-9481-4C1088D07AFE}"/>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5" xr:uid="{DC8500AC-A0B7-4FB6-98AF-8AAF35A75A24}"/>
    <cellStyle name="Normal 9 3 2 2 2 4 2 3" xfId="12497" xr:uid="{9EBA4B90-55AA-46A0-A2B3-C2AEB83A7ECC}"/>
    <cellStyle name="Normal 9 3 2 2 2 4 3" xfId="6134" xr:uid="{00000000-0005-0000-0000-0000B81F0000}"/>
    <cellStyle name="Normal 9 3 2 2 2 4 3 2" xfId="14570" xr:uid="{DE530078-3777-4246-AD84-B69CEE1F6027}"/>
    <cellStyle name="Normal 9 3 2 2 2 4 4" xfId="10352" xr:uid="{A0E5AF13-2EA6-4395-A681-7D498317A971}"/>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28" xr:uid="{AA75081A-0A20-4907-8AE1-289E9F68CBC4}"/>
    <cellStyle name="Normal 9 3 2 2 2 5 2 3" xfId="12910" xr:uid="{F020805F-C97E-4ECA-B321-EA782DA0FD92}"/>
    <cellStyle name="Normal 9 3 2 2 2 5 3" xfId="6547" xr:uid="{00000000-0005-0000-0000-0000BC1F0000}"/>
    <cellStyle name="Normal 9 3 2 2 2 5 3 2" xfId="14983" xr:uid="{72CC0F68-ED7F-42B4-8B26-7D355A1202F9}"/>
    <cellStyle name="Normal 9 3 2 2 2 5 4" xfId="10765" xr:uid="{BE5BB0FC-10C9-47BF-ADFE-B87230FC1771}"/>
    <cellStyle name="Normal 9 3 2 2 2 6" xfId="2676" xr:uid="{00000000-0005-0000-0000-0000BD1F0000}"/>
    <cellStyle name="Normal 9 3 2 2 2 6 2" xfId="6960" xr:uid="{00000000-0005-0000-0000-0000BE1F0000}"/>
    <cellStyle name="Normal 9 3 2 2 2 6 2 2" xfId="15396" xr:uid="{DD52D068-760E-434C-B204-7BD3DD0B543F}"/>
    <cellStyle name="Normal 9 3 2 2 2 6 3" xfId="11178" xr:uid="{D99EAC37-EF69-4574-B2FA-2279C7217816}"/>
    <cellStyle name="Normal 9 3 2 2 2 7" xfId="4895" xr:uid="{00000000-0005-0000-0000-0000BF1F0000}"/>
    <cellStyle name="Normal 9 3 2 2 2 7 2" xfId="13331" xr:uid="{D1696BD1-0778-4A13-9323-4C4D6B0E0C62}"/>
    <cellStyle name="Normal 9 3 2 2 2 8" xfId="9113" xr:uid="{9D423DFD-B9DE-4233-B338-CEDE838805E1}"/>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88" xr:uid="{9808DF62-24B5-4170-B737-8D2EED7BDCE2}"/>
    <cellStyle name="Normal 9 3 2 2 3 2 3" xfId="11670" xr:uid="{B818D55E-5457-4C38-960A-3B960C561F55}"/>
    <cellStyle name="Normal 9 3 2 2 3 3" xfId="5307" xr:uid="{00000000-0005-0000-0000-0000C31F0000}"/>
    <cellStyle name="Normal 9 3 2 2 3 3 2" xfId="13743" xr:uid="{A4AF0578-68F7-45F0-B6AA-7CAB903E11C9}"/>
    <cellStyle name="Normal 9 3 2 2 3 4" xfId="9525" xr:uid="{149BDA69-1309-4FF8-BE6D-952FEB2FB201}"/>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1" xr:uid="{41005C26-F686-461E-9E0E-3C0877EF2EFF}"/>
    <cellStyle name="Normal 9 3 2 2 4 2 3" xfId="12083" xr:uid="{54E5C61D-B079-427E-9EE6-2F65BD8157C7}"/>
    <cellStyle name="Normal 9 3 2 2 4 3" xfId="5720" xr:uid="{00000000-0005-0000-0000-0000C71F0000}"/>
    <cellStyle name="Normal 9 3 2 2 4 3 2" xfId="14156" xr:uid="{02BE0E98-FE2F-42FE-86F1-61FB3FA5029C}"/>
    <cellStyle name="Normal 9 3 2 2 4 4" xfId="9938" xr:uid="{00B6D4A0-CB64-40C0-9020-0220C773C74B}"/>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4" xr:uid="{DF5DB7B5-0512-4D13-AB66-A2D29BF18397}"/>
    <cellStyle name="Normal 9 3 2 2 5 2 3" xfId="12496" xr:uid="{5C0914C4-177B-44E0-8E07-4869EF520941}"/>
    <cellStyle name="Normal 9 3 2 2 5 3" xfId="6133" xr:uid="{00000000-0005-0000-0000-0000CB1F0000}"/>
    <cellStyle name="Normal 9 3 2 2 5 3 2" xfId="14569" xr:uid="{142E0115-9D07-4DD9-9304-E4C50110B109}"/>
    <cellStyle name="Normal 9 3 2 2 5 4" xfId="10351" xr:uid="{0B3C3D26-7190-4F89-9524-917C1A605421}"/>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27" xr:uid="{28E8BCEA-429C-42F9-8A36-1DA07F2E0881}"/>
    <cellStyle name="Normal 9 3 2 2 6 2 3" xfId="12909" xr:uid="{9906FA75-213C-4E99-84B0-314CCCA9F3A7}"/>
    <cellStyle name="Normal 9 3 2 2 6 3" xfId="6546" xr:uid="{00000000-0005-0000-0000-0000CF1F0000}"/>
    <cellStyle name="Normal 9 3 2 2 6 3 2" xfId="14982" xr:uid="{207F42C3-7E0D-49E1-AAA0-D20D41227E09}"/>
    <cellStyle name="Normal 9 3 2 2 6 4" xfId="10764" xr:uid="{658F6888-67BC-414A-8EB3-83C8F6C35013}"/>
    <cellStyle name="Normal 9 3 2 2 7" xfId="2675" xr:uid="{00000000-0005-0000-0000-0000D01F0000}"/>
    <cellStyle name="Normal 9 3 2 2 7 2" xfId="6959" xr:uid="{00000000-0005-0000-0000-0000D11F0000}"/>
    <cellStyle name="Normal 9 3 2 2 7 2 2" xfId="15395" xr:uid="{C7C01448-8F3B-46DF-B38F-22D0CC4398A5}"/>
    <cellStyle name="Normal 9 3 2 2 7 3" xfId="11177" xr:uid="{4C7FBD3A-C868-4047-9F56-B90BC32A885F}"/>
    <cellStyle name="Normal 9 3 2 2 8" xfId="4894" xr:uid="{00000000-0005-0000-0000-0000D21F0000}"/>
    <cellStyle name="Normal 9 3 2 2 8 2" xfId="13330" xr:uid="{1C272C1F-22AD-46D9-A900-D0500D3C422F}"/>
    <cellStyle name="Normal 9 3 2 2 9" xfId="9112" xr:uid="{736D05FF-933E-4BD6-A05A-9537F3C0D8F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0" xr:uid="{79D5FCBE-9170-4875-BD1C-E6DDC8CA08B2}"/>
    <cellStyle name="Normal 9 3 2 3 2 2 3" xfId="11672" xr:uid="{1E76DE09-3496-40D6-9141-B28898F3B939}"/>
    <cellStyle name="Normal 9 3 2 3 2 3" xfId="5309" xr:uid="{00000000-0005-0000-0000-0000D71F0000}"/>
    <cellStyle name="Normal 9 3 2 3 2 3 2" xfId="13745" xr:uid="{0E876294-769B-417E-BADD-1B6F21C4AE1C}"/>
    <cellStyle name="Normal 9 3 2 3 2 4" xfId="9527" xr:uid="{EDE920D3-2889-40F8-8FCF-906E25AE4387}"/>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3" xr:uid="{02CE29AB-9131-4539-BD30-77335E8C4E6D}"/>
    <cellStyle name="Normal 9 3 2 3 3 2 3" xfId="12085" xr:uid="{A4537BAB-D3CA-40B2-BBEB-AE9835A990D0}"/>
    <cellStyle name="Normal 9 3 2 3 3 3" xfId="5722" xr:uid="{00000000-0005-0000-0000-0000DB1F0000}"/>
    <cellStyle name="Normal 9 3 2 3 3 3 2" xfId="14158" xr:uid="{D6170F0A-2FCB-4A43-B327-D04DB1C2411A}"/>
    <cellStyle name="Normal 9 3 2 3 3 4" xfId="9940" xr:uid="{A29278F9-7012-4084-98F7-1E83D31F5095}"/>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6" xr:uid="{0A4901F8-6780-4778-A334-CECB01AE3F3F}"/>
    <cellStyle name="Normal 9 3 2 3 4 2 3" xfId="12498" xr:uid="{C4E9D581-C17B-4604-A589-D641D9161971}"/>
    <cellStyle name="Normal 9 3 2 3 4 3" xfId="6135" xr:uid="{00000000-0005-0000-0000-0000DF1F0000}"/>
    <cellStyle name="Normal 9 3 2 3 4 3 2" xfId="14571" xr:uid="{ED79D1EB-FCBB-4890-BF86-E5549E72E219}"/>
    <cellStyle name="Normal 9 3 2 3 4 4" xfId="10353" xr:uid="{BA857897-990B-4F98-A201-009B9FCED186}"/>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29" xr:uid="{1E5A7480-B79E-4CAA-B27C-1B5EEB5DA5C9}"/>
    <cellStyle name="Normal 9 3 2 3 5 2 3" xfId="12911" xr:uid="{D1ECB729-9746-49E5-8544-C4703990606B}"/>
    <cellStyle name="Normal 9 3 2 3 5 3" xfId="6548" xr:uid="{00000000-0005-0000-0000-0000E31F0000}"/>
    <cellStyle name="Normal 9 3 2 3 5 3 2" xfId="14984" xr:uid="{9C5FA354-4B3B-48D2-B347-D2FAD2625540}"/>
    <cellStyle name="Normal 9 3 2 3 5 4" xfId="10766" xr:uid="{4B8CFA7F-E092-42BB-BC14-85D7FF1D9C69}"/>
    <cellStyle name="Normal 9 3 2 3 6" xfId="2677" xr:uid="{00000000-0005-0000-0000-0000E41F0000}"/>
    <cellStyle name="Normal 9 3 2 3 6 2" xfId="6961" xr:uid="{00000000-0005-0000-0000-0000E51F0000}"/>
    <cellStyle name="Normal 9 3 2 3 6 2 2" xfId="15397" xr:uid="{3F9E558D-44E2-4C85-BBCA-0BF659FDFCDE}"/>
    <cellStyle name="Normal 9 3 2 3 6 3" xfId="11179" xr:uid="{CD9A1F6F-BDB5-42C6-89FB-026D240233FE}"/>
    <cellStyle name="Normal 9 3 2 3 7" xfId="4896" xr:uid="{00000000-0005-0000-0000-0000E61F0000}"/>
    <cellStyle name="Normal 9 3 2 3 7 2" xfId="13332" xr:uid="{A9442B31-2E18-4E60-9005-3EF464A66728}"/>
    <cellStyle name="Normal 9 3 2 3 8" xfId="9114" xr:uid="{87BA2B05-C3C9-4863-965A-AD9606A7236E}"/>
    <cellStyle name="Normal 9 3 2 4" xfId="995" xr:uid="{00000000-0005-0000-0000-0000E71F0000}"/>
    <cellStyle name="Normal 9 3 2 4 2" xfId="3228" xr:uid="{00000000-0005-0000-0000-0000E81F0000}"/>
    <cellStyle name="Normal 9 3 2 4 2 2" xfId="7451" xr:uid="{00000000-0005-0000-0000-0000E91F0000}"/>
    <cellStyle name="Normal 9 3 2 4 2 2 2" xfId="15887" xr:uid="{C1346E1E-A460-470B-B55A-2AEC032424AA}"/>
    <cellStyle name="Normal 9 3 2 4 2 3" xfId="11669" xr:uid="{5FAEC1EA-2C48-43E7-85F3-7AC029B79F2E}"/>
    <cellStyle name="Normal 9 3 2 4 3" xfId="5306" xr:uid="{00000000-0005-0000-0000-0000EA1F0000}"/>
    <cellStyle name="Normal 9 3 2 4 3 2" xfId="13742" xr:uid="{0F45B8F9-D9B0-455C-8590-F3637EB4365A}"/>
    <cellStyle name="Normal 9 3 2 4 4" xfId="9524" xr:uid="{D78FF32F-19AE-4145-8826-BA466017EF98}"/>
    <cellStyle name="Normal 9 3 2 5" xfId="1411" xr:uid="{00000000-0005-0000-0000-0000EB1F0000}"/>
    <cellStyle name="Normal 9 3 2 5 2" xfId="3641" xr:uid="{00000000-0005-0000-0000-0000EC1F0000}"/>
    <cellStyle name="Normal 9 3 2 5 2 2" xfId="7864" xr:uid="{00000000-0005-0000-0000-0000ED1F0000}"/>
    <cellStyle name="Normal 9 3 2 5 2 2 2" xfId="16300" xr:uid="{545547BF-9D2C-4F5B-B4DF-3C5155B615C3}"/>
    <cellStyle name="Normal 9 3 2 5 2 3" xfId="12082" xr:uid="{302DBBF9-14C5-45F5-B6F8-F22A0FAC080B}"/>
    <cellStyle name="Normal 9 3 2 5 3" xfId="5719" xr:uid="{00000000-0005-0000-0000-0000EE1F0000}"/>
    <cellStyle name="Normal 9 3 2 5 3 2" xfId="14155" xr:uid="{DD921EFD-2452-4C07-9D87-7B040AD496D2}"/>
    <cellStyle name="Normal 9 3 2 5 4" xfId="9937" xr:uid="{226AED6F-B744-4100-9F24-2BD2E0C27CFD}"/>
    <cellStyle name="Normal 9 3 2 6" xfId="1824" xr:uid="{00000000-0005-0000-0000-0000EF1F0000}"/>
    <cellStyle name="Normal 9 3 2 6 2" xfId="4054" xr:uid="{00000000-0005-0000-0000-0000F01F0000}"/>
    <cellStyle name="Normal 9 3 2 6 2 2" xfId="8277" xr:uid="{00000000-0005-0000-0000-0000F11F0000}"/>
    <cellStyle name="Normal 9 3 2 6 2 2 2" xfId="16713" xr:uid="{492808E1-42DE-42F5-894B-117A06F10512}"/>
    <cellStyle name="Normal 9 3 2 6 2 3" xfId="12495" xr:uid="{7A606747-BA7F-48FC-90D2-D4702827EC5C}"/>
    <cellStyle name="Normal 9 3 2 6 3" xfId="6132" xr:uid="{00000000-0005-0000-0000-0000F21F0000}"/>
    <cellStyle name="Normal 9 3 2 6 3 2" xfId="14568" xr:uid="{6454F89D-703F-47B1-AF9B-398B0C5DA457}"/>
    <cellStyle name="Normal 9 3 2 6 4" xfId="10350" xr:uid="{291CA67B-4759-43CB-8D61-16FA29A270A2}"/>
    <cellStyle name="Normal 9 3 2 7" xfId="2238" xr:uid="{00000000-0005-0000-0000-0000F31F0000}"/>
    <cellStyle name="Normal 9 3 2 7 2" xfId="4467" xr:uid="{00000000-0005-0000-0000-0000F41F0000}"/>
    <cellStyle name="Normal 9 3 2 7 2 2" xfId="8690" xr:uid="{00000000-0005-0000-0000-0000F51F0000}"/>
    <cellStyle name="Normal 9 3 2 7 2 2 2" xfId="17126" xr:uid="{6BB19837-DACA-4B7E-B823-32C7D38BD3A6}"/>
    <cellStyle name="Normal 9 3 2 7 2 3" xfId="12908" xr:uid="{4B142D1B-1D17-4C85-B1ED-B48EB0DA895B}"/>
    <cellStyle name="Normal 9 3 2 7 3" xfId="6545" xr:uid="{00000000-0005-0000-0000-0000F61F0000}"/>
    <cellStyle name="Normal 9 3 2 7 3 2" xfId="14981" xr:uid="{BB895018-45D0-4346-9B7B-7E322D8EB531}"/>
    <cellStyle name="Normal 9 3 2 7 4" xfId="10763" xr:uid="{87BDB3E5-5C9E-4B59-854A-3E39741BAC7F}"/>
    <cellStyle name="Normal 9 3 2 8" xfId="2674" xr:uid="{00000000-0005-0000-0000-0000F71F0000}"/>
    <cellStyle name="Normal 9 3 2 8 2" xfId="6958" xr:uid="{00000000-0005-0000-0000-0000F81F0000}"/>
    <cellStyle name="Normal 9 3 2 8 2 2" xfId="15394" xr:uid="{5B145C3F-1E73-4BE4-9162-5B635F067DA8}"/>
    <cellStyle name="Normal 9 3 2 8 3" xfId="11176" xr:uid="{396D3E01-A3E2-447F-B687-7F22004C859E}"/>
    <cellStyle name="Normal 9 3 2 9" xfId="4893" xr:uid="{00000000-0005-0000-0000-0000F91F0000}"/>
    <cellStyle name="Normal 9 3 2 9 2" xfId="13329" xr:uid="{C93C0E3B-2842-4ED1-A274-50ECF5CAABFE}"/>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2" xr:uid="{96FDC560-190B-417D-A21D-228D8B1B7097}"/>
    <cellStyle name="Normal 9 3 3 2 2 2 3" xfId="11674" xr:uid="{DB345989-7756-4E66-B67D-BE9071771AC0}"/>
    <cellStyle name="Normal 9 3 3 2 2 3" xfId="5311" xr:uid="{00000000-0005-0000-0000-0000FF1F0000}"/>
    <cellStyle name="Normal 9 3 3 2 2 3 2" xfId="13747" xr:uid="{CC132FB7-0BE6-42BF-9A90-30B2AC1588A3}"/>
    <cellStyle name="Normal 9 3 3 2 2 4" xfId="9529" xr:uid="{95A82D17-88A8-497F-829A-F0C8C370A5A1}"/>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5" xr:uid="{4A0D26DC-5724-47A5-B3E0-FB28C604477A}"/>
    <cellStyle name="Normal 9 3 3 2 3 2 3" xfId="12087" xr:uid="{1E18F07B-53A4-4E58-B0CF-F86879687D39}"/>
    <cellStyle name="Normal 9 3 3 2 3 3" xfId="5724" xr:uid="{00000000-0005-0000-0000-000003200000}"/>
    <cellStyle name="Normal 9 3 3 2 3 3 2" xfId="14160" xr:uid="{DC9FA549-1476-4DCA-AF99-621ACC37EB3E}"/>
    <cellStyle name="Normal 9 3 3 2 3 4" xfId="9942" xr:uid="{B2BF5114-849D-4786-BF74-30DBDAB0E2DE}"/>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18" xr:uid="{E644DDFA-E015-41FF-BBE3-77BCE1CCFEE1}"/>
    <cellStyle name="Normal 9 3 3 2 4 2 3" xfId="12500" xr:uid="{C7BC639A-5D4A-48CF-B7B5-99C5EAD4B503}"/>
    <cellStyle name="Normal 9 3 3 2 4 3" xfId="6137" xr:uid="{00000000-0005-0000-0000-000007200000}"/>
    <cellStyle name="Normal 9 3 3 2 4 3 2" xfId="14573" xr:uid="{26B0BD61-D465-45B9-94E6-8A901001AA18}"/>
    <cellStyle name="Normal 9 3 3 2 4 4" xfId="10355" xr:uid="{D9CA2231-F6B3-4318-9C04-6104F395123D}"/>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1" xr:uid="{3BAA1529-3408-4894-802D-1000DD3337FD}"/>
    <cellStyle name="Normal 9 3 3 2 5 2 3" xfId="12913" xr:uid="{131125E7-5FF3-4B34-ABC0-5A7070120028}"/>
    <cellStyle name="Normal 9 3 3 2 5 3" xfId="6550" xr:uid="{00000000-0005-0000-0000-00000B200000}"/>
    <cellStyle name="Normal 9 3 3 2 5 3 2" xfId="14986" xr:uid="{B4C67114-6058-4A39-B804-C76E13FF42EA}"/>
    <cellStyle name="Normal 9 3 3 2 5 4" xfId="10768" xr:uid="{3588A144-8049-475D-82EE-42ED4BE0CA27}"/>
    <cellStyle name="Normal 9 3 3 2 6" xfId="2679" xr:uid="{00000000-0005-0000-0000-00000C200000}"/>
    <cellStyle name="Normal 9 3 3 2 6 2" xfId="6963" xr:uid="{00000000-0005-0000-0000-00000D200000}"/>
    <cellStyle name="Normal 9 3 3 2 6 2 2" xfId="15399" xr:uid="{9193C3E9-86A5-4900-AD10-EFE4F57138E7}"/>
    <cellStyle name="Normal 9 3 3 2 6 3" xfId="11181" xr:uid="{93106D27-84DF-4094-96A5-BAC9C0EBD490}"/>
    <cellStyle name="Normal 9 3 3 2 7" xfId="4898" xr:uid="{00000000-0005-0000-0000-00000E200000}"/>
    <cellStyle name="Normal 9 3 3 2 7 2" xfId="13334" xr:uid="{F0A5F17E-1864-4C69-9CF2-C6A3EB312D26}"/>
    <cellStyle name="Normal 9 3 3 2 8" xfId="9116" xr:uid="{64C56F74-50F5-4FCB-84BE-125DB1EFCD9C}"/>
    <cellStyle name="Normal 9 3 3 3" xfId="999" xr:uid="{00000000-0005-0000-0000-00000F200000}"/>
    <cellStyle name="Normal 9 3 3 3 2" xfId="3232" xr:uid="{00000000-0005-0000-0000-000010200000}"/>
    <cellStyle name="Normal 9 3 3 3 2 2" xfId="7455" xr:uid="{00000000-0005-0000-0000-000011200000}"/>
    <cellStyle name="Normal 9 3 3 3 2 2 2" xfId="15891" xr:uid="{E8F36950-9560-4C8C-A12B-3389D4BFB68F}"/>
    <cellStyle name="Normal 9 3 3 3 2 3" xfId="11673" xr:uid="{9C036D87-067C-4C91-A2E9-AF7B267582B7}"/>
    <cellStyle name="Normal 9 3 3 3 3" xfId="5310" xr:uid="{00000000-0005-0000-0000-000012200000}"/>
    <cellStyle name="Normal 9 3 3 3 3 2" xfId="13746" xr:uid="{CD0EDEFD-ADB7-4BDB-A200-99673F83A622}"/>
    <cellStyle name="Normal 9 3 3 3 4" xfId="9528" xr:uid="{B743A88B-A15F-4972-9AAF-46D68A9DDFB2}"/>
    <cellStyle name="Normal 9 3 3 4" xfId="1415" xr:uid="{00000000-0005-0000-0000-000013200000}"/>
    <cellStyle name="Normal 9 3 3 4 2" xfId="3645" xr:uid="{00000000-0005-0000-0000-000014200000}"/>
    <cellStyle name="Normal 9 3 3 4 2 2" xfId="7868" xr:uid="{00000000-0005-0000-0000-000015200000}"/>
    <cellStyle name="Normal 9 3 3 4 2 2 2" xfId="16304" xr:uid="{98CE7B20-A521-4FE1-A896-755E5C9A8527}"/>
    <cellStyle name="Normal 9 3 3 4 2 3" xfId="12086" xr:uid="{34695365-C009-4D95-BE9B-2E0DA1753502}"/>
    <cellStyle name="Normal 9 3 3 4 3" xfId="5723" xr:uid="{00000000-0005-0000-0000-000016200000}"/>
    <cellStyle name="Normal 9 3 3 4 3 2" xfId="14159" xr:uid="{8BA7AD8C-4350-4759-BBF2-1700FDDAF736}"/>
    <cellStyle name="Normal 9 3 3 4 4" xfId="9941" xr:uid="{8E44FF32-D7A8-480B-A111-F28D02D77742}"/>
    <cellStyle name="Normal 9 3 3 5" xfId="1828" xr:uid="{00000000-0005-0000-0000-000017200000}"/>
    <cellStyle name="Normal 9 3 3 5 2" xfId="4058" xr:uid="{00000000-0005-0000-0000-000018200000}"/>
    <cellStyle name="Normal 9 3 3 5 2 2" xfId="8281" xr:uid="{00000000-0005-0000-0000-000019200000}"/>
    <cellStyle name="Normal 9 3 3 5 2 2 2" xfId="16717" xr:uid="{30A2FF35-B4D9-494E-88DF-2844DEC409DE}"/>
    <cellStyle name="Normal 9 3 3 5 2 3" xfId="12499" xr:uid="{FDE9CF68-8F25-49B3-AA65-C0F0F8474D90}"/>
    <cellStyle name="Normal 9 3 3 5 3" xfId="6136" xr:uid="{00000000-0005-0000-0000-00001A200000}"/>
    <cellStyle name="Normal 9 3 3 5 3 2" xfId="14572" xr:uid="{44A28F79-909A-4309-A256-E6BCD2DCF26E}"/>
    <cellStyle name="Normal 9 3 3 5 4" xfId="10354" xr:uid="{EF9BFFFD-F30D-4717-A047-FFA207B121D5}"/>
    <cellStyle name="Normal 9 3 3 6" xfId="2242" xr:uid="{00000000-0005-0000-0000-00001B200000}"/>
    <cellStyle name="Normal 9 3 3 6 2" xfId="4471" xr:uid="{00000000-0005-0000-0000-00001C200000}"/>
    <cellStyle name="Normal 9 3 3 6 2 2" xfId="8694" xr:uid="{00000000-0005-0000-0000-00001D200000}"/>
    <cellStyle name="Normal 9 3 3 6 2 2 2" xfId="17130" xr:uid="{998C23D1-D4B7-41AC-8BCF-2BC42EABB70E}"/>
    <cellStyle name="Normal 9 3 3 6 2 3" xfId="12912" xr:uid="{2598A9A1-7D7F-4914-9462-538BFB1F1819}"/>
    <cellStyle name="Normal 9 3 3 6 3" xfId="6549" xr:uid="{00000000-0005-0000-0000-00001E200000}"/>
    <cellStyle name="Normal 9 3 3 6 3 2" xfId="14985" xr:uid="{B6986197-5AD8-480C-899B-3DCB7053E5BE}"/>
    <cellStyle name="Normal 9 3 3 6 4" xfId="10767" xr:uid="{F170CD21-308C-4BED-81F4-08AA1FD4EA61}"/>
    <cellStyle name="Normal 9 3 3 7" xfId="2678" xr:uid="{00000000-0005-0000-0000-00001F200000}"/>
    <cellStyle name="Normal 9 3 3 7 2" xfId="6962" xr:uid="{00000000-0005-0000-0000-000020200000}"/>
    <cellStyle name="Normal 9 3 3 7 2 2" xfId="15398" xr:uid="{FCD5B5BC-827D-4D7E-B8B1-EE408177692A}"/>
    <cellStyle name="Normal 9 3 3 7 3" xfId="11180" xr:uid="{73565919-23E8-44AA-9352-9B9654D7B3F4}"/>
    <cellStyle name="Normal 9 3 3 8" xfId="4897" xr:uid="{00000000-0005-0000-0000-000021200000}"/>
    <cellStyle name="Normal 9 3 3 8 2" xfId="13333" xr:uid="{5D5B73A6-6905-43C6-93AA-71F25A3A603C}"/>
    <cellStyle name="Normal 9 3 3 9" xfId="9115" xr:uid="{FF3A40CC-26FD-432F-8188-12CF2B3B9A12}"/>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3" xr:uid="{1F16DE87-4F9A-4D59-8A15-72481A00B9CC}"/>
    <cellStyle name="Normal 9 3 4 2 2 3" xfId="11675" xr:uid="{AF8CDFBA-3113-497B-A427-6BC0A71F7DB4}"/>
    <cellStyle name="Normal 9 3 4 2 3" xfId="5312" xr:uid="{00000000-0005-0000-0000-000026200000}"/>
    <cellStyle name="Normal 9 3 4 2 3 2" xfId="13748" xr:uid="{0CF909A3-4286-47C8-AAC1-99B0EC505C2A}"/>
    <cellStyle name="Normal 9 3 4 2 4" xfId="9530" xr:uid="{8FD090B4-6114-4683-BDDD-8A288E513892}"/>
    <cellStyle name="Normal 9 3 4 3" xfId="1417" xr:uid="{00000000-0005-0000-0000-000027200000}"/>
    <cellStyle name="Normal 9 3 4 3 2" xfId="3647" xr:uid="{00000000-0005-0000-0000-000028200000}"/>
    <cellStyle name="Normal 9 3 4 3 2 2" xfId="7870" xr:uid="{00000000-0005-0000-0000-000029200000}"/>
    <cellStyle name="Normal 9 3 4 3 2 2 2" xfId="16306" xr:uid="{2B32E0EB-AE46-4E4B-8A92-67D6E680C15D}"/>
    <cellStyle name="Normal 9 3 4 3 2 3" xfId="12088" xr:uid="{52D52664-C4C0-414F-AF39-643195EE5EA8}"/>
    <cellStyle name="Normal 9 3 4 3 3" xfId="5725" xr:uid="{00000000-0005-0000-0000-00002A200000}"/>
    <cellStyle name="Normal 9 3 4 3 3 2" xfId="14161" xr:uid="{B20198B0-C671-4295-B898-9E9D6488FAD2}"/>
    <cellStyle name="Normal 9 3 4 3 4" xfId="9943" xr:uid="{AC4D8953-D908-478E-99D0-47E28934CA53}"/>
    <cellStyle name="Normal 9 3 4 4" xfId="1830" xr:uid="{00000000-0005-0000-0000-00002B200000}"/>
    <cellStyle name="Normal 9 3 4 4 2" xfId="4060" xr:uid="{00000000-0005-0000-0000-00002C200000}"/>
    <cellStyle name="Normal 9 3 4 4 2 2" xfId="8283" xr:uid="{00000000-0005-0000-0000-00002D200000}"/>
    <cellStyle name="Normal 9 3 4 4 2 2 2" xfId="16719" xr:uid="{BD794571-37BE-4DA8-A971-F508E119C3BE}"/>
    <cellStyle name="Normal 9 3 4 4 2 3" xfId="12501" xr:uid="{5BE10679-49A4-4A74-B256-0F2A8BCD23AA}"/>
    <cellStyle name="Normal 9 3 4 4 3" xfId="6138" xr:uid="{00000000-0005-0000-0000-00002E200000}"/>
    <cellStyle name="Normal 9 3 4 4 3 2" xfId="14574" xr:uid="{6A2633CD-33A1-4EBE-91F3-BA44065253A7}"/>
    <cellStyle name="Normal 9 3 4 4 4" xfId="10356" xr:uid="{CF37A336-BB75-4E28-BE19-513E2498F65A}"/>
    <cellStyle name="Normal 9 3 4 5" xfId="2244" xr:uid="{00000000-0005-0000-0000-00002F200000}"/>
    <cellStyle name="Normal 9 3 4 5 2" xfId="4473" xr:uid="{00000000-0005-0000-0000-000030200000}"/>
    <cellStyle name="Normal 9 3 4 5 2 2" xfId="8696" xr:uid="{00000000-0005-0000-0000-000031200000}"/>
    <cellStyle name="Normal 9 3 4 5 2 2 2" xfId="17132" xr:uid="{57875068-FBEF-428D-A2F7-8236082F9D93}"/>
    <cellStyle name="Normal 9 3 4 5 2 3" xfId="12914" xr:uid="{C475BB9F-2E25-4C13-91A3-15DB064101F6}"/>
    <cellStyle name="Normal 9 3 4 5 3" xfId="6551" xr:uid="{00000000-0005-0000-0000-000032200000}"/>
    <cellStyle name="Normal 9 3 4 5 3 2" xfId="14987" xr:uid="{C74BD134-561B-4031-8A3A-4B189E51BB15}"/>
    <cellStyle name="Normal 9 3 4 5 4" xfId="10769" xr:uid="{93FBC4F5-6D5B-41F5-BCD7-5D61F0316AFD}"/>
    <cellStyle name="Normal 9 3 4 6" xfId="2680" xr:uid="{00000000-0005-0000-0000-000033200000}"/>
    <cellStyle name="Normal 9 3 4 6 2" xfId="6964" xr:uid="{00000000-0005-0000-0000-000034200000}"/>
    <cellStyle name="Normal 9 3 4 6 2 2" xfId="15400" xr:uid="{0C9BCD71-AF7D-488A-A6E1-EF7BB08EB2D7}"/>
    <cellStyle name="Normal 9 3 4 6 3" xfId="11182" xr:uid="{8F1611EC-7A11-4E60-A05A-40CFE9CBA84D}"/>
    <cellStyle name="Normal 9 3 4 7" xfId="4899" xr:uid="{00000000-0005-0000-0000-000035200000}"/>
    <cellStyle name="Normal 9 3 4 7 2" xfId="13335" xr:uid="{31874494-A579-40B5-B426-7900ACFC087D}"/>
    <cellStyle name="Normal 9 3 4 8" xfId="9117" xr:uid="{B14F5F93-973F-4F88-8B87-E292000D968E}"/>
    <cellStyle name="Normal 9 3 5" xfId="994" xr:uid="{00000000-0005-0000-0000-000036200000}"/>
    <cellStyle name="Normal 9 3 5 2" xfId="3227" xr:uid="{00000000-0005-0000-0000-000037200000}"/>
    <cellStyle name="Normal 9 3 5 2 2" xfId="7450" xr:uid="{00000000-0005-0000-0000-000038200000}"/>
    <cellStyle name="Normal 9 3 5 2 2 2" xfId="15886" xr:uid="{B97BEE43-D131-4D02-A1B1-B59EC9A00A65}"/>
    <cellStyle name="Normal 9 3 5 2 3" xfId="11668" xr:uid="{A8BA0EE8-F14D-40A5-93EE-040BA3739C37}"/>
    <cellStyle name="Normal 9 3 5 3" xfId="5305" xr:uid="{00000000-0005-0000-0000-000039200000}"/>
    <cellStyle name="Normal 9 3 5 3 2" xfId="13741" xr:uid="{C46CC58F-7FFD-4639-99E4-2C41919A33D4}"/>
    <cellStyle name="Normal 9 3 5 4" xfId="9523" xr:uid="{79588CC3-CC3C-462D-B24D-645958B6AF5A}"/>
    <cellStyle name="Normal 9 3 6" xfId="1410" xr:uid="{00000000-0005-0000-0000-00003A200000}"/>
    <cellStyle name="Normal 9 3 6 2" xfId="3640" xr:uid="{00000000-0005-0000-0000-00003B200000}"/>
    <cellStyle name="Normal 9 3 6 2 2" xfId="7863" xr:uid="{00000000-0005-0000-0000-00003C200000}"/>
    <cellStyle name="Normal 9 3 6 2 2 2" xfId="16299" xr:uid="{D2B341DA-7397-4F87-8578-9073AAF8D686}"/>
    <cellStyle name="Normal 9 3 6 2 3" xfId="12081" xr:uid="{AE59B526-BE9B-4951-AEA2-C98AB49A4430}"/>
    <cellStyle name="Normal 9 3 6 3" xfId="5718" xr:uid="{00000000-0005-0000-0000-00003D200000}"/>
    <cellStyle name="Normal 9 3 6 3 2" xfId="14154" xr:uid="{9C31A0BD-C1E6-4B43-8E67-CC2E72D8F2C9}"/>
    <cellStyle name="Normal 9 3 6 4" xfId="9936" xr:uid="{A2065D38-D7D6-43B7-958E-80EC9FD35F4C}"/>
    <cellStyle name="Normal 9 3 7" xfId="1823" xr:uid="{00000000-0005-0000-0000-00003E200000}"/>
    <cellStyle name="Normal 9 3 7 2" xfId="4053" xr:uid="{00000000-0005-0000-0000-00003F200000}"/>
    <cellStyle name="Normal 9 3 7 2 2" xfId="8276" xr:uid="{00000000-0005-0000-0000-000040200000}"/>
    <cellStyle name="Normal 9 3 7 2 2 2" xfId="16712" xr:uid="{E6A4C1B5-5185-4CD9-BDC4-3E61DFF1EE0F}"/>
    <cellStyle name="Normal 9 3 7 2 3" xfId="12494" xr:uid="{95EB3EFD-D447-48CE-81A9-34851412B6E0}"/>
    <cellStyle name="Normal 9 3 7 3" xfId="6131" xr:uid="{00000000-0005-0000-0000-000041200000}"/>
    <cellStyle name="Normal 9 3 7 3 2" xfId="14567" xr:uid="{608689ED-E07E-4F8E-902B-D4C04315484E}"/>
    <cellStyle name="Normal 9 3 7 4" xfId="10349" xr:uid="{6F169C6F-AF50-400C-A228-943708B884A1}"/>
    <cellStyle name="Normal 9 3 8" xfId="2237" xr:uid="{00000000-0005-0000-0000-000042200000}"/>
    <cellStyle name="Normal 9 3 8 2" xfId="4466" xr:uid="{00000000-0005-0000-0000-000043200000}"/>
    <cellStyle name="Normal 9 3 8 2 2" xfId="8689" xr:uid="{00000000-0005-0000-0000-000044200000}"/>
    <cellStyle name="Normal 9 3 8 2 2 2" xfId="17125" xr:uid="{AD57FB71-73F5-45AE-BF4E-92FE5288DB6D}"/>
    <cellStyle name="Normal 9 3 8 2 3" xfId="12907" xr:uid="{899D7C73-B4F0-4C29-9CFD-4ECEFE652021}"/>
    <cellStyle name="Normal 9 3 8 3" xfId="6544" xr:uid="{00000000-0005-0000-0000-000045200000}"/>
    <cellStyle name="Normal 9 3 8 3 2" xfId="14980" xr:uid="{13612A3D-7FBA-4104-A0CA-F3CA6555AAEB}"/>
    <cellStyle name="Normal 9 3 8 4" xfId="10762" xr:uid="{6BCA3601-45F3-43AD-B217-1050A2BAA0E4}"/>
    <cellStyle name="Normal 9 3 9" xfId="2673" xr:uid="{00000000-0005-0000-0000-000046200000}"/>
    <cellStyle name="Normal 9 3 9 2" xfId="6957" xr:uid="{00000000-0005-0000-0000-000047200000}"/>
    <cellStyle name="Normal 9 3 9 2 2" xfId="15393" xr:uid="{CA55B13C-3B2D-470D-BE12-BD4011DC0563}"/>
    <cellStyle name="Normal 9 3 9 3" xfId="11175" xr:uid="{CD0F6B12-6ACC-4AE4-83B9-7B416DF6FB82}"/>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5" xr:uid="{27DEEAF1-4E0D-41A1-BB85-71E7D836F762}"/>
    <cellStyle name="Normal 9 5 2 2 2 3" xfId="11677" xr:uid="{70987A7A-8010-4DB0-B75C-097BC2797C0F}"/>
    <cellStyle name="Normal 9 5 2 2 3" xfId="5314" xr:uid="{00000000-0005-0000-0000-00004F200000}"/>
    <cellStyle name="Normal 9 5 2 2 3 2" xfId="13750" xr:uid="{3C0C77B8-EABC-4DB5-91DC-A71CE07F45E1}"/>
    <cellStyle name="Normal 9 5 2 2 4" xfId="9532" xr:uid="{1E2657F0-0530-4133-A4A0-7E4D40A4AEB7}"/>
    <cellStyle name="Normal 9 5 2 3" xfId="1419" xr:uid="{00000000-0005-0000-0000-000050200000}"/>
    <cellStyle name="Normal 9 5 2 3 2" xfId="3649" xr:uid="{00000000-0005-0000-0000-000051200000}"/>
    <cellStyle name="Normal 9 5 2 3 2 2" xfId="7872" xr:uid="{00000000-0005-0000-0000-000052200000}"/>
    <cellStyle name="Normal 9 5 2 3 2 2 2" xfId="16308" xr:uid="{FC3375A9-E170-429C-B12C-28574402B8AD}"/>
    <cellStyle name="Normal 9 5 2 3 2 3" xfId="12090" xr:uid="{B2A39351-3399-4281-989F-92B62334CF25}"/>
    <cellStyle name="Normal 9 5 2 3 3" xfId="5727" xr:uid="{00000000-0005-0000-0000-000053200000}"/>
    <cellStyle name="Normal 9 5 2 3 3 2" xfId="14163" xr:uid="{1D9B7D2A-96F1-44FB-8A05-BD6D08414326}"/>
    <cellStyle name="Normal 9 5 2 3 4" xfId="9945" xr:uid="{B9D68648-24A2-423C-98C4-89CCB00B9A46}"/>
    <cellStyle name="Normal 9 5 2 4" xfId="1832" xr:uid="{00000000-0005-0000-0000-000054200000}"/>
    <cellStyle name="Normal 9 5 2 4 2" xfId="4062" xr:uid="{00000000-0005-0000-0000-000055200000}"/>
    <cellStyle name="Normal 9 5 2 4 2 2" xfId="8285" xr:uid="{00000000-0005-0000-0000-000056200000}"/>
    <cellStyle name="Normal 9 5 2 4 2 2 2" xfId="16721" xr:uid="{5440DD83-0EBE-4268-BD19-52943A1E3F7D}"/>
    <cellStyle name="Normal 9 5 2 4 2 3" xfId="12503" xr:uid="{755D87CF-592F-44BE-ACB2-DE476B64938E}"/>
    <cellStyle name="Normal 9 5 2 4 3" xfId="6140" xr:uid="{00000000-0005-0000-0000-000057200000}"/>
    <cellStyle name="Normal 9 5 2 4 3 2" xfId="14576" xr:uid="{7F647A01-74F1-446A-B448-77C20E0081A6}"/>
    <cellStyle name="Normal 9 5 2 4 4" xfId="10358" xr:uid="{BF745F61-CC83-4C72-8E55-4C80D940966D}"/>
    <cellStyle name="Normal 9 5 2 5" xfId="2246" xr:uid="{00000000-0005-0000-0000-000058200000}"/>
    <cellStyle name="Normal 9 5 2 5 2" xfId="4475" xr:uid="{00000000-0005-0000-0000-000059200000}"/>
    <cellStyle name="Normal 9 5 2 5 2 2" xfId="8698" xr:uid="{00000000-0005-0000-0000-00005A200000}"/>
    <cellStyle name="Normal 9 5 2 5 2 2 2" xfId="17134" xr:uid="{2F4A6E72-CFA7-478B-8D4B-C02E1234F12E}"/>
    <cellStyle name="Normal 9 5 2 5 2 3" xfId="12916" xr:uid="{1BAB0519-89AB-4FC0-B3F0-752346DBBE47}"/>
    <cellStyle name="Normal 9 5 2 5 3" xfId="6553" xr:uid="{00000000-0005-0000-0000-00005B200000}"/>
    <cellStyle name="Normal 9 5 2 5 3 2" xfId="14989" xr:uid="{6AB23372-C6A2-49F3-8610-F18DFF2BE554}"/>
    <cellStyle name="Normal 9 5 2 5 4" xfId="10771" xr:uid="{7C58F9F9-CD72-4648-8697-691A6FE6C783}"/>
    <cellStyle name="Normal 9 5 2 6" xfId="2682" xr:uid="{00000000-0005-0000-0000-00005C200000}"/>
    <cellStyle name="Normal 9 5 2 6 2" xfId="6966" xr:uid="{00000000-0005-0000-0000-00005D200000}"/>
    <cellStyle name="Normal 9 5 2 6 2 2" xfId="15402" xr:uid="{7431F30D-841E-42AE-A308-1235FE7189DD}"/>
    <cellStyle name="Normal 9 5 2 6 3" xfId="11184" xr:uid="{0618A34D-49F4-4034-AE12-284983AAC6D2}"/>
    <cellStyle name="Normal 9 5 2 7" xfId="4901" xr:uid="{00000000-0005-0000-0000-00005E200000}"/>
    <cellStyle name="Normal 9 5 2 7 2" xfId="13337" xr:uid="{ADEA7A36-2E6A-47C4-AFB8-02584F51E59E}"/>
    <cellStyle name="Normal 9 5 2 8" xfId="9119" xr:uid="{3E88331C-2D8E-4692-BDA5-F54F44A4CDFF}"/>
    <cellStyle name="Normal 9 5 3" xfId="1003" xr:uid="{00000000-0005-0000-0000-00005F200000}"/>
    <cellStyle name="Normal 9 5 3 2" xfId="3235" xr:uid="{00000000-0005-0000-0000-000060200000}"/>
    <cellStyle name="Normal 9 5 3 2 2" xfId="7458" xr:uid="{00000000-0005-0000-0000-000061200000}"/>
    <cellStyle name="Normal 9 5 3 2 2 2" xfId="15894" xr:uid="{204085D4-7158-4F2E-9AA7-9512870296BA}"/>
    <cellStyle name="Normal 9 5 3 2 3" xfId="11676" xr:uid="{D84DEEB4-CE48-438A-A056-DF22EE3F9A04}"/>
    <cellStyle name="Normal 9 5 3 3" xfId="5313" xr:uid="{00000000-0005-0000-0000-000062200000}"/>
    <cellStyle name="Normal 9 5 3 3 2" xfId="13749" xr:uid="{F2D9D945-F73F-4D17-B63C-38755B0BE4B9}"/>
    <cellStyle name="Normal 9 5 3 4" xfId="9531" xr:uid="{51E5E7AB-398C-40C0-BA70-AB1D64F38461}"/>
    <cellStyle name="Normal 9 5 4" xfId="1418" xr:uid="{00000000-0005-0000-0000-000063200000}"/>
    <cellStyle name="Normal 9 5 4 2" xfId="3648" xr:uid="{00000000-0005-0000-0000-000064200000}"/>
    <cellStyle name="Normal 9 5 4 2 2" xfId="7871" xr:uid="{00000000-0005-0000-0000-000065200000}"/>
    <cellStyle name="Normal 9 5 4 2 2 2" xfId="16307" xr:uid="{A21CAF27-0D40-4F53-A8E4-666895D93703}"/>
    <cellStyle name="Normal 9 5 4 2 3" xfId="12089" xr:uid="{902F1C6A-DBBF-497F-A47B-76B148F572B0}"/>
    <cellStyle name="Normal 9 5 4 3" xfId="5726" xr:uid="{00000000-0005-0000-0000-000066200000}"/>
    <cellStyle name="Normal 9 5 4 3 2" xfId="14162" xr:uid="{960317E9-AF5E-4E2D-A4D8-14F41C92F158}"/>
    <cellStyle name="Normal 9 5 4 4" xfId="9944" xr:uid="{822547F6-908C-4DF4-8518-09ABE7A46B55}"/>
    <cellStyle name="Normal 9 5 5" xfId="1831" xr:uid="{00000000-0005-0000-0000-000067200000}"/>
    <cellStyle name="Normal 9 5 5 2" xfId="4061" xr:uid="{00000000-0005-0000-0000-000068200000}"/>
    <cellStyle name="Normal 9 5 5 2 2" xfId="8284" xr:uid="{00000000-0005-0000-0000-000069200000}"/>
    <cellStyle name="Normal 9 5 5 2 2 2" xfId="16720" xr:uid="{17CF1819-90F9-4B3D-BDBB-EA899BBFFA18}"/>
    <cellStyle name="Normal 9 5 5 2 3" xfId="12502" xr:uid="{45157195-B1A6-4FB1-9E5B-54EC5D2E9444}"/>
    <cellStyle name="Normal 9 5 5 3" xfId="6139" xr:uid="{00000000-0005-0000-0000-00006A200000}"/>
    <cellStyle name="Normal 9 5 5 3 2" xfId="14575" xr:uid="{F12FAEDB-34B6-4A84-AF49-9EA4A5D8EC7F}"/>
    <cellStyle name="Normal 9 5 5 4" xfId="10357" xr:uid="{B31C9A14-C6E3-4B5C-B610-50B106DFC83D}"/>
    <cellStyle name="Normal 9 5 6" xfId="2245" xr:uid="{00000000-0005-0000-0000-00006B200000}"/>
    <cellStyle name="Normal 9 5 6 2" xfId="4474" xr:uid="{00000000-0005-0000-0000-00006C200000}"/>
    <cellStyle name="Normal 9 5 6 2 2" xfId="8697" xr:uid="{00000000-0005-0000-0000-00006D200000}"/>
    <cellStyle name="Normal 9 5 6 2 2 2" xfId="17133" xr:uid="{4B3BF088-F873-43A1-B644-28EE65FF9A57}"/>
    <cellStyle name="Normal 9 5 6 2 3" xfId="12915" xr:uid="{DC7F4585-7219-4F6F-82D4-466AE684A5FB}"/>
    <cellStyle name="Normal 9 5 6 3" xfId="6552" xr:uid="{00000000-0005-0000-0000-00006E200000}"/>
    <cellStyle name="Normal 9 5 6 3 2" xfId="14988" xr:uid="{F7707AD5-0236-4182-A0DE-7AE287F4ECBE}"/>
    <cellStyle name="Normal 9 5 6 4" xfId="10770" xr:uid="{F05784B4-4156-49CC-8D57-F0656EB41940}"/>
    <cellStyle name="Normal 9 5 7" xfId="2681" xr:uid="{00000000-0005-0000-0000-00006F200000}"/>
    <cellStyle name="Normal 9 5 7 2" xfId="6965" xr:uid="{00000000-0005-0000-0000-000070200000}"/>
    <cellStyle name="Normal 9 5 7 2 2" xfId="15401" xr:uid="{45A88AD9-F4C5-4524-B640-3627A07022C4}"/>
    <cellStyle name="Normal 9 5 7 3" xfId="11183" xr:uid="{BC04CF08-BF10-45BC-9886-93F902D29A56}"/>
    <cellStyle name="Normal 9 5 8" xfId="4900" xr:uid="{00000000-0005-0000-0000-000071200000}"/>
    <cellStyle name="Normal 9 5 8 2" xfId="13336" xr:uid="{8B11FC17-13F5-4A87-A200-CA774DE22192}"/>
    <cellStyle name="Normal 9 5 9" xfId="9118" xr:uid="{A590E739-FBF5-4C27-A5D5-8EB1296E55E5}"/>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6" xr:uid="{7BECF28B-A0C5-4494-ABB7-14D2CECF3DC2}"/>
    <cellStyle name="Normal 9 6 2 2 3" xfId="11678" xr:uid="{BE4DC7D7-4083-4941-8565-5830FAC9655D}"/>
    <cellStyle name="Normal 9 6 2 3" xfId="5315" xr:uid="{00000000-0005-0000-0000-000076200000}"/>
    <cellStyle name="Normal 9 6 2 3 2" xfId="13751" xr:uid="{C087629A-A868-428C-BB9D-70BBBE902A9B}"/>
    <cellStyle name="Normal 9 6 2 4" xfId="9533" xr:uid="{7676265E-9C39-4B9E-8534-9A5C585F5A9B}"/>
    <cellStyle name="Normal 9 6 3" xfId="1420" xr:uid="{00000000-0005-0000-0000-000077200000}"/>
    <cellStyle name="Normal 9 6 3 2" xfId="3650" xr:uid="{00000000-0005-0000-0000-000078200000}"/>
    <cellStyle name="Normal 9 6 3 2 2" xfId="7873" xr:uid="{00000000-0005-0000-0000-000079200000}"/>
    <cellStyle name="Normal 9 6 3 2 2 2" xfId="16309" xr:uid="{65896A4A-4F2C-43BC-884C-805EEB86139E}"/>
    <cellStyle name="Normal 9 6 3 2 3" xfId="12091" xr:uid="{6F38389E-040D-4133-8CE1-ABF67FDE655F}"/>
    <cellStyle name="Normal 9 6 3 3" xfId="5728" xr:uid="{00000000-0005-0000-0000-00007A200000}"/>
    <cellStyle name="Normal 9 6 3 3 2" xfId="14164" xr:uid="{851BDFF3-A466-438A-B5EB-398E9F84DEBF}"/>
    <cellStyle name="Normal 9 6 3 4" xfId="9946" xr:uid="{D87B46EC-0B9F-4A59-A5E6-E3F6400FF93F}"/>
    <cellStyle name="Normal 9 6 4" xfId="1833" xr:uid="{00000000-0005-0000-0000-00007B200000}"/>
    <cellStyle name="Normal 9 6 4 2" xfId="4063" xr:uid="{00000000-0005-0000-0000-00007C200000}"/>
    <cellStyle name="Normal 9 6 4 2 2" xfId="8286" xr:uid="{00000000-0005-0000-0000-00007D200000}"/>
    <cellStyle name="Normal 9 6 4 2 2 2" xfId="16722" xr:uid="{1C179E63-3A30-4054-8DE6-1242CBD23C87}"/>
    <cellStyle name="Normal 9 6 4 2 3" xfId="12504" xr:uid="{E3F36205-BCAC-4FBA-8C2B-4F81943098C8}"/>
    <cellStyle name="Normal 9 6 4 3" xfId="6141" xr:uid="{00000000-0005-0000-0000-00007E200000}"/>
    <cellStyle name="Normal 9 6 4 3 2" xfId="14577" xr:uid="{53F65E08-03E5-4B9C-8635-CBAD2CF1A230}"/>
    <cellStyle name="Normal 9 6 4 4" xfId="10359" xr:uid="{E9C3BEBE-0295-4168-9716-D1DFAAF02D5F}"/>
    <cellStyle name="Normal 9 6 5" xfId="2247" xr:uid="{00000000-0005-0000-0000-00007F200000}"/>
    <cellStyle name="Normal 9 6 5 2" xfId="4476" xr:uid="{00000000-0005-0000-0000-000080200000}"/>
    <cellStyle name="Normal 9 6 5 2 2" xfId="8699" xr:uid="{00000000-0005-0000-0000-000081200000}"/>
    <cellStyle name="Normal 9 6 5 2 2 2" xfId="17135" xr:uid="{B8C6928B-DBAB-475D-BB4B-1C334E8A5AEC}"/>
    <cellStyle name="Normal 9 6 5 2 3" xfId="12917" xr:uid="{75197324-318A-4CB9-92C3-E51F22E48465}"/>
    <cellStyle name="Normal 9 6 5 3" xfId="6554" xr:uid="{00000000-0005-0000-0000-000082200000}"/>
    <cellStyle name="Normal 9 6 5 3 2" xfId="14990" xr:uid="{8141FE7E-64AA-4BAA-A594-5390CF59711A}"/>
    <cellStyle name="Normal 9 6 5 4" xfId="10772" xr:uid="{FE4901B5-F42D-4B92-BDF8-DA226264F48B}"/>
    <cellStyle name="Normal 9 6 6" xfId="2683" xr:uid="{00000000-0005-0000-0000-000083200000}"/>
    <cellStyle name="Normal 9 6 6 2" xfId="6967" xr:uid="{00000000-0005-0000-0000-000084200000}"/>
    <cellStyle name="Normal 9 6 6 2 2" xfId="15403" xr:uid="{1311AC99-697A-4E60-848A-66CB664AB2F0}"/>
    <cellStyle name="Normal 9 6 6 3" xfId="11185" xr:uid="{BD0A46B7-45B6-4D02-A061-97838F56DA2B}"/>
    <cellStyle name="Normal 9 6 7" xfId="4902" xr:uid="{00000000-0005-0000-0000-000085200000}"/>
    <cellStyle name="Normal 9 6 7 2" xfId="13338" xr:uid="{91588E04-1D29-47A4-A7B4-52CE0D5441C7}"/>
    <cellStyle name="Normal 9 6 8" xfId="9120" xr:uid="{28ECF478-5802-4293-8206-F238E3F7B99A}"/>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4" xr:uid="{BF4DD537-4DD1-40E6-8016-E767A079B33E}"/>
    <cellStyle name="Note 2 2 10 3" xfId="11266" xr:uid="{F8B8930F-B7C0-41FB-843C-2EE1EB1B6010}"/>
    <cellStyle name="Note 2 2 11" xfId="4903" xr:uid="{00000000-0005-0000-0000-000094200000}"/>
    <cellStyle name="Note 2 2 11 2" xfId="13339" xr:uid="{F57FC678-38F7-47C8-B564-92F3ABD6B8C6}"/>
    <cellStyle name="Note 2 2 12" xfId="9121" xr:uid="{F5387DA6-1839-4B39-9F2D-7DE23179EA98}"/>
    <cellStyle name="Note 2 2 2" xfId="546" xr:uid="{00000000-0005-0000-0000-000095200000}"/>
    <cellStyle name="Note 2 2 2 10" xfId="4904" xr:uid="{00000000-0005-0000-0000-000096200000}"/>
    <cellStyle name="Note 2 2 2 10 2" xfId="13340" xr:uid="{40B6EBC2-0015-4E57-9824-979A47B5C3C6}"/>
    <cellStyle name="Note 2 2 2 11" xfId="9122" xr:uid="{63BB3539-EDCA-41C5-9C58-D268D565C21F}"/>
    <cellStyle name="Note 2 2 2 2" xfId="547" xr:uid="{00000000-0005-0000-0000-000097200000}"/>
    <cellStyle name="Note 2 2 2 2 10" xfId="9123" xr:uid="{4245A4BE-3194-461E-B420-9B002F339598}"/>
    <cellStyle name="Note 2 2 2 2 2" xfId="1008" xr:uid="{00000000-0005-0000-0000-000098200000}"/>
    <cellStyle name="Note 2 2 2 2 2 2" xfId="3240" xr:uid="{00000000-0005-0000-0000-000099200000}"/>
    <cellStyle name="Note 2 2 2 2 2 2 2" xfId="7463" xr:uid="{00000000-0005-0000-0000-00009A200000}"/>
    <cellStyle name="Note 2 2 2 2 2 2 2 2" xfId="15899" xr:uid="{B9729EB9-5314-4FEE-8D9B-8D9AC42D08AF}"/>
    <cellStyle name="Note 2 2 2 2 2 2 3" xfId="11681" xr:uid="{ED7A0891-ACDF-4B85-AFE3-9598B7D68C25}"/>
    <cellStyle name="Note 2 2 2 2 2 3" xfId="5318" xr:uid="{00000000-0005-0000-0000-00009B200000}"/>
    <cellStyle name="Note 2 2 2 2 2 3 2" xfId="13754" xr:uid="{650D92FF-E8BC-4D09-8470-1E7A07A48993}"/>
    <cellStyle name="Note 2 2 2 2 2 4" xfId="9536" xr:uid="{C6F6A2EF-B51C-471C-8B9B-F4133567B402}"/>
    <cellStyle name="Note 2 2 2 2 3" xfId="1423" xr:uid="{00000000-0005-0000-0000-00009C200000}"/>
    <cellStyle name="Note 2 2 2 2 3 2" xfId="3653" xr:uid="{00000000-0005-0000-0000-00009D200000}"/>
    <cellStyle name="Note 2 2 2 2 3 2 2" xfId="7876" xr:uid="{00000000-0005-0000-0000-00009E200000}"/>
    <cellStyle name="Note 2 2 2 2 3 2 2 2" xfId="16312" xr:uid="{6C6FEB5A-FA20-40A2-A525-F9BB44E15E78}"/>
    <cellStyle name="Note 2 2 2 2 3 2 3" xfId="12094" xr:uid="{4CD393E3-F802-49C7-887C-4C44320D691F}"/>
    <cellStyle name="Note 2 2 2 2 3 3" xfId="5731" xr:uid="{00000000-0005-0000-0000-00009F200000}"/>
    <cellStyle name="Note 2 2 2 2 3 3 2" xfId="14167" xr:uid="{845CFF64-91C4-4CAA-B645-49340A0B2584}"/>
    <cellStyle name="Note 2 2 2 2 3 4" xfId="9949" xr:uid="{49A37CAE-C4BC-4508-B282-2DF787697DD8}"/>
    <cellStyle name="Note 2 2 2 2 4" xfId="1837" xr:uid="{00000000-0005-0000-0000-0000A0200000}"/>
    <cellStyle name="Note 2 2 2 2 4 2" xfId="4066" xr:uid="{00000000-0005-0000-0000-0000A1200000}"/>
    <cellStyle name="Note 2 2 2 2 4 2 2" xfId="8289" xr:uid="{00000000-0005-0000-0000-0000A2200000}"/>
    <cellStyle name="Note 2 2 2 2 4 2 2 2" xfId="16725" xr:uid="{3C942CEA-C97F-4B1E-961B-CA4964C76FCE}"/>
    <cellStyle name="Note 2 2 2 2 4 2 3" xfId="12507" xr:uid="{A645CD3B-A08F-4239-BE76-50AD557BAFDB}"/>
    <cellStyle name="Note 2 2 2 2 4 3" xfId="6144" xr:uid="{00000000-0005-0000-0000-0000A3200000}"/>
    <cellStyle name="Note 2 2 2 2 4 3 2" xfId="14580" xr:uid="{236944BF-245A-4CBC-97DA-3A8D22841537}"/>
    <cellStyle name="Note 2 2 2 2 4 4" xfId="10362" xr:uid="{5F710D41-A178-4A9D-BA53-D0C3DBD9D960}"/>
    <cellStyle name="Note 2 2 2 2 5" xfId="2250" xr:uid="{00000000-0005-0000-0000-0000A4200000}"/>
    <cellStyle name="Note 2 2 2 2 5 2" xfId="4479" xr:uid="{00000000-0005-0000-0000-0000A5200000}"/>
    <cellStyle name="Note 2 2 2 2 5 2 2" xfId="8702" xr:uid="{00000000-0005-0000-0000-0000A6200000}"/>
    <cellStyle name="Note 2 2 2 2 5 2 2 2" xfId="17138" xr:uid="{427FC0D6-EF77-4E3B-AD2B-8383F1E81EFE}"/>
    <cellStyle name="Note 2 2 2 2 5 2 3" xfId="12920" xr:uid="{0B695B8B-DC8D-4C24-9309-73DEC1591EE5}"/>
    <cellStyle name="Note 2 2 2 2 5 3" xfId="6557" xr:uid="{00000000-0005-0000-0000-0000A7200000}"/>
    <cellStyle name="Note 2 2 2 2 5 3 2" xfId="14993" xr:uid="{3E9C06AD-573C-4C02-8A52-E556E8DD1521}"/>
    <cellStyle name="Note 2 2 2 2 5 4" xfId="10775" xr:uid="{7C9F4FB8-5CFA-40A4-86B5-1783C3700511}"/>
    <cellStyle name="Note 2 2 2 2 6" xfId="2686" xr:uid="{00000000-0005-0000-0000-0000A8200000}"/>
    <cellStyle name="Note 2 2 2 2 6 2" xfId="6970" xr:uid="{00000000-0005-0000-0000-0000A9200000}"/>
    <cellStyle name="Note 2 2 2 2 6 2 2" xfId="15406" xr:uid="{90E9356F-9BF3-4BB3-9BF1-DED4E1CB6997}"/>
    <cellStyle name="Note 2 2 2 2 6 3" xfId="11188" xr:uid="{137CC2B8-E697-4B43-A333-FFFACF7C2F63}"/>
    <cellStyle name="Note 2 2 2 2 7" xfId="2745" xr:uid="{00000000-0005-0000-0000-0000AA200000}"/>
    <cellStyle name="Note 2 2 2 2 8" xfId="2826" xr:uid="{00000000-0005-0000-0000-0000AB200000}"/>
    <cellStyle name="Note 2 2 2 2 8 2" xfId="7050" xr:uid="{00000000-0005-0000-0000-0000AC200000}"/>
    <cellStyle name="Note 2 2 2 2 8 2 2" xfId="15486" xr:uid="{47E757DC-1F6F-4177-9667-6C17DD5E6C41}"/>
    <cellStyle name="Note 2 2 2 2 8 3" xfId="11268" xr:uid="{528DB3D9-7A47-4334-8143-63F956EC553A}"/>
    <cellStyle name="Note 2 2 2 2 9" xfId="4905" xr:uid="{00000000-0005-0000-0000-0000AD200000}"/>
    <cellStyle name="Note 2 2 2 2 9 2" xfId="13341" xr:uid="{E36AA08F-7C87-49DF-9962-4B079000DA2D}"/>
    <cellStyle name="Note 2 2 2 3" xfId="1007" xr:uid="{00000000-0005-0000-0000-0000AE200000}"/>
    <cellStyle name="Note 2 2 2 3 2" xfId="3239" xr:uid="{00000000-0005-0000-0000-0000AF200000}"/>
    <cellStyle name="Note 2 2 2 3 2 2" xfId="7462" xr:uid="{00000000-0005-0000-0000-0000B0200000}"/>
    <cellStyle name="Note 2 2 2 3 2 2 2" xfId="15898" xr:uid="{C43C1CAA-F723-403A-9369-E88BD1BC629B}"/>
    <cellStyle name="Note 2 2 2 3 2 3" xfId="11680" xr:uid="{4E9572F5-FEBD-4A92-B635-FDC24F9C60F1}"/>
    <cellStyle name="Note 2 2 2 3 3" xfId="5317" xr:uid="{00000000-0005-0000-0000-0000B1200000}"/>
    <cellStyle name="Note 2 2 2 3 3 2" xfId="13753" xr:uid="{8769DD15-12B0-4BE2-841C-E3549B0A3CE4}"/>
    <cellStyle name="Note 2 2 2 3 4" xfId="9535" xr:uid="{A2C02BC6-6656-421B-A7AA-EF6DD3A632B7}"/>
    <cellStyle name="Note 2 2 2 4" xfId="1422" xr:uid="{00000000-0005-0000-0000-0000B2200000}"/>
    <cellStyle name="Note 2 2 2 4 2" xfId="3652" xr:uid="{00000000-0005-0000-0000-0000B3200000}"/>
    <cellStyle name="Note 2 2 2 4 2 2" xfId="7875" xr:uid="{00000000-0005-0000-0000-0000B4200000}"/>
    <cellStyle name="Note 2 2 2 4 2 2 2" xfId="16311" xr:uid="{1A6FF26E-B025-4193-887B-A9BF7E916C45}"/>
    <cellStyle name="Note 2 2 2 4 2 3" xfId="12093" xr:uid="{6943C5D9-1E8A-48EE-8F4C-A75B2F703AC4}"/>
    <cellStyle name="Note 2 2 2 4 3" xfId="5730" xr:uid="{00000000-0005-0000-0000-0000B5200000}"/>
    <cellStyle name="Note 2 2 2 4 3 2" xfId="14166" xr:uid="{852923E1-DCFA-4D64-9A47-9EB0A961EBD8}"/>
    <cellStyle name="Note 2 2 2 4 4" xfId="9948" xr:uid="{B6320EDD-0626-46D3-A4F9-C80EAAD444C6}"/>
    <cellStyle name="Note 2 2 2 5" xfId="1836" xr:uid="{00000000-0005-0000-0000-0000B6200000}"/>
    <cellStyle name="Note 2 2 2 5 2" xfId="4065" xr:uid="{00000000-0005-0000-0000-0000B7200000}"/>
    <cellStyle name="Note 2 2 2 5 2 2" xfId="8288" xr:uid="{00000000-0005-0000-0000-0000B8200000}"/>
    <cellStyle name="Note 2 2 2 5 2 2 2" xfId="16724" xr:uid="{DA3BF741-4966-453B-873D-EF0AE6B6243D}"/>
    <cellStyle name="Note 2 2 2 5 2 3" xfId="12506" xr:uid="{3BBDFACC-EB0B-4A1A-9BB7-F23B21460C0F}"/>
    <cellStyle name="Note 2 2 2 5 3" xfId="6143" xr:uid="{00000000-0005-0000-0000-0000B9200000}"/>
    <cellStyle name="Note 2 2 2 5 3 2" xfId="14579" xr:uid="{6BCF5B54-9900-44C8-8CB7-76C7DE04E037}"/>
    <cellStyle name="Note 2 2 2 5 4" xfId="10361" xr:uid="{116DF4B4-3E77-4413-BBA5-FA30E4D1C0FB}"/>
    <cellStyle name="Note 2 2 2 6" xfId="2249" xr:uid="{00000000-0005-0000-0000-0000BA200000}"/>
    <cellStyle name="Note 2 2 2 6 2" xfId="4478" xr:uid="{00000000-0005-0000-0000-0000BB200000}"/>
    <cellStyle name="Note 2 2 2 6 2 2" xfId="8701" xr:uid="{00000000-0005-0000-0000-0000BC200000}"/>
    <cellStyle name="Note 2 2 2 6 2 2 2" xfId="17137" xr:uid="{5D4E19C7-8BA9-4FB8-A154-8D8D1AE6DDF0}"/>
    <cellStyle name="Note 2 2 2 6 2 3" xfId="12919" xr:uid="{0D8F56D6-DE3B-44FE-B901-CBB59692B70D}"/>
    <cellStyle name="Note 2 2 2 6 3" xfId="6556" xr:uid="{00000000-0005-0000-0000-0000BD200000}"/>
    <cellStyle name="Note 2 2 2 6 3 2" xfId="14992" xr:uid="{ABFEE0FF-2FE7-4178-919F-451D03925795}"/>
    <cellStyle name="Note 2 2 2 6 4" xfId="10774" xr:uid="{180A2B7F-DBDF-4D8E-B5C9-C4E1DF03B427}"/>
    <cellStyle name="Note 2 2 2 7" xfId="2685" xr:uid="{00000000-0005-0000-0000-0000BE200000}"/>
    <cellStyle name="Note 2 2 2 7 2" xfId="6969" xr:uid="{00000000-0005-0000-0000-0000BF200000}"/>
    <cellStyle name="Note 2 2 2 7 2 2" xfId="15405" xr:uid="{E57149BD-BB40-4553-B405-CF7E9974548D}"/>
    <cellStyle name="Note 2 2 2 7 3" xfId="11187" xr:uid="{A866CE6B-2A6F-4279-A4D4-8DAC1BBFAA9E}"/>
    <cellStyle name="Note 2 2 2 8" xfId="2744" xr:uid="{00000000-0005-0000-0000-0000C0200000}"/>
    <cellStyle name="Note 2 2 2 9" xfId="2825" xr:uid="{00000000-0005-0000-0000-0000C1200000}"/>
    <cellStyle name="Note 2 2 2 9 2" xfId="7049" xr:uid="{00000000-0005-0000-0000-0000C2200000}"/>
    <cellStyle name="Note 2 2 2 9 2 2" xfId="15485" xr:uid="{6AC296A9-86FF-4D55-AD2C-16B62A0DB06E}"/>
    <cellStyle name="Note 2 2 2 9 3" xfId="11267" xr:uid="{CC75AEBC-2870-4422-B49E-5F443041D9F1}"/>
    <cellStyle name="Note 2 2 3" xfId="548" xr:uid="{00000000-0005-0000-0000-0000C3200000}"/>
    <cellStyle name="Note 2 2 3 10" xfId="9124" xr:uid="{B4BDF7E2-4C67-4DDF-966A-9C8973651169}"/>
    <cellStyle name="Note 2 2 3 2" xfId="1009" xr:uid="{00000000-0005-0000-0000-0000C4200000}"/>
    <cellStyle name="Note 2 2 3 2 2" xfId="3241" xr:uid="{00000000-0005-0000-0000-0000C5200000}"/>
    <cellStyle name="Note 2 2 3 2 2 2" xfId="7464" xr:uid="{00000000-0005-0000-0000-0000C6200000}"/>
    <cellStyle name="Note 2 2 3 2 2 2 2" xfId="15900" xr:uid="{B4E0CA43-FCA3-4247-A987-91F0B5300088}"/>
    <cellStyle name="Note 2 2 3 2 2 3" xfId="11682" xr:uid="{7B990289-97A7-47D8-A7E0-BC68E8DFDBCC}"/>
    <cellStyle name="Note 2 2 3 2 3" xfId="5319" xr:uid="{00000000-0005-0000-0000-0000C7200000}"/>
    <cellStyle name="Note 2 2 3 2 3 2" xfId="13755" xr:uid="{A266B218-5FE5-496F-BF72-73A6117396A8}"/>
    <cellStyle name="Note 2 2 3 2 4" xfId="9537" xr:uid="{3882C847-3844-4248-941E-AA10598015B4}"/>
    <cellStyle name="Note 2 2 3 3" xfId="1424" xr:uid="{00000000-0005-0000-0000-0000C8200000}"/>
    <cellStyle name="Note 2 2 3 3 2" xfId="3654" xr:uid="{00000000-0005-0000-0000-0000C9200000}"/>
    <cellStyle name="Note 2 2 3 3 2 2" xfId="7877" xr:uid="{00000000-0005-0000-0000-0000CA200000}"/>
    <cellStyle name="Note 2 2 3 3 2 2 2" xfId="16313" xr:uid="{805E6623-4A88-4ED5-B354-DFD9ECC4D393}"/>
    <cellStyle name="Note 2 2 3 3 2 3" xfId="12095" xr:uid="{FF255403-E2DF-4DBB-AD74-16FD4FDBC253}"/>
    <cellStyle name="Note 2 2 3 3 3" xfId="5732" xr:uid="{00000000-0005-0000-0000-0000CB200000}"/>
    <cellStyle name="Note 2 2 3 3 3 2" xfId="14168" xr:uid="{73ED3B93-CA53-4A76-9400-3A7A523A124A}"/>
    <cellStyle name="Note 2 2 3 3 4" xfId="9950" xr:uid="{EE54629F-863D-4E63-9C7C-82A4B222F9B2}"/>
    <cellStyle name="Note 2 2 3 4" xfId="1838" xr:uid="{00000000-0005-0000-0000-0000CC200000}"/>
    <cellStyle name="Note 2 2 3 4 2" xfId="4067" xr:uid="{00000000-0005-0000-0000-0000CD200000}"/>
    <cellStyle name="Note 2 2 3 4 2 2" xfId="8290" xr:uid="{00000000-0005-0000-0000-0000CE200000}"/>
    <cellStyle name="Note 2 2 3 4 2 2 2" xfId="16726" xr:uid="{BC1F88D5-BF8D-4928-A66F-B07E9DB7BF4D}"/>
    <cellStyle name="Note 2 2 3 4 2 3" xfId="12508" xr:uid="{C817C4F0-1C68-4F69-9B59-088FE7DD944E}"/>
    <cellStyle name="Note 2 2 3 4 3" xfId="6145" xr:uid="{00000000-0005-0000-0000-0000CF200000}"/>
    <cellStyle name="Note 2 2 3 4 3 2" xfId="14581" xr:uid="{3D2FFCF7-5562-4C09-8799-A5BF505D27FE}"/>
    <cellStyle name="Note 2 2 3 4 4" xfId="10363" xr:uid="{59506BBD-3B72-493E-A04C-77A38C3EB8C7}"/>
    <cellStyle name="Note 2 2 3 5" xfId="2251" xr:uid="{00000000-0005-0000-0000-0000D0200000}"/>
    <cellStyle name="Note 2 2 3 5 2" xfId="4480" xr:uid="{00000000-0005-0000-0000-0000D1200000}"/>
    <cellStyle name="Note 2 2 3 5 2 2" xfId="8703" xr:uid="{00000000-0005-0000-0000-0000D2200000}"/>
    <cellStyle name="Note 2 2 3 5 2 2 2" xfId="17139" xr:uid="{C22A7C1F-D09F-4FE3-AC2B-BA4684CDA6B3}"/>
    <cellStyle name="Note 2 2 3 5 2 3" xfId="12921" xr:uid="{B58A8D3E-BAB9-471F-9B1E-D7D39F4A9C60}"/>
    <cellStyle name="Note 2 2 3 5 3" xfId="6558" xr:uid="{00000000-0005-0000-0000-0000D3200000}"/>
    <cellStyle name="Note 2 2 3 5 3 2" xfId="14994" xr:uid="{6DE9868B-838F-4828-848E-2B4404FD2D0D}"/>
    <cellStyle name="Note 2 2 3 5 4" xfId="10776" xr:uid="{F0122E3F-3AE0-4EB7-91F4-277952E70D9E}"/>
    <cellStyle name="Note 2 2 3 6" xfId="2687" xr:uid="{00000000-0005-0000-0000-0000D4200000}"/>
    <cellStyle name="Note 2 2 3 6 2" xfId="6971" xr:uid="{00000000-0005-0000-0000-0000D5200000}"/>
    <cellStyle name="Note 2 2 3 6 2 2" xfId="15407" xr:uid="{8BDEAF8F-6AAC-4054-94DA-BD64974E6C95}"/>
    <cellStyle name="Note 2 2 3 6 3" xfId="11189" xr:uid="{7BE9F417-BDA2-4E8E-A85D-CEE4FB1B42B4}"/>
    <cellStyle name="Note 2 2 3 7" xfId="2746" xr:uid="{00000000-0005-0000-0000-0000D6200000}"/>
    <cellStyle name="Note 2 2 3 8" xfId="2827" xr:uid="{00000000-0005-0000-0000-0000D7200000}"/>
    <cellStyle name="Note 2 2 3 8 2" xfId="7051" xr:uid="{00000000-0005-0000-0000-0000D8200000}"/>
    <cellStyle name="Note 2 2 3 8 2 2" xfId="15487" xr:uid="{19B1C7DF-58E2-4A4A-B971-CEB6E344416F}"/>
    <cellStyle name="Note 2 2 3 8 3" xfId="11269" xr:uid="{BD90E630-E962-4076-A5AB-931A56C52EE2}"/>
    <cellStyle name="Note 2 2 3 9" xfId="4906" xr:uid="{00000000-0005-0000-0000-0000D9200000}"/>
    <cellStyle name="Note 2 2 3 9 2" xfId="13342" xr:uid="{8FE25BC3-31EC-47FD-8632-E00F2AF4A53D}"/>
    <cellStyle name="Note 2 2 4" xfId="1006" xr:uid="{00000000-0005-0000-0000-0000DA200000}"/>
    <cellStyle name="Note 2 2 4 2" xfId="3238" xr:uid="{00000000-0005-0000-0000-0000DB200000}"/>
    <cellStyle name="Note 2 2 4 2 2" xfId="7461" xr:uid="{00000000-0005-0000-0000-0000DC200000}"/>
    <cellStyle name="Note 2 2 4 2 2 2" xfId="15897" xr:uid="{43D9E1A0-AC56-418D-9EE1-38EE3E43DC28}"/>
    <cellStyle name="Note 2 2 4 2 3" xfId="11679" xr:uid="{E59F16EB-7395-401F-B788-C2E1E19369E0}"/>
    <cellStyle name="Note 2 2 4 3" xfId="5316" xr:uid="{00000000-0005-0000-0000-0000DD200000}"/>
    <cellStyle name="Note 2 2 4 3 2" xfId="13752" xr:uid="{7FFA092B-DBB4-4C5F-A75B-3E469DB584A6}"/>
    <cellStyle name="Note 2 2 4 4" xfId="9534" xr:uid="{C5E951C4-52D5-4A06-845B-58E3765FBC34}"/>
    <cellStyle name="Note 2 2 5" xfId="1421" xr:uid="{00000000-0005-0000-0000-0000DE200000}"/>
    <cellStyle name="Note 2 2 5 2" xfId="3651" xr:uid="{00000000-0005-0000-0000-0000DF200000}"/>
    <cellStyle name="Note 2 2 5 2 2" xfId="7874" xr:uid="{00000000-0005-0000-0000-0000E0200000}"/>
    <cellStyle name="Note 2 2 5 2 2 2" xfId="16310" xr:uid="{13C582D1-D0D0-48D4-AAFE-9794A317DD8E}"/>
    <cellStyle name="Note 2 2 5 2 3" xfId="12092" xr:uid="{12710369-84A4-460A-B2BB-7F33F04340F2}"/>
    <cellStyle name="Note 2 2 5 3" xfId="5729" xr:uid="{00000000-0005-0000-0000-0000E1200000}"/>
    <cellStyle name="Note 2 2 5 3 2" xfId="14165" xr:uid="{4C4427BE-32FD-4095-A3EF-AAABE765C9C2}"/>
    <cellStyle name="Note 2 2 5 4" xfId="9947" xr:uid="{A626F968-D48F-41CE-B0FB-1112B7B572DF}"/>
    <cellStyle name="Note 2 2 6" xfId="1835" xr:uid="{00000000-0005-0000-0000-0000E2200000}"/>
    <cellStyle name="Note 2 2 6 2" xfId="4064" xr:uid="{00000000-0005-0000-0000-0000E3200000}"/>
    <cellStyle name="Note 2 2 6 2 2" xfId="8287" xr:uid="{00000000-0005-0000-0000-0000E4200000}"/>
    <cellStyle name="Note 2 2 6 2 2 2" xfId="16723" xr:uid="{C10CEEA3-1657-4CAB-AF08-17AA098DF7D0}"/>
    <cellStyle name="Note 2 2 6 2 3" xfId="12505" xr:uid="{FB5284FA-A61C-4F9D-B87F-3C2715056C4F}"/>
    <cellStyle name="Note 2 2 6 3" xfId="6142" xr:uid="{00000000-0005-0000-0000-0000E5200000}"/>
    <cellStyle name="Note 2 2 6 3 2" xfId="14578" xr:uid="{05F843CA-55EC-4290-91AF-F5AB23B58FAD}"/>
    <cellStyle name="Note 2 2 6 4" xfId="10360" xr:uid="{E3BD7EE6-F9AA-4E71-B164-507EC1E93224}"/>
    <cellStyle name="Note 2 2 7" xfId="2248" xr:uid="{00000000-0005-0000-0000-0000E6200000}"/>
    <cellStyle name="Note 2 2 7 2" xfId="4477" xr:uid="{00000000-0005-0000-0000-0000E7200000}"/>
    <cellStyle name="Note 2 2 7 2 2" xfId="8700" xr:uid="{00000000-0005-0000-0000-0000E8200000}"/>
    <cellStyle name="Note 2 2 7 2 2 2" xfId="17136" xr:uid="{AD5AB008-9096-4B88-975E-357AF50AE15A}"/>
    <cellStyle name="Note 2 2 7 2 3" xfId="12918" xr:uid="{611D36CA-377F-4DBD-99C6-ADB55F5F9848}"/>
    <cellStyle name="Note 2 2 7 3" xfId="6555" xr:uid="{00000000-0005-0000-0000-0000E9200000}"/>
    <cellStyle name="Note 2 2 7 3 2" xfId="14991" xr:uid="{89B207DF-7DBB-4740-A81C-60BAB859CA51}"/>
    <cellStyle name="Note 2 2 7 4" xfId="10773" xr:uid="{9DEF2019-6677-4E33-AE1B-B1D0C2BBAC0C}"/>
    <cellStyle name="Note 2 2 8" xfId="2684" xr:uid="{00000000-0005-0000-0000-0000EA200000}"/>
    <cellStyle name="Note 2 2 8 2" xfId="6968" xr:uid="{00000000-0005-0000-0000-0000EB200000}"/>
    <cellStyle name="Note 2 2 8 2 2" xfId="15404" xr:uid="{F234DE0A-FB67-4DC3-8295-12A843162DB7}"/>
    <cellStyle name="Note 2 2 8 3" xfId="11186" xr:uid="{1D916962-6C94-4607-A9B2-641BE0C43452}"/>
    <cellStyle name="Note 2 2 9" xfId="2743" xr:uid="{00000000-0005-0000-0000-0000EC200000}"/>
    <cellStyle name="Note 2 3" xfId="549" xr:uid="{00000000-0005-0000-0000-0000ED200000}"/>
    <cellStyle name="Note 2 3 10" xfId="4907" xr:uid="{00000000-0005-0000-0000-0000EE200000}"/>
    <cellStyle name="Note 2 3 10 2" xfId="13343" xr:uid="{63A2A579-2E88-4F69-9855-3D8CDF3E3184}"/>
    <cellStyle name="Note 2 3 11" xfId="9125" xr:uid="{A61514B4-7AEE-4097-8B65-5BA6F63853FB}"/>
    <cellStyle name="Note 2 3 2" xfId="550" xr:uid="{00000000-0005-0000-0000-0000EF200000}"/>
    <cellStyle name="Note 2 3 2 10" xfId="9126" xr:uid="{AE6010BB-904B-44C9-B35F-C0E291A68DDA}"/>
    <cellStyle name="Note 2 3 2 2" xfId="1011" xr:uid="{00000000-0005-0000-0000-0000F0200000}"/>
    <cellStyle name="Note 2 3 2 2 2" xfId="3243" xr:uid="{00000000-0005-0000-0000-0000F1200000}"/>
    <cellStyle name="Note 2 3 2 2 2 2" xfId="7466" xr:uid="{00000000-0005-0000-0000-0000F2200000}"/>
    <cellStyle name="Note 2 3 2 2 2 2 2" xfId="15902" xr:uid="{C59B72C7-12C0-47A7-BFD8-DC39D2CF2F0C}"/>
    <cellStyle name="Note 2 3 2 2 2 3" xfId="11684" xr:uid="{B451D37A-4F1A-4239-8C8B-09F19B5C7C3C}"/>
    <cellStyle name="Note 2 3 2 2 3" xfId="5321" xr:uid="{00000000-0005-0000-0000-0000F3200000}"/>
    <cellStyle name="Note 2 3 2 2 3 2" xfId="13757" xr:uid="{705D8E4B-D936-4887-9E43-97E56471E516}"/>
    <cellStyle name="Note 2 3 2 2 4" xfId="9539" xr:uid="{8E6633B9-7BED-43CB-B48D-83500E97E31A}"/>
    <cellStyle name="Note 2 3 2 3" xfId="1426" xr:uid="{00000000-0005-0000-0000-0000F4200000}"/>
    <cellStyle name="Note 2 3 2 3 2" xfId="3656" xr:uid="{00000000-0005-0000-0000-0000F5200000}"/>
    <cellStyle name="Note 2 3 2 3 2 2" xfId="7879" xr:uid="{00000000-0005-0000-0000-0000F6200000}"/>
    <cellStyle name="Note 2 3 2 3 2 2 2" xfId="16315" xr:uid="{0E459689-EADB-4C85-B8F5-A1466109B613}"/>
    <cellStyle name="Note 2 3 2 3 2 3" xfId="12097" xr:uid="{1F2DE676-CDC5-4868-88E2-94CA837EED28}"/>
    <cellStyle name="Note 2 3 2 3 3" xfId="5734" xr:uid="{00000000-0005-0000-0000-0000F7200000}"/>
    <cellStyle name="Note 2 3 2 3 3 2" xfId="14170" xr:uid="{A3940F67-B12A-4C84-9F78-8896C9B1FD52}"/>
    <cellStyle name="Note 2 3 2 3 4" xfId="9952" xr:uid="{AD9FF95B-DA93-4067-8CF8-EE78AFFD00B7}"/>
    <cellStyle name="Note 2 3 2 4" xfId="1840" xr:uid="{00000000-0005-0000-0000-0000F8200000}"/>
    <cellStyle name="Note 2 3 2 4 2" xfId="4069" xr:uid="{00000000-0005-0000-0000-0000F9200000}"/>
    <cellStyle name="Note 2 3 2 4 2 2" xfId="8292" xr:uid="{00000000-0005-0000-0000-0000FA200000}"/>
    <cellStyle name="Note 2 3 2 4 2 2 2" xfId="16728" xr:uid="{3CA3EF03-96CF-4F8B-AF45-7EBD59004D8B}"/>
    <cellStyle name="Note 2 3 2 4 2 3" xfId="12510" xr:uid="{3A72E290-D065-43DB-8607-AAE7F1AFE924}"/>
    <cellStyle name="Note 2 3 2 4 3" xfId="6147" xr:uid="{00000000-0005-0000-0000-0000FB200000}"/>
    <cellStyle name="Note 2 3 2 4 3 2" xfId="14583" xr:uid="{56422A97-90D5-4CC9-8223-7C2CCCB2E4CE}"/>
    <cellStyle name="Note 2 3 2 4 4" xfId="10365" xr:uid="{4A62EC37-F7C3-4B66-B622-FA3A0C32DD8B}"/>
    <cellStyle name="Note 2 3 2 5" xfId="2253" xr:uid="{00000000-0005-0000-0000-0000FC200000}"/>
    <cellStyle name="Note 2 3 2 5 2" xfId="4482" xr:uid="{00000000-0005-0000-0000-0000FD200000}"/>
    <cellStyle name="Note 2 3 2 5 2 2" xfId="8705" xr:uid="{00000000-0005-0000-0000-0000FE200000}"/>
    <cellStyle name="Note 2 3 2 5 2 2 2" xfId="17141" xr:uid="{1D984A04-94C7-46A3-AC5E-4F11789AE076}"/>
    <cellStyle name="Note 2 3 2 5 2 3" xfId="12923" xr:uid="{DBC05BED-61A6-4AC9-A899-3C59F3803104}"/>
    <cellStyle name="Note 2 3 2 5 3" xfId="6560" xr:uid="{00000000-0005-0000-0000-0000FF200000}"/>
    <cellStyle name="Note 2 3 2 5 3 2" xfId="14996" xr:uid="{70DE68F6-6CC5-4690-8DF7-DE16D473E1C2}"/>
    <cellStyle name="Note 2 3 2 5 4" xfId="10778" xr:uid="{C1DECEA1-655A-4A35-AEBD-7A36270CE2B4}"/>
    <cellStyle name="Note 2 3 2 6" xfId="2689" xr:uid="{00000000-0005-0000-0000-000000210000}"/>
    <cellStyle name="Note 2 3 2 6 2" xfId="6973" xr:uid="{00000000-0005-0000-0000-000001210000}"/>
    <cellStyle name="Note 2 3 2 6 2 2" xfId="15409" xr:uid="{2AE27FC6-3F16-477C-9904-090BCBBF82C6}"/>
    <cellStyle name="Note 2 3 2 6 3" xfId="11191" xr:uid="{B044C336-C204-4BA1-B980-00F63479BF3B}"/>
    <cellStyle name="Note 2 3 2 7" xfId="2748" xr:uid="{00000000-0005-0000-0000-000002210000}"/>
    <cellStyle name="Note 2 3 2 8" xfId="2829" xr:uid="{00000000-0005-0000-0000-000003210000}"/>
    <cellStyle name="Note 2 3 2 8 2" xfId="7053" xr:uid="{00000000-0005-0000-0000-000004210000}"/>
    <cellStyle name="Note 2 3 2 8 2 2" xfId="15489" xr:uid="{3D97F284-72C8-477C-B05F-3976112445F5}"/>
    <cellStyle name="Note 2 3 2 8 3" xfId="11271" xr:uid="{5430BC5B-E38E-4E88-BF11-8DADA6B9A3EF}"/>
    <cellStyle name="Note 2 3 2 9" xfId="4908" xr:uid="{00000000-0005-0000-0000-000005210000}"/>
    <cellStyle name="Note 2 3 2 9 2" xfId="13344" xr:uid="{7B8E6A0B-2CCA-42B4-8454-41C8FCFCF5BB}"/>
    <cellStyle name="Note 2 3 3" xfId="1010" xr:uid="{00000000-0005-0000-0000-000006210000}"/>
    <cellStyle name="Note 2 3 3 2" xfId="3242" xr:uid="{00000000-0005-0000-0000-000007210000}"/>
    <cellStyle name="Note 2 3 3 2 2" xfId="7465" xr:uid="{00000000-0005-0000-0000-000008210000}"/>
    <cellStyle name="Note 2 3 3 2 2 2" xfId="15901" xr:uid="{811ACA75-EF89-4556-893D-FB830B52A762}"/>
    <cellStyle name="Note 2 3 3 2 3" xfId="11683" xr:uid="{60E23969-BD4A-4437-8C88-FE97FB85A406}"/>
    <cellStyle name="Note 2 3 3 3" xfId="5320" xr:uid="{00000000-0005-0000-0000-000009210000}"/>
    <cellStyle name="Note 2 3 3 3 2" xfId="13756" xr:uid="{37759DA6-7724-42E0-8A36-86893B45E9FE}"/>
    <cellStyle name="Note 2 3 3 4" xfId="9538" xr:uid="{3876A282-9693-460B-9C72-54BBA46D35D9}"/>
    <cellStyle name="Note 2 3 4" xfId="1425" xr:uid="{00000000-0005-0000-0000-00000A210000}"/>
    <cellStyle name="Note 2 3 4 2" xfId="3655" xr:uid="{00000000-0005-0000-0000-00000B210000}"/>
    <cellStyle name="Note 2 3 4 2 2" xfId="7878" xr:uid="{00000000-0005-0000-0000-00000C210000}"/>
    <cellStyle name="Note 2 3 4 2 2 2" xfId="16314" xr:uid="{1BEEA592-5D46-4827-8184-404A43D660C7}"/>
    <cellStyle name="Note 2 3 4 2 3" xfId="12096" xr:uid="{037DBB3D-6ABC-4CEA-8D71-37ADE9A4E209}"/>
    <cellStyle name="Note 2 3 4 3" xfId="5733" xr:uid="{00000000-0005-0000-0000-00000D210000}"/>
    <cellStyle name="Note 2 3 4 3 2" xfId="14169" xr:uid="{8E3D2FC8-295F-456A-8F50-704CB5FA221D}"/>
    <cellStyle name="Note 2 3 4 4" xfId="9951" xr:uid="{C22FC5F2-731E-4655-9E07-B36867E9EDBC}"/>
    <cellStyle name="Note 2 3 5" xfId="1839" xr:uid="{00000000-0005-0000-0000-00000E210000}"/>
    <cellStyle name="Note 2 3 5 2" xfId="4068" xr:uid="{00000000-0005-0000-0000-00000F210000}"/>
    <cellStyle name="Note 2 3 5 2 2" xfId="8291" xr:uid="{00000000-0005-0000-0000-000010210000}"/>
    <cellStyle name="Note 2 3 5 2 2 2" xfId="16727" xr:uid="{4C00D56F-7C4B-4BFD-9C58-F11D37B8A3E5}"/>
    <cellStyle name="Note 2 3 5 2 3" xfId="12509" xr:uid="{F43ECD16-40C5-4625-8718-478EEB449224}"/>
    <cellStyle name="Note 2 3 5 3" xfId="6146" xr:uid="{00000000-0005-0000-0000-000011210000}"/>
    <cellStyle name="Note 2 3 5 3 2" xfId="14582" xr:uid="{7801E3EF-E57F-4551-AE2E-E03041EC88D7}"/>
    <cellStyle name="Note 2 3 5 4" xfId="10364" xr:uid="{E6D8A604-CA8B-4188-956A-BB1BFC3AA775}"/>
    <cellStyle name="Note 2 3 6" xfId="2252" xr:uid="{00000000-0005-0000-0000-000012210000}"/>
    <cellStyle name="Note 2 3 6 2" xfId="4481" xr:uid="{00000000-0005-0000-0000-000013210000}"/>
    <cellStyle name="Note 2 3 6 2 2" xfId="8704" xr:uid="{00000000-0005-0000-0000-000014210000}"/>
    <cellStyle name="Note 2 3 6 2 2 2" xfId="17140" xr:uid="{D9855CE3-0EA1-4536-A137-A48467BCB00D}"/>
    <cellStyle name="Note 2 3 6 2 3" xfId="12922" xr:uid="{C6772736-11EB-4488-8765-58FA4D485E89}"/>
    <cellStyle name="Note 2 3 6 3" xfId="6559" xr:uid="{00000000-0005-0000-0000-000015210000}"/>
    <cellStyle name="Note 2 3 6 3 2" xfId="14995" xr:uid="{C08B467F-D9C1-4B8A-A3E4-BE09D5A806C9}"/>
    <cellStyle name="Note 2 3 6 4" xfId="10777" xr:uid="{1CF3FEC9-0C6E-4B7E-BDDE-DD5E29CB84E2}"/>
    <cellStyle name="Note 2 3 7" xfId="2688" xr:uid="{00000000-0005-0000-0000-000016210000}"/>
    <cellStyle name="Note 2 3 7 2" xfId="6972" xr:uid="{00000000-0005-0000-0000-000017210000}"/>
    <cellStyle name="Note 2 3 7 2 2" xfId="15408" xr:uid="{BF4540A9-4593-4E27-81C4-6D1B5B6809B8}"/>
    <cellStyle name="Note 2 3 7 3" xfId="11190" xr:uid="{CB5E4A5E-5060-4D11-A4CA-3774820BAB4F}"/>
    <cellStyle name="Note 2 3 8" xfId="2747" xr:uid="{00000000-0005-0000-0000-000018210000}"/>
    <cellStyle name="Note 2 3 9" xfId="2828" xr:uid="{00000000-0005-0000-0000-000019210000}"/>
    <cellStyle name="Note 2 3 9 2" xfId="7052" xr:uid="{00000000-0005-0000-0000-00001A210000}"/>
    <cellStyle name="Note 2 3 9 2 2" xfId="15488" xr:uid="{65FCFF43-B283-43A1-9304-65F45E2B34EF}"/>
    <cellStyle name="Note 2 3 9 3" xfId="11270" xr:uid="{B45AD378-4489-4983-92D3-5D80CC6F7F5F}"/>
    <cellStyle name="Note 2 4" xfId="551" xr:uid="{00000000-0005-0000-0000-00001B210000}"/>
    <cellStyle name="Note 2 4 10" xfId="9127" xr:uid="{D7CE312E-06A5-4E8F-9F4F-5FC3B432271F}"/>
    <cellStyle name="Note 2 4 2" xfId="1012" xr:uid="{00000000-0005-0000-0000-00001C210000}"/>
    <cellStyle name="Note 2 4 2 2" xfId="3244" xr:uid="{00000000-0005-0000-0000-00001D210000}"/>
    <cellStyle name="Note 2 4 2 2 2" xfId="7467" xr:uid="{00000000-0005-0000-0000-00001E210000}"/>
    <cellStyle name="Note 2 4 2 2 2 2" xfId="15903" xr:uid="{0EBC1066-8AD9-4CC3-9013-2A64F135FCA8}"/>
    <cellStyle name="Note 2 4 2 2 3" xfId="11685" xr:uid="{63B0256D-4F4C-4D96-A7E8-795C874DEFA0}"/>
    <cellStyle name="Note 2 4 2 3" xfId="5322" xr:uid="{00000000-0005-0000-0000-00001F210000}"/>
    <cellStyle name="Note 2 4 2 3 2" xfId="13758" xr:uid="{AABA7B9A-CA3C-406F-B6FE-388532B66905}"/>
    <cellStyle name="Note 2 4 2 4" xfId="9540" xr:uid="{B0445DB4-67F5-4744-B0CC-A8A49B786314}"/>
    <cellStyle name="Note 2 4 3" xfId="1427" xr:uid="{00000000-0005-0000-0000-000020210000}"/>
    <cellStyle name="Note 2 4 3 2" xfId="3657" xr:uid="{00000000-0005-0000-0000-000021210000}"/>
    <cellStyle name="Note 2 4 3 2 2" xfId="7880" xr:uid="{00000000-0005-0000-0000-000022210000}"/>
    <cellStyle name="Note 2 4 3 2 2 2" xfId="16316" xr:uid="{092A8524-2E44-4341-B2DB-CAB6B5ED0E66}"/>
    <cellStyle name="Note 2 4 3 2 3" xfId="12098" xr:uid="{3782919F-F003-4FC3-8D2F-25A091269FE2}"/>
    <cellStyle name="Note 2 4 3 3" xfId="5735" xr:uid="{00000000-0005-0000-0000-000023210000}"/>
    <cellStyle name="Note 2 4 3 3 2" xfId="14171" xr:uid="{E0A1791C-9DFE-4A63-ACCE-DE0822C6CDBC}"/>
    <cellStyle name="Note 2 4 3 4" xfId="9953" xr:uid="{A464C5EC-525A-4428-BD68-E7EB62B5FF18}"/>
    <cellStyle name="Note 2 4 4" xfId="1841" xr:uid="{00000000-0005-0000-0000-000024210000}"/>
    <cellStyle name="Note 2 4 4 2" xfId="4070" xr:uid="{00000000-0005-0000-0000-000025210000}"/>
    <cellStyle name="Note 2 4 4 2 2" xfId="8293" xr:uid="{00000000-0005-0000-0000-000026210000}"/>
    <cellStyle name="Note 2 4 4 2 2 2" xfId="16729" xr:uid="{9411770C-5E08-4BD3-B67E-7CB2D3290512}"/>
    <cellStyle name="Note 2 4 4 2 3" xfId="12511" xr:uid="{2D199045-9B99-4CD7-A39E-C65772D72678}"/>
    <cellStyle name="Note 2 4 4 3" xfId="6148" xr:uid="{00000000-0005-0000-0000-000027210000}"/>
    <cellStyle name="Note 2 4 4 3 2" xfId="14584" xr:uid="{6462E020-3A75-47B2-A105-1DD8BBFB1387}"/>
    <cellStyle name="Note 2 4 4 4" xfId="10366" xr:uid="{1B31E6C2-923B-435F-83D5-9317B05EE451}"/>
    <cellStyle name="Note 2 4 5" xfId="2254" xr:uid="{00000000-0005-0000-0000-000028210000}"/>
    <cellStyle name="Note 2 4 5 2" xfId="4483" xr:uid="{00000000-0005-0000-0000-000029210000}"/>
    <cellStyle name="Note 2 4 5 2 2" xfId="8706" xr:uid="{00000000-0005-0000-0000-00002A210000}"/>
    <cellStyle name="Note 2 4 5 2 2 2" xfId="17142" xr:uid="{02B61044-5542-4FD9-9603-039B531B74E7}"/>
    <cellStyle name="Note 2 4 5 2 3" xfId="12924" xr:uid="{2F0EEAA4-D4AD-40E1-BC78-C04C813DE1EA}"/>
    <cellStyle name="Note 2 4 5 3" xfId="6561" xr:uid="{00000000-0005-0000-0000-00002B210000}"/>
    <cellStyle name="Note 2 4 5 3 2" xfId="14997" xr:uid="{0012952F-F21E-4C73-ABEE-661227C29DFE}"/>
    <cellStyle name="Note 2 4 5 4" xfId="10779" xr:uid="{8BAFCC6D-D148-498A-BD90-96E81F6C54E0}"/>
    <cellStyle name="Note 2 4 6" xfId="2690" xr:uid="{00000000-0005-0000-0000-00002C210000}"/>
    <cellStyle name="Note 2 4 6 2" xfId="6974" xr:uid="{00000000-0005-0000-0000-00002D210000}"/>
    <cellStyle name="Note 2 4 6 2 2" xfId="15410" xr:uid="{9EF6E69E-204A-426E-8ED5-D98C93B69902}"/>
    <cellStyle name="Note 2 4 6 3" xfId="11192" xr:uid="{D6CCB075-50C6-4B11-80F9-C8CF23738F47}"/>
    <cellStyle name="Note 2 4 7" xfId="2749" xr:uid="{00000000-0005-0000-0000-00002E210000}"/>
    <cellStyle name="Note 2 4 8" xfId="2830" xr:uid="{00000000-0005-0000-0000-00002F210000}"/>
    <cellStyle name="Note 2 4 8 2" xfId="7054" xr:uid="{00000000-0005-0000-0000-000030210000}"/>
    <cellStyle name="Note 2 4 8 2 2" xfId="15490" xr:uid="{A6A48839-2375-47FB-AED4-A0513096BFBF}"/>
    <cellStyle name="Note 2 4 8 3" xfId="11272" xr:uid="{408927BA-13C7-428B-A0F0-BBEA4B86607F}"/>
    <cellStyle name="Note 2 4 9" xfId="4909" xr:uid="{00000000-0005-0000-0000-000031210000}"/>
    <cellStyle name="Note 2 4 9 2" xfId="13345" xr:uid="{AB02824C-AC54-469A-BB0A-3CA7D454FFF7}"/>
    <cellStyle name="Note 2 5" xfId="552" xr:uid="{00000000-0005-0000-0000-000032210000}"/>
    <cellStyle name="Note 2 5 10" xfId="9128" xr:uid="{B7705B9F-9B61-4431-BA2A-10196224ADE8}"/>
    <cellStyle name="Note 2 5 2" xfId="1013" xr:uid="{00000000-0005-0000-0000-000033210000}"/>
    <cellStyle name="Note 2 5 2 2" xfId="3245" xr:uid="{00000000-0005-0000-0000-000034210000}"/>
    <cellStyle name="Note 2 5 2 2 2" xfId="7468" xr:uid="{00000000-0005-0000-0000-000035210000}"/>
    <cellStyle name="Note 2 5 2 2 2 2" xfId="15904" xr:uid="{05C029CD-044F-4C11-A711-9D7477F7570A}"/>
    <cellStyle name="Note 2 5 2 2 3" xfId="11686" xr:uid="{A43F07E5-936B-4C3D-9643-4F6BA350FE61}"/>
    <cellStyle name="Note 2 5 2 3" xfId="5323" xr:uid="{00000000-0005-0000-0000-000036210000}"/>
    <cellStyle name="Note 2 5 2 3 2" xfId="13759" xr:uid="{C4082ABB-DFB3-412E-BD3D-BD55B404E7A2}"/>
    <cellStyle name="Note 2 5 2 4" xfId="9541" xr:uid="{C30A5527-6FB6-4488-A264-F46DABB87681}"/>
    <cellStyle name="Note 2 5 3" xfId="1428" xr:uid="{00000000-0005-0000-0000-000037210000}"/>
    <cellStyle name="Note 2 5 3 2" xfId="3658" xr:uid="{00000000-0005-0000-0000-000038210000}"/>
    <cellStyle name="Note 2 5 3 2 2" xfId="7881" xr:uid="{00000000-0005-0000-0000-000039210000}"/>
    <cellStyle name="Note 2 5 3 2 2 2" xfId="16317" xr:uid="{1C040300-315C-46C2-BDE0-2BB0A473EA5F}"/>
    <cellStyle name="Note 2 5 3 2 3" xfId="12099" xr:uid="{843BB8FF-C00B-4E8F-A810-F2007E7E0278}"/>
    <cellStyle name="Note 2 5 3 3" xfId="5736" xr:uid="{00000000-0005-0000-0000-00003A210000}"/>
    <cellStyle name="Note 2 5 3 3 2" xfId="14172" xr:uid="{1D2E37A8-4CE8-47FA-B23E-8AAB55F5A337}"/>
    <cellStyle name="Note 2 5 3 4" xfId="9954" xr:uid="{826B22EE-9484-4DA7-B11A-9848245708FD}"/>
    <cellStyle name="Note 2 5 4" xfId="1842" xr:uid="{00000000-0005-0000-0000-00003B210000}"/>
    <cellStyle name="Note 2 5 4 2" xfId="4071" xr:uid="{00000000-0005-0000-0000-00003C210000}"/>
    <cellStyle name="Note 2 5 4 2 2" xfId="8294" xr:uid="{00000000-0005-0000-0000-00003D210000}"/>
    <cellStyle name="Note 2 5 4 2 2 2" xfId="16730" xr:uid="{DC8676CA-C25B-4095-9391-5318A83EAA7A}"/>
    <cellStyle name="Note 2 5 4 2 3" xfId="12512" xr:uid="{373F198B-5CAB-4918-ACCB-CE684E9998EA}"/>
    <cellStyle name="Note 2 5 4 3" xfId="6149" xr:uid="{00000000-0005-0000-0000-00003E210000}"/>
    <cellStyle name="Note 2 5 4 3 2" xfId="14585" xr:uid="{37083AA4-A002-4EAB-95CB-1EEEE38D0AF4}"/>
    <cellStyle name="Note 2 5 4 4" xfId="10367" xr:uid="{B877EB07-D833-4479-909F-C26AE77C5164}"/>
    <cellStyle name="Note 2 5 5" xfId="2255" xr:uid="{00000000-0005-0000-0000-00003F210000}"/>
    <cellStyle name="Note 2 5 5 2" xfId="4484" xr:uid="{00000000-0005-0000-0000-000040210000}"/>
    <cellStyle name="Note 2 5 5 2 2" xfId="8707" xr:uid="{00000000-0005-0000-0000-000041210000}"/>
    <cellStyle name="Note 2 5 5 2 2 2" xfId="17143" xr:uid="{33620B8C-C239-4ECC-A739-CBBC57F636DB}"/>
    <cellStyle name="Note 2 5 5 2 3" xfId="12925" xr:uid="{2D0F3A76-7E63-49D2-8E4C-85E6D0C63699}"/>
    <cellStyle name="Note 2 5 5 3" xfId="6562" xr:uid="{00000000-0005-0000-0000-000042210000}"/>
    <cellStyle name="Note 2 5 5 3 2" xfId="14998" xr:uid="{C96E60FD-824B-4F9C-BB88-7A58E2910055}"/>
    <cellStyle name="Note 2 5 5 4" xfId="10780" xr:uid="{A2B747A5-5DF9-400A-BEC8-38A758B0E566}"/>
    <cellStyle name="Note 2 5 6" xfId="2691" xr:uid="{00000000-0005-0000-0000-000043210000}"/>
    <cellStyle name="Note 2 5 6 2" xfId="6975" xr:uid="{00000000-0005-0000-0000-000044210000}"/>
    <cellStyle name="Note 2 5 6 2 2" xfId="15411" xr:uid="{7033C3A4-0E5C-4091-813E-E4B7A33BEE06}"/>
    <cellStyle name="Note 2 5 6 3" xfId="11193" xr:uid="{D4090D98-09E0-43EC-AF12-D9D5119969BE}"/>
    <cellStyle name="Note 2 5 7" xfId="2750" xr:uid="{00000000-0005-0000-0000-000045210000}"/>
    <cellStyle name="Note 2 5 8" xfId="2831" xr:uid="{00000000-0005-0000-0000-000046210000}"/>
    <cellStyle name="Note 2 5 8 2" xfId="7055" xr:uid="{00000000-0005-0000-0000-000047210000}"/>
    <cellStyle name="Note 2 5 8 2 2" xfId="15491" xr:uid="{D485C5B0-3A17-40B0-9AEF-D9D8C94622DF}"/>
    <cellStyle name="Note 2 5 8 3" xfId="11273" xr:uid="{FBB9226A-5610-4583-A613-DBEF09782D10}"/>
    <cellStyle name="Note 2 5 9" xfId="4910" xr:uid="{00000000-0005-0000-0000-000048210000}"/>
    <cellStyle name="Note 2 5 9 2" xfId="13346" xr:uid="{A76CAD56-A00E-42CA-8074-0E7EA19A90AF}"/>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2" xr:uid="{F4C5564B-A244-4195-8A8C-F1F6B6946148}"/>
    <cellStyle name="Note 3 2 10 3" xfId="11274" xr:uid="{7AF6669D-AFB1-41AB-A96E-1CC46ABC925E}"/>
    <cellStyle name="Note 3 2 11" xfId="4911" xr:uid="{00000000-0005-0000-0000-00004D210000}"/>
    <cellStyle name="Note 3 2 11 2" xfId="13347" xr:uid="{33B5AA6E-F1DD-4BBD-8CB2-3D5313377FDB}"/>
    <cellStyle name="Note 3 2 12" xfId="9129" xr:uid="{23DCE9D8-32A1-48A5-8F0F-4282955C9FD3}"/>
    <cellStyle name="Note 3 2 2" xfId="555" xr:uid="{00000000-0005-0000-0000-00004E210000}"/>
    <cellStyle name="Note 3 2 2 10" xfId="4912" xr:uid="{00000000-0005-0000-0000-00004F210000}"/>
    <cellStyle name="Note 3 2 2 10 2" xfId="13348" xr:uid="{74A05FAD-C90E-483E-A205-D85850E7B4BF}"/>
    <cellStyle name="Note 3 2 2 11" xfId="9130" xr:uid="{78303586-9ED4-4F04-B7F9-1454E94DF696}"/>
    <cellStyle name="Note 3 2 2 2" xfId="556" xr:uid="{00000000-0005-0000-0000-000050210000}"/>
    <cellStyle name="Note 3 2 2 2 10" xfId="9131" xr:uid="{412778EA-76B8-4F23-A4EF-802222986E55}"/>
    <cellStyle name="Note 3 2 2 2 2" xfId="1016" xr:uid="{00000000-0005-0000-0000-000051210000}"/>
    <cellStyle name="Note 3 2 2 2 2 2" xfId="3248" xr:uid="{00000000-0005-0000-0000-000052210000}"/>
    <cellStyle name="Note 3 2 2 2 2 2 2" xfId="7471" xr:uid="{00000000-0005-0000-0000-000053210000}"/>
    <cellStyle name="Note 3 2 2 2 2 2 2 2" xfId="15907" xr:uid="{47F9445A-6790-4D3A-94B3-80C13ACC1A26}"/>
    <cellStyle name="Note 3 2 2 2 2 2 3" xfId="11689" xr:uid="{801A0A5B-6294-4FFD-9DF2-CBC2865B984B}"/>
    <cellStyle name="Note 3 2 2 2 2 3" xfId="5326" xr:uid="{00000000-0005-0000-0000-000054210000}"/>
    <cellStyle name="Note 3 2 2 2 2 3 2" xfId="13762" xr:uid="{6AFC8EC5-D939-445E-8A98-8C6184FA3C8F}"/>
    <cellStyle name="Note 3 2 2 2 2 4" xfId="9544" xr:uid="{0A9470A9-1D7A-41A9-8BF0-28C08D3C87AF}"/>
    <cellStyle name="Note 3 2 2 2 3" xfId="1431" xr:uid="{00000000-0005-0000-0000-000055210000}"/>
    <cellStyle name="Note 3 2 2 2 3 2" xfId="3661" xr:uid="{00000000-0005-0000-0000-000056210000}"/>
    <cellStyle name="Note 3 2 2 2 3 2 2" xfId="7884" xr:uid="{00000000-0005-0000-0000-000057210000}"/>
    <cellStyle name="Note 3 2 2 2 3 2 2 2" xfId="16320" xr:uid="{240A041F-41D9-4BDE-9176-1C1BD4402C37}"/>
    <cellStyle name="Note 3 2 2 2 3 2 3" xfId="12102" xr:uid="{35701F82-067B-45CF-A554-86F691BC29EB}"/>
    <cellStyle name="Note 3 2 2 2 3 3" xfId="5739" xr:uid="{00000000-0005-0000-0000-000058210000}"/>
    <cellStyle name="Note 3 2 2 2 3 3 2" xfId="14175" xr:uid="{8CD6FB60-CF7D-46D3-8F0D-7BCC6698E19D}"/>
    <cellStyle name="Note 3 2 2 2 3 4" xfId="9957" xr:uid="{36748246-8A3D-4254-909B-32B476023C63}"/>
    <cellStyle name="Note 3 2 2 2 4" xfId="1845" xr:uid="{00000000-0005-0000-0000-000059210000}"/>
    <cellStyle name="Note 3 2 2 2 4 2" xfId="4074" xr:uid="{00000000-0005-0000-0000-00005A210000}"/>
    <cellStyle name="Note 3 2 2 2 4 2 2" xfId="8297" xr:uid="{00000000-0005-0000-0000-00005B210000}"/>
    <cellStyle name="Note 3 2 2 2 4 2 2 2" xfId="16733" xr:uid="{91F55166-8E41-42E4-93E5-A0DFB49194A9}"/>
    <cellStyle name="Note 3 2 2 2 4 2 3" xfId="12515" xr:uid="{ACCFCA51-E1E8-41A7-8794-F63EF9A2A2FE}"/>
    <cellStyle name="Note 3 2 2 2 4 3" xfId="6152" xr:uid="{00000000-0005-0000-0000-00005C210000}"/>
    <cellStyle name="Note 3 2 2 2 4 3 2" xfId="14588" xr:uid="{58981A14-68E9-4BED-8D07-58EAED33928D}"/>
    <cellStyle name="Note 3 2 2 2 4 4" xfId="10370" xr:uid="{4654A964-872C-47B3-9831-2FAE3C6DA3D0}"/>
    <cellStyle name="Note 3 2 2 2 5" xfId="2258" xr:uid="{00000000-0005-0000-0000-00005D210000}"/>
    <cellStyle name="Note 3 2 2 2 5 2" xfId="4487" xr:uid="{00000000-0005-0000-0000-00005E210000}"/>
    <cellStyle name="Note 3 2 2 2 5 2 2" xfId="8710" xr:uid="{00000000-0005-0000-0000-00005F210000}"/>
    <cellStyle name="Note 3 2 2 2 5 2 2 2" xfId="17146" xr:uid="{7FD225F6-CE49-4C41-82FD-8AC4B9ECD131}"/>
    <cellStyle name="Note 3 2 2 2 5 2 3" xfId="12928" xr:uid="{FEB109CA-DA18-426F-9658-36B0832E533E}"/>
    <cellStyle name="Note 3 2 2 2 5 3" xfId="6565" xr:uid="{00000000-0005-0000-0000-000060210000}"/>
    <cellStyle name="Note 3 2 2 2 5 3 2" xfId="15001" xr:uid="{A0F7064D-231B-4001-A1D5-858C82AC3529}"/>
    <cellStyle name="Note 3 2 2 2 5 4" xfId="10783" xr:uid="{C37FD6B8-2D1C-48DA-A174-AB17DBBBBD14}"/>
    <cellStyle name="Note 3 2 2 2 6" xfId="2694" xr:uid="{00000000-0005-0000-0000-000061210000}"/>
    <cellStyle name="Note 3 2 2 2 6 2" xfId="6978" xr:uid="{00000000-0005-0000-0000-000062210000}"/>
    <cellStyle name="Note 3 2 2 2 6 2 2" xfId="15414" xr:uid="{1270E7E0-A4BC-4617-9187-D82331DCA71A}"/>
    <cellStyle name="Note 3 2 2 2 6 3" xfId="11196" xr:uid="{93C95FC4-A38C-4A78-AC14-83DA3FAAE34E}"/>
    <cellStyle name="Note 3 2 2 2 7" xfId="2753" xr:uid="{00000000-0005-0000-0000-000063210000}"/>
    <cellStyle name="Note 3 2 2 2 8" xfId="2834" xr:uid="{00000000-0005-0000-0000-000064210000}"/>
    <cellStyle name="Note 3 2 2 2 8 2" xfId="7058" xr:uid="{00000000-0005-0000-0000-000065210000}"/>
    <cellStyle name="Note 3 2 2 2 8 2 2" xfId="15494" xr:uid="{507EE8AE-0094-477F-BE90-63D1C6191704}"/>
    <cellStyle name="Note 3 2 2 2 8 3" xfId="11276" xr:uid="{A884FAA8-F59E-47CF-BA45-5A9B308F7ADD}"/>
    <cellStyle name="Note 3 2 2 2 9" xfId="4913" xr:uid="{00000000-0005-0000-0000-000066210000}"/>
    <cellStyle name="Note 3 2 2 2 9 2" xfId="13349" xr:uid="{ABD212F7-74A7-49EC-82B9-4E416C4C4BB1}"/>
    <cellStyle name="Note 3 2 2 3" xfId="1015" xr:uid="{00000000-0005-0000-0000-000067210000}"/>
    <cellStyle name="Note 3 2 2 3 2" xfId="3247" xr:uid="{00000000-0005-0000-0000-000068210000}"/>
    <cellStyle name="Note 3 2 2 3 2 2" xfId="7470" xr:uid="{00000000-0005-0000-0000-000069210000}"/>
    <cellStyle name="Note 3 2 2 3 2 2 2" xfId="15906" xr:uid="{FC4B47CE-F7E1-492B-89A5-97AE19E336EA}"/>
    <cellStyle name="Note 3 2 2 3 2 3" xfId="11688" xr:uid="{BCFF6FED-2DD5-44A1-B0B1-2AD596BDD7C7}"/>
    <cellStyle name="Note 3 2 2 3 3" xfId="5325" xr:uid="{00000000-0005-0000-0000-00006A210000}"/>
    <cellStyle name="Note 3 2 2 3 3 2" xfId="13761" xr:uid="{B6B4D215-E5EB-47DF-BAF6-877073BEFDB9}"/>
    <cellStyle name="Note 3 2 2 3 4" xfId="9543" xr:uid="{2927A061-6905-4A63-812E-C4AF3F7E30B5}"/>
    <cellStyle name="Note 3 2 2 4" xfId="1430" xr:uid="{00000000-0005-0000-0000-00006B210000}"/>
    <cellStyle name="Note 3 2 2 4 2" xfId="3660" xr:uid="{00000000-0005-0000-0000-00006C210000}"/>
    <cellStyle name="Note 3 2 2 4 2 2" xfId="7883" xr:uid="{00000000-0005-0000-0000-00006D210000}"/>
    <cellStyle name="Note 3 2 2 4 2 2 2" xfId="16319" xr:uid="{F49A83EE-09E8-4AD4-B9AA-19F0C3F008CE}"/>
    <cellStyle name="Note 3 2 2 4 2 3" xfId="12101" xr:uid="{48FD5C1B-9F69-4653-9BF1-B261F89EFBFA}"/>
    <cellStyle name="Note 3 2 2 4 3" xfId="5738" xr:uid="{00000000-0005-0000-0000-00006E210000}"/>
    <cellStyle name="Note 3 2 2 4 3 2" xfId="14174" xr:uid="{4CF3DA8D-BCDF-4A81-875F-D77F60701C13}"/>
    <cellStyle name="Note 3 2 2 4 4" xfId="9956" xr:uid="{89EAFF4F-F30C-4A28-B789-762C2DF5E0DC}"/>
    <cellStyle name="Note 3 2 2 5" xfId="1844" xr:uid="{00000000-0005-0000-0000-00006F210000}"/>
    <cellStyle name="Note 3 2 2 5 2" xfId="4073" xr:uid="{00000000-0005-0000-0000-000070210000}"/>
    <cellStyle name="Note 3 2 2 5 2 2" xfId="8296" xr:uid="{00000000-0005-0000-0000-000071210000}"/>
    <cellStyle name="Note 3 2 2 5 2 2 2" xfId="16732" xr:uid="{71F21C87-9AAB-4B45-9752-94DF69BF3C4B}"/>
    <cellStyle name="Note 3 2 2 5 2 3" xfId="12514" xr:uid="{DB94E8CC-12C5-4927-9C64-1116D858D0E5}"/>
    <cellStyle name="Note 3 2 2 5 3" xfId="6151" xr:uid="{00000000-0005-0000-0000-000072210000}"/>
    <cellStyle name="Note 3 2 2 5 3 2" xfId="14587" xr:uid="{C3D7E5BA-3F59-4BA8-AFDC-3930A78CD542}"/>
    <cellStyle name="Note 3 2 2 5 4" xfId="10369" xr:uid="{E648A4D4-0988-4463-A3E3-FF6ECAEAAA30}"/>
    <cellStyle name="Note 3 2 2 6" xfId="2257" xr:uid="{00000000-0005-0000-0000-000073210000}"/>
    <cellStyle name="Note 3 2 2 6 2" xfId="4486" xr:uid="{00000000-0005-0000-0000-000074210000}"/>
    <cellStyle name="Note 3 2 2 6 2 2" xfId="8709" xr:uid="{00000000-0005-0000-0000-000075210000}"/>
    <cellStyle name="Note 3 2 2 6 2 2 2" xfId="17145" xr:uid="{0F9BAB26-9002-4360-8E77-C806D747ED5A}"/>
    <cellStyle name="Note 3 2 2 6 2 3" xfId="12927" xr:uid="{1FC7ADC9-6174-4D4D-9B18-BB1610DCA33D}"/>
    <cellStyle name="Note 3 2 2 6 3" xfId="6564" xr:uid="{00000000-0005-0000-0000-000076210000}"/>
    <cellStyle name="Note 3 2 2 6 3 2" xfId="15000" xr:uid="{565217A9-766A-4759-B09A-6AD6C24030DC}"/>
    <cellStyle name="Note 3 2 2 6 4" xfId="10782" xr:uid="{9532499A-A6E6-4DCE-A4FA-5CC6AB56AFC4}"/>
    <cellStyle name="Note 3 2 2 7" xfId="2693" xr:uid="{00000000-0005-0000-0000-000077210000}"/>
    <cellStyle name="Note 3 2 2 7 2" xfId="6977" xr:uid="{00000000-0005-0000-0000-000078210000}"/>
    <cellStyle name="Note 3 2 2 7 2 2" xfId="15413" xr:uid="{1826F18A-4CE9-4294-BA5A-BB23457D7B4D}"/>
    <cellStyle name="Note 3 2 2 7 3" xfId="11195" xr:uid="{0A51DB06-8EFE-49E7-8B0D-12D679BED16C}"/>
    <cellStyle name="Note 3 2 2 8" xfId="2752" xr:uid="{00000000-0005-0000-0000-000079210000}"/>
    <cellStyle name="Note 3 2 2 9" xfId="2833" xr:uid="{00000000-0005-0000-0000-00007A210000}"/>
    <cellStyle name="Note 3 2 2 9 2" xfId="7057" xr:uid="{00000000-0005-0000-0000-00007B210000}"/>
    <cellStyle name="Note 3 2 2 9 2 2" xfId="15493" xr:uid="{E2DAC727-4BDE-4BAB-9CC7-DFFA5CEDAB7E}"/>
    <cellStyle name="Note 3 2 2 9 3" xfId="11275" xr:uid="{265A865E-C16D-455A-8A4A-566E018224B9}"/>
    <cellStyle name="Note 3 2 3" xfId="557" xr:uid="{00000000-0005-0000-0000-00007C210000}"/>
    <cellStyle name="Note 3 2 3 10" xfId="9132" xr:uid="{C69B6222-37BF-41DC-A659-05FEE1050126}"/>
    <cellStyle name="Note 3 2 3 2" xfId="1017" xr:uid="{00000000-0005-0000-0000-00007D210000}"/>
    <cellStyle name="Note 3 2 3 2 2" xfId="3249" xr:uid="{00000000-0005-0000-0000-00007E210000}"/>
    <cellStyle name="Note 3 2 3 2 2 2" xfId="7472" xr:uid="{00000000-0005-0000-0000-00007F210000}"/>
    <cellStyle name="Note 3 2 3 2 2 2 2" xfId="15908" xr:uid="{A7BC39C9-A1D7-464A-B7BE-45400EE02CEC}"/>
    <cellStyle name="Note 3 2 3 2 2 3" xfId="11690" xr:uid="{2B75A39C-3761-48F9-982F-7F4A4584DC79}"/>
    <cellStyle name="Note 3 2 3 2 3" xfId="5327" xr:uid="{00000000-0005-0000-0000-000080210000}"/>
    <cellStyle name="Note 3 2 3 2 3 2" xfId="13763" xr:uid="{022A8776-7A93-4008-AE0C-BE65B6538B25}"/>
    <cellStyle name="Note 3 2 3 2 4" xfId="9545" xr:uid="{F3197886-4780-43EC-95F2-258B6E1C0038}"/>
    <cellStyle name="Note 3 2 3 3" xfId="1432" xr:uid="{00000000-0005-0000-0000-000081210000}"/>
    <cellStyle name="Note 3 2 3 3 2" xfId="3662" xr:uid="{00000000-0005-0000-0000-000082210000}"/>
    <cellStyle name="Note 3 2 3 3 2 2" xfId="7885" xr:uid="{00000000-0005-0000-0000-000083210000}"/>
    <cellStyle name="Note 3 2 3 3 2 2 2" xfId="16321" xr:uid="{F8D17ECC-8146-49A4-8F9C-75D0916ABB05}"/>
    <cellStyle name="Note 3 2 3 3 2 3" xfId="12103" xr:uid="{91491ABE-E7D6-49A1-8BDA-22F61B2CD1AB}"/>
    <cellStyle name="Note 3 2 3 3 3" xfId="5740" xr:uid="{00000000-0005-0000-0000-000084210000}"/>
    <cellStyle name="Note 3 2 3 3 3 2" xfId="14176" xr:uid="{3094A126-D077-4B28-8193-4157C7EDBD56}"/>
    <cellStyle name="Note 3 2 3 3 4" xfId="9958" xr:uid="{51B71DA6-46BA-4655-9536-9DB908AF1272}"/>
    <cellStyle name="Note 3 2 3 4" xfId="1846" xr:uid="{00000000-0005-0000-0000-000085210000}"/>
    <cellStyle name="Note 3 2 3 4 2" xfId="4075" xr:uid="{00000000-0005-0000-0000-000086210000}"/>
    <cellStyle name="Note 3 2 3 4 2 2" xfId="8298" xr:uid="{00000000-0005-0000-0000-000087210000}"/>
    <cellStyle name="Note 3 2 3 4 2 2 2" xfId="16734" xr:uid="{B1193E75-0996-4D00-8C4E-7B2A9C67C0A5}"/>
    <cellStyle name="Note 3 2 3 4 2 3" xfId="12516" xr:uid="{96B72021-93C2-43D0-8AD5-1104AE32A913}"/>
    <cellStyle name="Note 3 2 3 4 3" xfId="6153" xr:uid="{00000000-0005-0000-0000-000088210000}"/>
    <cellStyle name="Note 3 2 3 4 3 2" xfId="14589" xr:uid="{A6849F00-4D1E-4078-9DF0-D7C0B670B2A6}"/>
    <cellStyle name="Note 3 2 3 4 4" xfId="10371" xr:uid="{D2985D6D-D35E-48ED-B6DD-49E9E8529374}"/>
    <cellStyle name="Note 3 2 3 5" xfId="2259" xr:uid="{00000000-0005-0000-0000-000089210000}"/>
    <cellStyle name="Note 3 2 3 5 2" xfId="4488" xr:uid="{00000000-0005-0000-0000-00008A210000}"/>
    <cellStyle name="Note 3 2 3 5 2 2" xfId="8711" xr:uid="{00000000-0005-0000-0000-00008B210000}"/>
    <cellStyle name="Note 3 2 3 5 2 2 2" xfId="17147" xr:uid="{E9F48798-AAD7-4BC7-A4A2-6DBDDA78F4B2}"/>
    <cellStyle name="Note 3 2 3 5 2 3" xfId="12929" xr:uid="{9C9A6689-8888-4792-AFD5-84F530502164}"/>
    <cellStyle name="Note 3 2 3 5 3" xfId="6566" xr:uid="{00000000-0005-0000-0000-00008C210000}"/>
    <cellStyle name="Note 3 2 3 5 3 2" xfId="15002" xr:uid="{6D00DA7C-7E60-4AF9-988E-BCC7116520B0}"/>
    <cellStyle name="Note 3 2 3 5 4" xfId="10784" xr:uid="{55EA2F3C-7A3C-46E3-B709-2B0EB7AA78CB}"/>
    <cellStyle name="Note 3 2 3 6" xfId="2695" xr:uid="{00000000-0005-0000-0000-00008D210000}"/>
    <cellStyle name="Note 3 2 3 6 2" xfId="6979" xr:uid="{00000000-0005-0000-0000-00008E210000}"/>
    <cellStyle name="Note 3 2 3 6 2 2" xfId="15415" xr:uid="{D7ACC68A-21A4-4BCB-8B58-188D0E78172B}"/>
    <cellStyle name="Note 3 2 3 6 3" xfId="11197" xr:uid="{E8CAD99E-76B0-4A9B-8965-C4C2293FCDAB}"/>
    <cellStyle name="Note 3 2 3 7" xfId="2754" xr:uid="{00000000-0005-0000-0000-00008F210000}"/>
    <cellStyle name="Note 3 2 3 8" xfId="2835" xr:uid="{00000000-0005-0000-0000-000090210000}"/>
    <cellStyle name="Note 3 2 3 8 2" xfId="7059" xr:uid="{00000000-0005-0000-0000-000091210000}"/>
    <cellStyle name="Note 3 2 3 8 2 2" xfId="15495" xr:uid="{FB64D6B3-66F7-4F92-8DCA-BA7FE96B3DFB}"/>
    <cellStyle name="Note 3 2 3 8 3" xfId="11277" xr:uid="{89165A63-C911-4DF5-9129-E888CE2EA9FB}"/>
    <cellStyle name="Note 3 2 3 9" xfId="4914" xr:uid="{00000000-0005-0000-0000-000092210000}"/>
    <cellStyle name="Note 3 2 3 9 2" xfId="13350" xr:uid="{C9BFC478-90D6-43AD-BA6E-34A0A689E8EC}"/>
    <cellStyle name="Note 3 2 4" xfId="1014" xr:uid="{00000000-0005-0000-0000-000093210000}"/>
    <cellStyle name="Note 3 2 4 2" xfId="3246" xr:uid="{00000000-0005-0000-0000-000094210000}"/>
    <cellStyle name="Note 3 2 4 2 2" xfId="7469" xr:uid="{00000000-0005-0000-0000-000095210000}"/>
    <cellStyle name="Note 3 2 4 2 2 2" xfId="15905" xr:uid="{B55F5D54-A4D1-4D09-9AB9-6DD4A6E55445}"/>
    <cellStyle name="Note 3 2 4 2 3" xfId="11687" xr:uid="{8AAF169C-3793-433F-814E-CE6DDE3AA5A5}"/>
    <cellStyle name="Note 3 2 4 3" xfId="5324" xr:uid="{00000000-0005-0000-0000-000096210000}"/>
    <cellStyle name="Note 3 2 4 3 2" xfId="13760" xr:uid="{463086EC-BB69-4CFC-BFE5-A8E3C80067FF}"/>
    <cellStyle name="Note 3 2 4 4" xfId="9542" xr:uid="{697C744F-DEB1-4100-AEF2-72ADD1A13B36}"/>
    <cellStyle name="Note 3 2 5" xfId="1429" xr:uid="{00000000-0005-0000-0000-000097210000}"/>
    <cellStyle name="Note 3 2 5 2" xfId="3659" xr:uid="{00000000-0005-0000-0000-000098210000}"/>
    <cellStyle name="Note 3 2 5 2 2" xfId="7882" xr:uid="{00000000-0005-0000-0000-000099210000}"/>
    <cellStyle name="Note 3 2 5 2 2 2" xfId="16318" xr:uid="{E780C16B-0778-4053-A1F8-B01318F72AD3}"/>
    <cellStyle name="Note 3 2 5 2 3" xfId="12100" xr:uid="{41CB5023-D1F8-4ABD-925D-F7795BF2A2AC}"/>
    <cellStyle name="Note 3 2 5 3" xfId="5737" xr:uid="{00000000-0005-0000-0000-00009A210000}"/>
    <cellStyle name="Note 3 2 5 3 2" xfId="14173" xr:uid="{9D08A5BE-597C-43AE-A5C9-763A20A6EE88}"/>
    <cellStyle name="Note 3 2 5 4" xfId="9955" xr:uid="{99873873-F0CA-4E1D-A814-68C1F7EDCE47}"/>
    <cellStyle name="Note 3 2 6" xfId="1843" xr:uid="{00000000-0005-0000-0000-00009B210000}"/>
    <cellStyle name="Note 3 2 6 2" xfId="4072" xr:uid="{00000000-0005-0000-0000-00009C210000}"/>
    <cellStyle name="Note 3 2 6 2 2" xfId="8295" xr:uid="{00000000-0005-0000-0000-00009D210000}"/>
    <cellStyle name="Note 3 2 6 2 2 2" xfId="16731" xr:uid="{8BBC2D23-8637-49B5-A7A5-8D7BC67A642F}"/>
    <cellStyle name="Note 3 2 6 2 3" xfId="12513" xr:uid="{80E5435B-51F2-4127-821F-BF954A3C3E05}"/>
    <cellStyle name="Note 3 2 6 3" xfId="6150" xr:uid="{00000000-0005-0000-0000-00009E210000}"/>
    <cellStyle name="Note 3 2 6 3 2" xfId="14586" xr:uid="{2E41D9F6-6255-409C-B01A-B1EDD2ECC640}"/>
    <cellStyle name="Note 3 2 6 4" xfId="10368" xr:uid="{CEC5D5FE-4A83-47D6-B902-37C5973D0530}"/>
    <cellStyle name="Note 3 2 7" xfId="2256" xr:uid="{00000000-0005-0000-0000-00009F210000}"/>
    <cellStyle name="Note 3 2 7 2" xfId="4485" xr:uid="{00000000-0005-0000-0000-0000A0210000}"/>
    <cellStyle name="Note 3 2 7 2 2" xfId="8708" xr:uid="{00000000-0005-0000-0000-0000A1210000}"/>
    <cellStyle name="Note 3 2 7 2 2 2" xfId="17144" xr:uid="{B85CB704-D44B-4A98-9696-7179A8194443}"/>
    <cellStyle name="Note 3 2 7 2 3" xfId="12926" xr:uid="{8287CFB3-D1E8-4A18-B714-D77CAAD5AF1A}"/>
    <cellStyle name="Note 3 2 7 3" xfId="6563" xr:uid="{00000000-0005-0000-0000-0000A2210000}"/>
    <cellStyle name="Note 3 2 7 3 2" xfId="14999" xr:uid="{C2AC032C-0D46-4C59-9C1E-BA6CF21434AE}"/>
    <cellStyle name="Note 3 2 7 4" xfId="10781" xr:uid="{AE6D2179-65E8-4FA9-995E-72E4341FEFDE}"/>
    <cellStyle name="Note 3 2 8" xfId="2692" xr:uid="{00000000-0005-0000-0000-0000A3210000}"/>
    <cellStyle name="Note 3 2 8 2" xfId="6976" xr:uid="{00000000-0005-0000-0000-0000A4210000}"/>
    <cellStyle name="Note 3 2 8 2 2" xfId="15412" xr:uid="{599CA6AF-957C-4FB9-9ECD-04FE497E2791}"/>
    <cellStyle name="Note 3 2 8 3" xfId="11194" xr:uid="{B9E1B35E-C482-429C-A1BC-BF7AD84F2F36}"/>
    <cellStyle name="Note 3 2 9" xfId="2751" xr:uid="{00000000-0005-0000-0000-0000A5210000}"/>
    <cellStyle name="Note 3 3" xfId="558" xr:uid="{00000000-0005-0000-0000-0000A6210000}"/>
    <cellStyle name="Note 3 3 10" xfId="4915" xr:uid="{00000000-0005-0000-0000-0000A7210000}"/>
    <cellStyle name="Note 3 3 10 2" xfId="13351" xr:uid="{6FD48DF4-9043-4FCE-A11F-0328408C93B8}"/>
    <cellStyle name="Note 3 3 11" xfId="9133" xr:uid="{5A5B1198-C971-4FDD-87FA-D149378B07F3}"/>
    <cellStyle name="Note 3 3 2" xfId="559" xr:uid="{00000000-0005-0000-0000-0000A8210000}"/>
    <cellStyle name="Note 3 3 2 10" xfId="9134" xr:uid="{298107E5-DDBC-4F40-985A-32E6451E4824}"/>
    <cellStyle name="Note 3 3 2 2" xfId="1019" xr:uid="{00000000-0005-0000-0000-0000A9210000}"/>
    <cellStyle name="Note 3 3 2 2 2" xfId="3251" xr:uid="{00000000-0005-0000-0000-0000AA210000}"/>
    <cellStyle name="Note 3 3 2 2 2 2" xfId="7474" xr:uid="{00000000-0005-0000-0000-0000AB210000}"/>
    <cellStyle name="Note 3 3 2 2 2 2 2" xfId="15910" xr:uid="{AB86F0B5-00C2-49F5-8200-A941467BBCE8}"/>
    <cellStyle name="Note 3 3 2 2 2 3" xfId="11692" xr:uid="{8A4F6F51-D32D-4DBC-AFBF-06D7007CDD4B}"/>
    <cellStyle name="Note 3 3 2 2 3" xfId="5329" xr:uid="{00000000-0005-0000-0000-0000AC210000}"/>
    <cellStyle name="Note 3 3 2 2 3 2" xfId="13765" xr:uid="{4F7982C7-FE83-41D9-B641-10099026DCCA}"/>
    <cellStyle name="Note 3 3 2 2 4" xfId="9547" xr:uid="{D161D98D-C8D5-48CA-8AFC-35BA51691186}"/>
    <cellStyle name="Note 3 3 2 3" xfId="1434" xr:uid="{00000000-0005-0000-0000-0000AD210000}"/>
    <cellStyle name="Note 3 3 2 3 2" xfId="3664" xr:uid="{00000000-0005-0000-0000-0000AE210000}"/>
    <cellStyle name="Note 3 3 2 3 2 2" xfId="7887" xr:uid="{00000000-0005-0000-0000-0000AF210000}"/>
    <cellStyle name="Note 3 3 2 3 2 2 2" xfId="16323" xr:uid="{20CB6CFF-1586-4240-97CA-047438BD8987}"/>
    <cellStyle name="Note 3 3 2 3 2 3" xfId="12105" xr:uid="{D12C60B3-35D5-4C1B-B676-D8D72F2295BD}"/>
    <cellStyle name="Note 3 3 2 3 3" xfId="5742" xr:uid="{00000000-0005-0000-0000-0000B0210000}"/>
    <cellStyle name="Note 3 3 2 3 3 2" xfId="14178" xr:uid="{90E123F5-99D5-47AA-9A62-35C51CD553BD}"/>
    <cellStyle name="Note 3 3 2 3 4" xfId="9960" xr:uid="{F5D16F40-7673-4C5B-A624-04A6CB2D2E17}"/>
    <cellStyle name="Note 3 3 2 4" xfId="1848" xr:uid="{00000000-0005-0000-0000-0000B1210000}"/>
    <cellStyle name="Note 3 3 2 4 2" xfId="4077" xr:uid="{00000000-0005-0000-0000-0000B2210000}"/>
    <cellStyle name="Note 3 3 2 4 2 2" xfId="8300" xr:uid="{00000000-0005-0000-0000-0000B3210000}"/>
    <cellStyle name="Note 3 3 2 4 2 2 2" xfId="16736" xr:uid="{0CF949B9-E265-4417-86A7-50232D5C52A7}"/>
    <cellStyle name="Note 3 3 2 4 2 3" xfId="12518" xr:uid="{9968C58F-443B-456E-B009-434BD438C2CD}"/>
    <cellStyle name="Note 3 3 2 4 3" xfId="6155" xr:uid="{00000000-0005-0000-0000-0000B4210000}"/>
    <cellStyle name="Note 3 3 2 4 3 2" xfId="14591" xr:uid="{42D848F3-3A45-4E65-9DE6-14BF11CB7DA3}"/>
    <cellStyle name="Note 3 3 2 4 4" xfId="10373" xr:uid="{2D09B2BB-FB91-4DCF-931E-972FF7CEACF9}"/>
    <cellStyle name="Note 3 3 2 5" xfId="2261" xr:uid="{00000000-0005-0000-0000-0000B5210000}"/>
    <cellStyle name="Note 3 3 2 5 2" xfId="4490" xr:uid="{00000000-0005-0000-0000-0000B6210000}"/>
    <cellStyle name="Note 3 3 2 5 2 2" xfId="8713" xr:uid="{00000000-0005-0000-0000-0000B7210000}"/>
    <cellStyle name="Note 3 3 2 5 2 2 2" xfId="17149" xr:uid="{9970E180-32CF-4F87-9B75-BA6B503CF777}"/>
    <cellStyle name="Note 3 3 2 5 2 3" xfId="12931" xr:uid="{190D7DD3-4D68-4A8A-8D09-D831F48DAB12}"/>
    <cellStyle name="Note 3 3 2 5 3" xfId="6568" xr:uid="{00000000-0005-0000-0000-0000B8210000}"/>
    <cellStyle name="Note 3 3 2 5 3 2" xfId="15004" xr:uid="{5DF4C9B9-2011-43D7-BA5C-53C010F82117}"/>
    <cellStyle name="Note 3 3 2 5 4" xfId="10786" xr:uid="{33A0E80C-FFB2-46F5-960B-71029BEA9784}"/>
    <cellStyle name="Note 3 3 2 6" xfId="2697" xr:uid="{00000000-0005-0000-0000-0000B9210000}"/>
    <cellStyle name="Note 3 3 2 6 2" xfId="6981" xr:uid="{00000000-0005-0000-0000-0000BA210000}"/>
    <cellStyle name="Note 3 3 2 6 2 2" xfId="15417" xr:uid="{382DB7A6-1157-491B-8CC7-4ADCE6B5FCCF}"/>
    <cellStyle name="Note 3 3 2 6 3" xfId="11199" xr:uid="{9B1BCA30-B787-4DE6-8F83-F733463E1BE3}"/>
    <cellStyle name="Note 3 3 2 7" xfId="2756" xr:uid="{00000000-0005-0000-0000-0000BB210000}"/>
    <cellStyle name="Note 3 3 2 8" xfId="2837" xr:uid="{00000000-0005-0000-0000-0000BC210000}"/>
    <cellStyle name="Note 3 3 2 8 2" xfId="7061" xr:uid="{00000000-0005-0000-0000-0000BD210000}"/>
    <cellStyle name="Note 3 3 2 8 2 2" xfId="15497" xr:uid="{2602BA59-17BD-4C0A-8312-52F462218644}"/>
    <cellStyle name="Note 3 3 2 8 3" xfId="11279" xr:uid="{BB5D58DD-8CE5-4BEA-8B55-D8C19FE32F6D}"/>
    <cellStyle name="Note 3 3 2 9" xfId="4916" xr:uid="{00000000-0005-0000-0000-0000BE210000}"/>
    <cellStyle name="Note 3 3 2 9 2" xfId="13352" xr:uid="{EF6413E6-FC0E-4391-B2B9-47292A2DC0D5}"/>
    <cellStyle name="Note 3 3 3" xfId="1018" xr:uid="{00000000-0005-0000-0000-0000BF210000}"/>
    <cellStyle name="Note 3 3 3 2" xfId="3250" xr:uid="{00000000-0005-0000-0000-0000C0210000}"/>
    <cellStyle name="Note 3 3 3 2 2" xfId="7473" xr:uid="{00000000-0005-0000-0000-0000C1210000}"/>
    <cellStyle name="Note 3 3 3 2 2 2" xfId="15909" xr:uid="{5EE68FFA-6B09-4263-9A50-4DA7834363E5}"/>
    <cellStyle name="Note 3 3 3 2 3" xfId="11691" xr:uid="{BD965D54-2FCE-4F02-AD43-B48B8FCA11D8}"/>
    <cellStyle name="Note 3 3 3 3" xfId="5328" xr:uid="{00000000-0005-0000-0000-0000C2210000}"/>
    <cellStyle name="Note 3 3 3 3 2" xfId="13764" xr:uid="{817987B2-DA27-4870-9D10-F1B8E362CF5D}"/>
    <cellStyle name="Note 3 3 3 4" xfId="9546" xr:uid="{53789E2C-28D9-4687-9E6B-ECB3E53A5887}"/>
    <cellStyle name="Note 3 3 4" xfId="1433" xr:uid="{00000000-0005-0000-0000-0000C3210000}"/>
    <cellStyle name="Note 3 3 4 2" xfId="3663" xr:uid="{00000000-0005-0000-0000-0000C4210000}"/>
    <cellStyle name="Note 3 3 4 2 2" xfId="7886" xr:uid="{00000000-0005-0000-0000-0000C5210000}"/>
    <cellStyle name="Note 3 3 4 2 2 2" xfId="16322" xr:uid="{D12A6793-26B5-44A1-9C09-18A0D695ED83}"/>
    <cellStyle name="Note 3 3 4 2 3" xfId="12104" xr:uid="{EE45D3A9-72AD-40EA-B46C-8841B52696A7}"/>
    <cellStyle name="Note 3 3 4 3" xfId="5741" xr:uid="{00000000-0005-0000-0000-0000C6210000}"/>
    <cellStyle name="Note 3 3 4 3 2" xfId="14177" xr:uid="{1457910F-7E45-4E27-805D-97D71A9ED4B5}"/>
    <cellStyle name="Note 3 3 4 4" xfId="9959" xr:uid="{792984C0-CD51-4D79-B1D8-B0B6B72177C6}"/>
    <cellStyle name="Note 3 3 5" xfId="1847" xr:uid="{00000000-0005-0000-0000-0000C7210000}"/>
    <cellStyle name="Note 3 3 5 2" xfId="4076" xr:uid="{00000000-0005-0000-0000-0000C8210000}"/>
    <cellStyle name="Note 3 3 5 2 2" xfId="8299" xr:uid="{00000000-0005-0000-0000-0000C9210000}"/>
    <cellStyle name="Note 3 3 5 2 2 2" xfId="16735" xr:uid="{9E55635F-3812-497B-8013-78FC852D972D}"/>
    <cellStyle name="Note 3 3 5 2 3" xfId="12517" xr:uid="{5F6720A2-0B24-4244-8583-1976B0120086}"/>
    <cellStyle name="Note 3 3 5 3" xfId="6154" xr:uid="{00000000-0005-0000-0000-0000CA210000}"/>
    <cellStyle name="Note 3 3 5 3 2" xfId="14590" xr:uid="{9FF41160-456A-4CE9-B58E-1AFE3C1ACEB3}"/>
    <cellStyle name="Note 3 3 5 4" xfId="10372" xr:uid="{FA14585B-44D6-45F5-86CD-2676D20A628D}"/>
    <cellStyle name="Note 3 3 6" xfId="2260" xr:uid="{00000000-0005-0000-0000-0000CB210000}"/>
    <cellStyle name="Note 3 3 6 2" xfId="4489" xr:uid="{00000000-0005-0000-0000-0000CC210000}"/>
    <cellStyle name="Note 3 3 6 2 2" xfId="8712" xr:uid="{00000000-0005-0000-0000-0000CD210000}"/>
    <cellStyle name="Note 3 3 6 2 2 2" xfId="17148" xr:uid="{097E4D20-19A2-4C4A-A90B-ED351EB667C1}"/>
    <cellStyle name="Note 3 3 6 2 3" xfId="12930" xr:uid="{9FED7EC4-D40F-44F5-B9A7-2750543A4D4B}"/>
    <cellStyle name="Note 3 3 6 3" xfId="6567" xr:uid="{00000000-0005-0000-0000-0000CE210000}"/>
    <cellStyle name="Note 3 3 6 3 2" xfId="15003" xr:uid="{64F02DDC-681A-4194-AC06-EDD0E2979DD5}"/>
    <cellStyle name="Note 3 3 6 4" xfId="10785" xr:uid="{C75B9D57-946F-472D-89DA-60D10DDAFF0C}"/>
    <cellStyle name="Note 3 3 7" xfId="2696" xr:uid="{00000000-0005-0000-0000-0000CF210000}"/>
    <cellStyle name="Note 3 3 7 2" xfId="6980" xr:uid="{00000000-0005-0000-0000-0000D0210000}"/>
    <cellStyle name="Note 3 3 7 2 2" xfId="15416" xr:uid="{D44BBF5C-B18F-4013-B065-3984D6808FC6}"/>
    <cellStyle name="Note 3 3 7 3" xfId="11198" xr:uid="{222DDBC7-FF99-4937-BACE-93BF15835050}"/>
    <cellStyle name="Note 3 3 8" xfId="2755" xr:uid="{00000000-0005-0000-0000-0000D1210000}"/>
    <cellStyle name="Note 3 3 9" xfId="2836" xr:uid="{00000000-0005-0000-0000-0000D2210000}"/>
    <cellStyle name="Note 3 3 9 2" xfId="7060" xr:uid="{00000000-0005-0000-0000-0000D3210000}"/>
    <cellStyle name="Note 3 3 9 2 2" xfId="15496" xr:uid="{C2FB810B-1546-4937-B466-AA626135C62F}"/>
    <cellStyle name="Note 3 3 9 3" xfId="11278" xr:uid="{CB1437F8-6E5E-4BE8-AE15-18E180813819}"/>
    <cellStyle name="Note 3 4" xfId="560" xr:uid="{00000000-0005-0000-0000-0000D4210000}"/>
    <cellStyle name="Note 3 4 10" xfId="9135" xr:uid="{502A28A0-2813-4895-AD88-C979A7302FA3}"/>
    <cellStyle name="Note 3 4 2" xfId="1020" xr:uid="{00000000-0005-0000-0000-0000D5210000}"/>
    <cellStyle name="Note 3 4 2 2" xfId="3252" xr:uid="{00000000-0005-0000-0000-0000D6210000}"/>
    <cellStyle name="Note 3 4 2 2 2" xfId="7475" xr:uid="{00000000-0005-0000-0000-0000D7210000}"/>
    <cellStyle name="Note 3 4 2 2 2 2" xfId="15911" xr:uid="{B6558ECC-7AA2-4CFB-B858-2F4432EA0C92}"/>
    <cellStyle name="Note 3 4 2 2 3" xfId="11693" xr:uid="{7A04A561-D306-4D56-965C-02E58E2766A8}"/>
    <cellStyle name="Note 3 4 2 3" xfId="5330" xr:uid="{00000000-0005-0000-0000-0000D8210000}"/>
    <cellStyle name="Note 3 4 2 3 2" xfId="13766" xr:uid="{DBD731DF-86E2-44BC-9701-84DEECD2E7DC}"/>
    <cellStyle name="Note 3 4 2 4" xfId="9548" xr:uid="{77C85621-7710-4E50-985B-54CD4DBCD80B}"/>
    <cellStyle name="Note 3 4 3" xfId="1435" xr:uid="{00000000-0005-0000-0000-0000D9210000}"/>
    <cellStyle name="Note 3 4 3 2" xfId="3665" xr:uid="{00000000-0005-0000-0000-0000DA210000}"/>
    <cellStyle name="Note 3 4 3 2 2" xfId="7888" xr:uid="{00000000-0005-0000-0000-0000DB210000}"/>
    <cellStyle name="Note 3 4 3 2 2 2" xfId="16324" xr:uid="{07D6F047-6B64-4E50-A1E5-81BD9EB77B2C}"/>
    <cellStyle name="Note 3 4 3 2 3" xfId="12106" xr:uid="{AEF996E2-CA20-4241-AF1D-835629E1B829}"/>
    <cellStyle name="Note 3 4 3 3" xfId="5743" xr:uid="{00000000-0005-0000-0000-0000DC210000}"/>
    <cellStyle name="Note 3 4 3 3 2" xfId="14179" xr:uid="{15766878-C15E-4D2B-8A62-E22298266A0C}"/>
    <cellStyle name="Note 3 4 3 4" xfId="9961" xr:uid="{AF94DE84-D45F-4CF1-B5C2-6A4EB82F7029}"/>
    <cellStyle name="Note 3 4 4" xfId="1849" xr:uid="{00000000-0005-0000-0000-0000DD210000}"/>
    <cellStyle name="Note 3 4 4 2" xfId="4078" xr:uid="{00000000-0005-0000-0000-0000DE210000}"/>
    <cellStyle name="Note 3 4 4 2 2" xfId="8301" xr:uid="{00000000-0005-0000-0000-0000DF210000}"/>
    <cellStyle name="Note 3 4 4 2 2 2" xfId="16737" xr:uid="{9D8BD66D-DF75-419C-860D-4D235FD10F8A}"/>
    <cellStyle name="Note 3 4 4 2 3" xfId="12519" xr:uid="{88180C07-CE8F-411D-9831-CF9C465AA123}"/>
    <cellStyle name="Note 3 4 4 3" xfId="6156" xr:uid="{00000000-0005-0000-0000-0000E0210000}"/>
    <cellStyle name="Note 3 4 4 3 2" xfId="14592" xr:uid="{211326DE-5F82-4C26-9AF8-3FD6B18BFDE4}"/>
    <cellStyle name="Note 3 4 4 4" xfId="10374" xr:uid="{ABBD8904-A50E-4881-ACAC-39844CA9CDDA}"/>
    <cellStyle name="Note 3 4 5" xfId="2262" xr:uid="{00000000-0005-0000-0000-0000E1210000}"/>
    <cellStyle name="Note 3 4 5 2" xfId="4491" xr:uid="{00000000-0005-0000-0000-0000E2210000}"/>
    <cellStyle name="Note 3 4 5 2 2" xfId="8714" xr:uid="{00000000-0005-0000-0000-0000E3210000}"/>
    <cellStyle name="Note 3 4 5 2 2 2" xfId="17150" xr:uid="{C7521D1D-13E4-452B-A14F-D4C832BAADC7}"/>
    <cellStyle name="Note 3 4 5 2 3" xfId="12932" xr:uid="{09A1593B-C078-4AD5-9DB6-E95F010DAC60}"/>
    <cellStyle name="Note 3 4 5 3" xfId="6569" xr:uid="{00000000-0005-0000-0000-0000E4210000}"/>
    <cellStyle name="Note 3 4 5 3 2" xfId="15005" xr:uid="{609206C3-72E9-489D-B5D7-4BD8A9110F2F}"/>
    <cellStyle name="Note 3 4 5 4" xfId="10787" xr:uid="{A0016FA1-96E8-4336-9631-1D725DBC2005}"/>
    <cellStyle name="Note 3 4 6" xfId="2698" xr:uid="{00000000-0005-0000-0000-0000E5210000}"/>
    <cellStyle name="Note 3 4 6 2" xfId="6982" xr:uid="{00000000-0005-0000-0000-0000E6210000}"/>
    <cellStyle name="Note 3 4 6 2 2" xfId="15418" xr:uid="{79DAE5BD-A8B6-4D1C-94A6-6EE54063553F}"/>
    <cellStyle name="Note 3 4 6 3" xfId="11200" xr:uid="{A9DF6303-8EFC-4FA8-B6E2-75CDFF5C1938}"/>
    <cellStyle name="Note 3 4 7" xfId="2757" xr:uid="{00000000-0005-0000-0000-0000E7210000}"/>
    <cellStyle name="Note 3 4 8" xfId="2838" xr:uid="{00000000-0005-0000-0000-0000E8210000}"/>
    <cellStyle name="Note 3 4 8 2" xfId="7062" xr:uid="{00000000-0005-0000-0000-0000E9210000}"/>
    <cellStyle name="Note 3 4 8 2 2" xfId="15498" xr:uid="{2C3ACC5E-D823-44A6-96EA-588532D0AE09}"/>
    <cellStyle name="Note 3 4 8 3" xfId="11280" xr:uid="{5109D358-F4FD-4FC7-A3AC-20F7213928E7}"/>
    <cellStyle name="Note 3 4 9" xfId="4917" xr:uid="{00000000-0005-0000-0000-0000EA210000}"/>
    <cellStyle name="Note 3 4 9 2" xfId="13353" xr:uid="{26AA44A7-F92D-49D3-B7F3-A86BE799739D}"/>
    <cellStyle name="Note 3 5" xfId="561" xr:uid="{00000000-0005-0000-0000-0000EB210000}"/>
    <cellStyle name="Note 3 5 10" xfId="9136" xr:uid="{91FBBCF8-8D5F-49D8-B935-3E92D5B0C93B}"/>
    <cellStyle name="Note 3 5 2" xfId="1021" xr:uid="{00000000-0005-0000-0000-0000EC210000}"/>
    <cellStyle name="Note 3 5 2 2" xfId="3253" xr:uid="{00000000-0005-0000-0000-0000ED210000}"/>
    <cellStyle name="Note 3 5 2 2 2" xfId="7476" xr:uid="{00000000-0005-0000-0000-0000EE210000}"/>
    <cellStyle name="Note 3 5 2 2 2 2" xfId="15912" xr:uid="{77C70629-6A74-427C-9139-57CE8FE62826}"/>
    <cellStyle name="Note 3 5 2 2 3" xfId="11694" xr:uid="{FE08375F-841C-413C-A8FF-F9A025283869}"/>
    <cellStyle name="Note 3 5 2 3" xfId="5331" xr:uid="{00000000-0005-0000-0000-0000EF210000}"/>
    <cellStyle name="Note 3 5 2 3 2" xfId="13767" xr:uid="{CB648D1C-E1D5-4BC6-A556-BEDA75C31BF2}"/>
    <cellStyle name="Note 3 5 2 4" xfId="9549" xr:uid="{A3DDD783-FD2D-40A3-84AB-38B00C6CEF03}"/>
    <cellStyle name="Note 3 5 3" xfId="1436" xr:uid="{00000000-0005-0000-0000-0000F0210000}"/>
    <cellStyle name="Note 3 5 3 2" xfId="3666" xr:uid="{00000000-0005-0000-0000-0000F1210000}"/>
    <cellStyle name="Note 3 5 3 2 2" xfId="7889" xr:uid="{00000000-0005-0000-0000-0000F2210000}"/>
    <cellStyle name="Note 3 5 3 2 2 2" xfId="16325" xr:uid="{272BE659-00D8-4735-AF0D-BF194177FDAE}"/>
    <cellStyle name="Note 3 5 3 2 3" xfId="12107" xr:uid="{49198EB9-AB0B-4FBE-91D4-B8A4C27A9F9A}"/>
    <cellStyle name="Note 3 5 3 3" xfId="5744" xr:uid="{00000000-0005-0000-0000-0000F3210000}"/>
    <cellStyle name="Note 3 5 3 3 2" xfId="14180" xr:uid="{9AC71DCF-606E-4F81-8D77-FF9E1A13E7F7}"/>
    <cellStyle name="Note 3 5 3 4" xfId="9962" xr:uid="{54BBD878-1F83-42B2-95D2-8F124B95A356}"/>
    <cellStyle name="Note 3 5 4" xfId="1850" xr:uid="{00000000-0005-0000-0000-0000F4210000}"/>
    <cellStyle name="Note 3 5 4 2" xfId="4079" xr:uid="{00000000-0005-0000-0000-0000F5210000}"/>
    <cellStyle name="Note 3 5 4 2 2" xfId="8302" xr:uid="{00000000-0005-0000-0000-0000F6210000}"/>
    <cellStyle name="Note 3 5 4 2 2 2" xfId="16738" xr:uid="{DB745369-BC87-477D-A775-44BBA0887296}"/>
    <cellStyle name="Note 3 5 4 2 3" xfId="12520" xr:uid="{562F9FB0-EF79-40E1-AD30-1FAD10721AAC}"/>
    <cellStyle name="Note 3 5 4 3" xfId="6157" xr:uid="{00000000-0005-0000-0000-0000F7210000}"/>
    <cellStyle name="Note 3 5 4 3 2" xfId="14593" xr:uid="{3C8BB654-910A-450D-9278-D593BAEE3575}"/>
    <cellStyle name="Note 3 5 4 4" xfId="10375" xr:uid="{EFBFD451-6006-468F-A069-BFCBF1D937ED}"/>
    <cellStyle name="Note 3 5 5" xfId="2263" xr:uid="{00000000-0005-0000-0000-0000F8210000}"/>
    <cellStyle name="Note 3 5 5 2" xfId="4492" xr:uid="{00000000-0005-0000-0000-0000F9210000}"/>
    <cellStyle name="Note 3 5 5 2 2" xfId="8715" xr:uid="{00000000-0005-0000-0000-0000FA210000}"/>
    <cellStyle name="Note 3 5 5 2 2 2" xfId="17151" xr:uid="{09A5F804-09C8-4431-834F-2755BB47288E}"/>
    <cellStyle name="Note 3 5 5 2 3" xfId="12933" xr:uid="{CC6D2A49-D412-423F-B813-30290FBC837D}"/>
    <cellStyle name="Note 3 5 5 3" xfId="6570" xr:uid="{00000000-0005-0000-0000-0000FB210000}"/>
    <cellStyle name="Note 3 5 5 3 2" xfId="15006" xr:uid="{083C954B-BE51-4CA7-8159-CF2488F6FB53}"/>
    <cellStyle name="Note 3 5 5 4" xfId="10788" xr:uid="{FDB4EDC5-0569-49F6-B505-7114B7E6C1FA}"/>
    <cellStyle name="Note 3 5 6" xfId="2699" xr:uid="{00000000-0005-0000-0000-0000FC210000}"/>
    <cellStyle name="Note 3 5 6 2" xfId="6983" xr:uid="{00000000-0005-0000-0000-0000FD210000}"/>
    <cellStyle name="Note 3 5 6 2 2" xfId="15419" xr:uid="{34D21CE4-B640-4991-9531-E36A8451C0EE}"/>
    <cellStyle name="Note 3 5 6 3" xfId="11201" xr:uid="{F4BEF080-5F42-4B97-BF0F-37742673D539}"/>
    <cellStyle name="Note 3 5 7" xfId="2758" xr:uid="{00000000-0005-0000-0000-0000FE210000}"/>
    <cellStyle name="Note 3 5 8" xfId="2839" xr:uid="{00000000-0005-0000-0000-0000FF210000}"/>
    <cellStyle name="Note 3 5 8 2" xfId="7063" xr:uid="{00000000-0005-0000-0000-000000220000}"/>
    <cellStyle name="Note 3 5 8 2 2" xfId="15499" xr:uid="{D522D2BE-F2FE-47C7-A181-BD56BEDAE841}"/>
    <cellStyle name="Note 3 5 8 3" xfId="11281" xr:uid="{6FD788E1-4E21-438A-AFAC-6494F1FAE559}"/>
    <cellStyle name="Note 3 5 9" xfId="4918" xr:uid="{00000000-0005-0000-0000-000001220000}"/>
    <cellStyle name="Note 3 5 9 2" xfId="13354" xr:uid="{50710474-3CF3-4099-9744-2C3CFCDADA59}"/>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37" xr:uid="{E20C8E89-054A-42D9-976D-F54E256F3304}"/>
    <cellStyle name="Percent 4" xfId="4502" xr:uid="{00000000-0005-0000-0000-000007220000}"/>
    <cellStyle name="Percent 4 2" xfId="8718" xr:uid="{00000000-0005-0000-0000-000008220000}"/>
    <cellStyle name="Percent 4 2 2" xfId="17154" xr:uid="{55151090-7F5C-4AF2-AF9F-20F72125FE39}"/>
    <cellStyle name="Percent 4 3" xfId="8721" xr:uid="{D09CD3FC-D632-4B66-A68A-5CC92F993799}"/>
    <cellStyle name="Percent 4 3 2" xfId="17157" xr:uid="{6F130FB5-AA20-416B-8F37-A51314C3F7B4}"/>
    <cellStyle name="Percent 4 4" xfId="12940" xr:uid="{9F9498AD-EB67-4D0A-B535-C863D7A5C11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6">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4" t="s">
        <v>576</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row>
    <row r="2" spans="1:38" ht="13.5" thickBot="1">
      <c r="A2" s="1245"/>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5"/>
      <c r="AA2" s="1245"/>
      <c r="AB2" s="1245"/>
      <c r="AC2" s="1245"/>
      <c r="AD2" s="1245"/>
      <c r="AE2" s="1245"/>
      <c r="AF2" s="1245"/>
      <c r="AG2" s="1245"/>
      <c r="AH2" s="1245"/>
      <c r="AI2" s="1245"/>
      <c r="AJ2" s="1245"/>
      <c r="AK2" s="1245"/>
      <c r="AL2" s="1245"/>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6" t="s">
        <v>2503</v>
      </c>
      <c r="E7" s="1246"/>
      <c r="F7" s="1246"/>
      <c r="G7" s="1246"/>
      <c r="H7" s="1246"/>
      <c r="I7" s="1246"/>
      <c r="J7" s="1246"/>
      <c r="K7" s="1246"/>
      <c r="L7" s="1246"/>
      <c r="M7" s="1246"/>
      <c r="N7" s="1246"/>
      <c r="O7" s="1246"/>
      <c r="P7" s="1246"/>
      <c r="Q7" s="1246"/>
      <c r="R7" s="1246"/>
      <c r="S7" s="1246"/>
      <c r="T7" s="1246"/>
      <c r="U7" s="1246"/>
      <c r="V7" s="1246"/>
      <c r="W7" s="1246"/>
      <c r="X7" s="1246"/>
      <c r="Y7" s="1246"/>
      <c r="Z7" s="1246"/>
      <c r="AA7" s="1246"/>
      <c r="AB7" s="1246"/>
      <c r="AC7" s="1246"/>
      <c r="AD7" s="1246"/>
      <c r="AE7" s="1246"/>
      <c r="AF7" s="1246"/>
      <c r="AG7" s="1246"/>
      <c r="AH7" s="1246"/>
      <c r="AI7" s="1246"/>
      <c r="AJ7" s="1246"/>
      <c r="AK7" s="1246"/>
      <c r="AL7" s="493"/>
    </row>
    <row r="8" spans="1:38">
      <c r="A8" s="219"/>
      <c r="B8" s="219"/>
      <c r="C8" s="220"/>
      <c r="D8" s="1246"/>
      <c r="E8" s="1246"/>
      <c r="F8" s="1246"/>
      <c r="G8" s="1246"/>
      <c r="H8" s="1246"/>
      <c r="I8" s="1246"/>
      <c r="J8" s="1246"/>
      <c r="K8" s="1246"/>
      <c r="L8" s="1246"/>
      <c r="M8" s="1246"/>
      <c r="N8" s="1246"/>
      <c r="O8" s="1246"/>
      <c r="P8" s="1246"/>
      <c r="Q8" s="1246"/>
      <c r="R8" s="1246"/>
      <c r="S8" s="1246"/>
      <c r="T8" s="1246"/>
      <c r="U8" s="1246"/>
      <c r="V8" s="1246"/>
      <c r="W8" s="1246"/>
      <c r="X8" s="1246"/>
      <c r="Y8" s="1246"/>
      <c r="Z8" s="1246"/>
      <c r="AA8" s="1246"/>
      <c r="AB8" s="1246"/>
      <c r="AC8" s="1246"/>
      <c r="AD8" s="1246"/>
      <c r="AE8" s="1246"/>
      <c r="AF8" s="1246"/>
      <c r="AG8" s="1246"/>
      <c r="AH8" s="1246"/>
      <c r="AI8" s="1246"/>
      <c r="AJ8" s="1246"/>
      <c r="AK8" s="1246"/>
      <c r="AL8" s="493"/>
    </row>
    <row r="9" spans="1:38">
      <c r="A9" s="219"/>
      <c r="B9" s="219"/>
      <c r="C9" s="220"/>
      <c r="D9" s="1246"/>
      <c r="E9" s="1246"/>
      <c r="F9" s="1246"/>
      <c r="G9" s="1246"/>
      <c r="H9" s="1246"/>
      <c r="I9" s="1246"/>
      <c r="J9" s="1246"/>
      <c r="K9" s="1246"/>
      <c r="L9" s="1246"/>
      <c r="M9" s="1246"/>
      <c r="N9" s="1246"/>
      <c r="O9" s="1246"/>
      <c r="P9" s="1246"/>
      <c r="Q9" s="1246"/>
      <c r="R9" s="1246"/>
      <c r="S9" s="1246"/>
      <c r="T9" s="1246"/>
      <c r="U9" s="1246"/>
      <c r="V9" s="1246"/>
      <c r="W9" s="1246"/>
      <c r="X9" s="1246"/>
      <c r="Y9" s="1246"/>
      <c r="Z9" s="1246"/>
      <c r="AA9" s="1246"/>
      <c r="AB9" s="1246"/>
      <c r="AC9" s="1246"/>
      <c r="AD9" s="1246"/>
      <c r="AE9" s="1246"/>
      <c r="AF9" s="1246"/>
      <c r="AG9" s="1246"/>
      <c r="AH9" s="1246"/>
      <c r="AI9" s="1246"/>
      <c r="AJ9" s="1246"/>
      <c r="AK9" s="1246"/>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6" t="s">
        <v>2504</v>
      </c>
      <c r="E11" s="1246"/>
      <c r="F11" s="1246"/>
      <c r="G11" s="1246"/>
      <c r="H11" s="1246"/>
      <c r="I11" s="1246"/>
      <c r="J11" s="1246"/>
      <c r="K11" s="1246"/>
      <c r="L11" s="1246"/>
      <c r="M11" s="1246"/>
      <c r="N11" s="1246"/>
      <c r="O11" s="1246"/>
      <c r="P11" s="1246"/>
      <c r="Q11" s="1246"/>
      <c r="R11" s="1246"/>
      <c r="S11" s="1246"/>
      <c r="T11" s="1246"/>
      <c r="U11" s="1246"/>
      <c r="V11" s="1246"/>
      <c r="W11" s="1246"/>
      <c r="X11" s="1246"/>
      <c r="Y11" s="1246"/>
      <c r="Z11" s="1246"/>
      <c r="AA11" s="1246"/>
      <c r="AB11" s="1246"/>
      <c r="AC11" s="1246"/>
      <c r="AD11" s="1246"/>
      <c r="AE11" s="1246"/>
      <c r="AF11" s="1246"/>
      <c r="AG11" s="1246"/>
      <c r="AH11" s="1246"/>
      <c r="AI11" s="1246"/>
      <c r="AJ11" s="1246"/>
      <c r="AK11" s="1246"/>
      <c r="AL11" s="493"/>
    </row>
    <row r="12" spans="1:38">
      <c r="A12" s="219"/>
      <c r="B12" s="219"/>
      <c r="C12" s="220"/>
      <c r="D12" s="1246"/>
      <c r="E12" s="1246"/>
      <c r="F12" s="1246"/>
      <c r="G12" s="1246"/>
      <c r="H12" s="1246"/>
      <c r="I12" s="1246"/>
      <c r="J12" s="1246"/>
      <c r="K12" s="1246"/>
      <c r="L12" s="1246"/>
      <c r="M12" s="1246"/>
      <c r="N12" s="1246"/>
      <c r="O12" s="1246"/>
      <c r="P12" s="1246"/>
      <c r="Q12" s="1246"/>
      <c r="R12" s="1246"/>
      <c r="S12" s="1246"/>
      <c r="T12" s="1246"/>
      <c r="U12" s="1246"/>
      <c r="V12" s="1246"/>
      <c r="W12" s="1246"/>
      <c r="X12" s="1246"/>
      <c r="Y12" s="1246"/>
      <c r="Z12" s="1246"/>
      <c r="AA12" s="1246"/>
      <c r="AB12" s="1246"/>
      <c r="AC12" s="1246"/>
      <c r="AD12" s="1246"/>
      <c r="AE12" s="1246"/>
      <c r="AF12" s="1246"/>
      <c r="AG12" s="1246"/>
      <c r="AH12" s="1246"/>
      <c r="AI12" s="1246"/>
      <c r="AJ12" s="1246"/>
      <c r="AK12" s="1246"/>
      <c r="AL12" s="493"/>
    </row>
    <row r="13" spans="1:38">
      <c r="A13" s="219"/>
      <c r="B13" s="219"/>
      <c r="C13" s="220"/>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493"/>
    </row>
    <row r="14" spans="1:38" ht="13.15" customHeight="1">
      <c r="A14" s="219"/>
      <c r="B14" s="219"/>
      <c r="C14" s="220"/>
      <c r="E14" s="1246" t="s">
        <v>2505</v>
      </c>
      <c r="F14" s="1246"/>
      <c r="G14" s="1246"/>
      <c r="H14" s="1246"/>
      <c r="I14" s="1246"/>
      <c r="J14" s="1246"/>
      <c r="K14" s="1246"/>
      <c r="L14" s="1246"/>
      <c r="M14" s="1246"/>
      <c r="N14" s="1246"/>
      <c r="O14" s="1246"/>
      <c r="P14" s="1246"/>
      <c r="Q14" s="1246"/>
      <c r="R14" s="1246"/>
      <c r="S14" s="1246"/>
      <c r="T14" s="1246"/>
      <c r="U14" s="1246"/>
      <c r="V14" s="1246"/>
      <c r="W14" s="1246"/>
      <c r="X14" s="1246"/>
      <c r="Y14" s="1246"/>
      <c r="Z14" s="1246"/>
      <c r="AA14" s="1246"/>
      <c r="AB14" s="1246"/>
      <c r="AC14" s="1246"/>
      <c r="AD14" s="1246"/>
      <c r="AE14" s="1246"/>
      <c r="AF14" s="1246"/>
      <c r="AG14" s="1246"/>
      <c r="AH14" s="1246"/>
      <c r="AI14" s="1246"/>
      <c r="AJ14" s="1246"/>
      <c r="AK14" s="1246"/>
      <c r="AL14" s="493"/>
    </row>
    <row r="15" spans="1:38" ht="13.15" customHeight="1">
      <c r="A15" s="219"/>
      <c r="B15" s="219"/>
      <c r="C15" s="220"/>
      <c r="E15" s="1246"/>
      <c r="F15" s="1246"/>
      <c r="G15" s="1246"/>
      <c r="H15" s="1246"/>
      <c r="I15" s="1246"/>
      <c r="J15" s="1246"/>
      <c r="K15" s="1246"/>
      <c r="L15" s="1246"/>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493"/>
    </row>
    <row r="16" spans="1:38">
      <c r="A16" s="219"/>
      <c r="B16" s="219"/>
      <c r="C16" s="220"/>
      <c r="D16" s="493"/>
      <c r="E16" s="1246"/>
      <c r="F16" s="1246"/>
      <c r="G16" s="1246"/>
      <c r="H16" s="1246"/>
      <c r="I16" s="1246"/>
      <c r="J16" s="1246"/>
      <c r="K16" s="1246"/>
      <c r="L16" s="1246"/>
      <c r="M16" s="1246"/>
      <c r="N16" s="1246"/>
      <c r="O16" s="1246"/>
      <c r="P16" s="1246"/>
      <c r="Q16" s="1246"/>
      <c r="R16" s="1246"/>
      <c r="S16" s="1246"/>
      <c r="T16" s="1246"/>
      <c r="U16" s="1246"/>
      <c r="V16" s="1246"/>
      <c r="W16" s="1246"/>
      <c r="X16" s="1246"/>
      <c r="Y16" s="1246"/>
      <c r="Z16" s="1246"/>
      <c r="AA16" s="1246"/>
      <c r="AB16" s="1246"/>
      <c r="AC16" s="1246"/>
      <c r="AD16" s="1246"/>
      <c r="AE16" s="1246"/>
      <c r="AF16" s="1246"/>
      <c r="AG16" s="1246"/>
      <c r="AH16" s="1246"/>
      <c r="AI16" s="1246"/>
      <c r="AJ16" s="1246"/>
      <c r="AK16" s="1246"/>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46" t="s">
        <v>2506</v>
      </c>
      <c r="E18" s="1246"/>
      <c r="F18" s="1246"/>
      <c r="G18" s="1246"/>
      <c r="H18" s="1246"/>
      <c r="I18" s="1246"/>
      <c r="J18" s="1246"/>
      <c r="K18" s="1246"/>
      <c r="L18" s="1246"/>
      <c r="M18" s="1246"/>
      <c r="N18" s="1246"/>
      <c r="O18" s="1246"/>
      <c r="P18" s="1246"/>
      <c r="Q18" s="1246"/>
      <c r="R18" s="1246"/>
      <c r="S18" s="1246"/>
      <c r="T18" s="1246"/>
      <c r="U18" s="1246"/>
      <c r="V18" s="1246"/>
      <c r="W18" s="1246"/>
      <c r="X18" s="1246"/>
      <c r="Y18" s="1246"/>
      <c r="Z18" s="1246"/>
      <c r="AA18" s="1246"/>
      <c r="AB18" s="1246"/>
      <c r="AC18" s="1246"/>
      <c r="AD18" s="1246"/>
      <c r="AE18" s="1246"/>
      <c r="AF18" s="1246"/>
      <c r="AG18" s="1246"/>
      <c r="AH18" s="1246"/>
      <c r="AI18" s="1246"/>
      <c r="AJ18" s="1246"/>
      <c r="AK18" s="1246"/>
      <c r="AL18" s="219"/>
    </row>
    <row r="19" spans="1:38">
      <c r="A19" s="219"/>
      <c r="B19" s="219"/>
      <c r="C19" s="220"/>
      <c r="D19" s="1246"/>
      <c r="E19" s="1246"/>
      <c r="F19" s="1246"/>
      <c r="G19" s="1246"/>
      <c r="H19" s="1246"/>
      <c r="I19" s="1246"/>
      <c r="J19" s="1246"/>
      <c r="K19" s="1246"/>
      <c r="L19" s="1246"/>
      <c r="M19" s="1246"/>
      <c r="N19" s="1246"/>
      <c r="O19" s="1246"/>
      <c r="P19" s="1246"/>
      <c r="Q19" s="1246"/>
      <c r="R19" s="1246"/>
      <c r="S19" s="1246"/>
      <c r="T19" s="1246"/>
      <c r="U19" s="1246"/>
      <c r="V19" s="1246"/>
      <c r="W19" s="1246"/>
      <c r="X19" s="1246"/>
      <c r="Y19" s="1246"/>
      <c r="Z19" s="1246"/>
      <c r="AA19" s="1246"/>
      <c r="AB19" s="1246"/>
      <c r="AC19" s="1246"/>
      <c r="AD19" s="1246"/>
      <c r="AE19" s="1246"/>
      <c r="AF19" s="1246"/>
      <c r="AG19" s="1246"/>
      <c r="AH19" s="1246"/>
      <c r="AI19" s="1246"/>
      <c r="AJ19" s="1246"/>
      <c r="AK19" s="1246"/>
      <c r="AL19" s="219"/>
    </row>
    <row r="20" spans="1:38">
      <c r="A20" s="219"/>
      <c r="B20" s="219"/>
      <c r="C20" s="220"/>
      <c r="D20" s="1246"/>
      <c r="E20" s="1246"/>
      <c r="F20" s="1246"/>
      <c r="G20" s="1246"/>
      <c r="H20" s="1246"/>
      <c r="I20" s="1246"/>
      <c r="J20" s="1246"/>
      <c r="K20" s="1246"/>
      <c r="L20" s="1246"/>
      <c r="M20" s="1246"/>
      <c r="N20" s="1246"/>
      <c r="O20" s="1246"/>
      <c r="P20" s="1246"/>
      <c r="Q20" s="1246"/>
      <c r="R20" s="1246"/>
      <c r="S20" s="1246"/>
      <c r="T20" s="1246"/>
      <c r="U20" s="1246"/>
      <c r="V20" s="1246"/>
      <c r="W20" s="1246"/>
      <c r="X20" s="1246"/>
      <c r="Y20" s="1246"/>
      <c r="Z20" s="1246"/>
      <c r="AA20" s="1246"/>
      <c r="AB20" s="1246"/>
      <c r="AC20" s="1246"/>
      <c r="AD20" s="1246"/>
      <c r="AE20" s="1246"/>
      <c r="AF20" s="1246"/>
      <c r="AG20" s="1246"/>
      <c r="AH20" s="1246"/>
      <c r="AI20" s="1246"/>
      <c r="AJ20" s="1246"/>
      <c r="AK20" s="1246"/>
      <c r="AL20" s="219"/>
    </row>
    <row r="21" spans="1:38" ht="13.15" customHeight="1">
      <c r="A21" s="219"/>
      <c r="B21" s="219"/>
      <c r="C21" s="220"/>
      <c r="D21" s="1246"/>
      <c r="E21" s="1246"/>
      <c r="F21" s="1246"/>
      <c r="G21" s="1246"/>
      <c r="H21" s="1246"/>
      <c r="I21" s="1246"/>
      <c r="J21" s="1246"/>
      <c r="K21" s="1246"/>
      <c r="L21" s="1246"/>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219"/>
    </row>
    <row r="22" spans="1:38">
      <c r="A22" s="219"/>
      <c r="B22" s="219"/>
      <c r="C22" s="220"/>
      <c r="D22" s="1246"/>
      <c r="E22" s="1246"/>
      <c r="F22" s="1246"/>
      <c r="G22" s="1246"/>
      <c r="H22" s="1246"/>
      <c r="I22" s="1246"/>
      <c r="J22" s="1246"/>
      <c r="K22" s="1246"/>
      <c r="L22" s="1246"/>
      <c r="M22" s="1246"/>
      <c r="N22" s="1246"/>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219"/>
    </row>
    <row r="23" spans="1:38">
      <c r="A23" s="219"/>
      <c r="B23" s="219"/>
      <c r="C23" s="220"/>
      <c r="D23" s="1246"/>
      <c r="E23" s="1246"/>
      <c r="F23" s="1246"/>
      <c r="G23" s="1246"/>
      <c r="H23" s="1246"/>
      <c r="I23" s="1246"/>
      <c r="J23" s="1246"/>
      <c r="K23" s="1246"/>
      <c r="L23" s="1246"/>
      <c r="M23" s="1246"/>
      <c r="N23" s="1246"/>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219"/>
    </row>
    <row r="24" spans="1:38">
      <c r="A24" s="219"/>
      <c r="B24" s="219"/>
      <c r="C24" s="220"/>
      <c r="D24" s="1246"/>
      <c r="E24" s="1246"/>
      <c r="F24" s="1246"/>
      <c r="G24" s="1246"/>
      <c r="H24" s="1246"/>
      <c r="I24" s="1246"/>
      <c r="J24" s="1246"/>
      <c r="K24" s="1246"/>
      <c r="L24" s="1246"/>
      <c r="M24" s="1246"/>
      <c r="N24" s="1246"/>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c r="AL24" s="219"/>
    </row>
    <row r="25" spans="1:38">
      <c r="A25" s="219"/>
      <c r="B25" s="219"/>
      <c r="C25" s="220"/>
      <c r="D25" s="1246"/>
      <c r="E25" s="1246"/>
      <c r="F25" s="1246"/>
      <c r="G25" s="1246"/>
      <c r="H25" s="1246"/>
      <c r="I25" s="1246"/>
      <c r="J25" s="1246"/>
      <c r="K25" s="1246"/>
      <c r="L25" s="1246"/>
      <c r="M25" s="1246"/>
      <c r="N25" s="1246"/>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219"/>
    </row>
    <row r="26" spans="1:38">
      <c r="A26" s="219"/>
      <c r="B26" s="219"/>
      <c r="C26" s="220"/>
      <c r="D26" s="1246"/>
      <c r="E26" s="1246"/>
      <c r="F26" s="1246"/>
      <c r="G26" s="1246"/>
      <c r="H26" s="1246"/>
      <c r="I26" s="1246"/>
      <c r="J26" s="1246"/>
      <c r="K26" s="1246"/>
      <c r="L26" s="1246"/>
      <c r="M26" s="1246"/>
      <c r="N26" s="1246"/>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219"/>
    </row>
    <row r="27" spans="1:38" ht="11.85" customHeight="1">
      <c r="A27" s="219"/>
      <c r="B27" s="219"/>
      <c r="C27" s="220"/>
      <c r="D27" s="1246"/>
      <c r="E27" s="1246"/>
      <c r="F27" s="1246"/>
      <c r="G27" s="1246"/>
      <c r="H27" s="1246"/>
      <c r="I27" s="1246"/>
      <c r="J27" s="1246"/>
      <c r="K27" s="1246"/>
      <c r="L27" s="1246"/>
      <c r="M27" s="1246"/>
      <c r="N27" s="1246"/>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219"/>
    </row>
    <row r="28" spans="1:38" ht="13.15" customHeight="1">
      <c r="A28" s="219"/>
      <c r="B28" s="219"/>
      <c r="C28" s="220"/>
      <c r="E28" s="1246" t="s">
        <v>2507</v>
      </c>
      <c r="F28" s="1246"/>
      <c r="G28" s="1246"/>
      <c r="H28" s="1246"/>
      <c r="I28" s="1246"/>
      <c r="J28" s="1246"/>
      <c r="K28" s="1246"/>
      <c r="L28" s="1246"/>
      <c r="M28" s="1246"/>
      <c r="N28" s="1246"/>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219"/>
    </row>
    <row r="29" spans="1:38" ht="13.15" customHeight="1">
      <c r="A29" s="219"/>
      <c r="B29" s="219"/>
      <c r="C29" s="220"/>
      <c r="E29" s="1246"/>
      <c r="F29" s="1246"/>
      <c r="G29" s="1246"/>
      <c r="H29" s="1246"/>
      <c r="I29" s="1246"/>
      <c r="J29" s="1246"/>
      <c r="K29" s="1246"/>
      <c r="L29" s="1246"/>
      <c r="M29" s="1246"/>
      <c r="N29" s="1246"/>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219"/>
    </row>
    <row r="30" spans="1:38">
      <c r="A30" s="219"/>
      <c r="B30" s="219"/>
      <c r="C30" s="220"/>
      <c r="D30" s="493"/>
      <c r="E30" s="1246"/>
      <c r="F30" s="1246"/>
      <c r="G30" s="1246"/>
      <c r="H30" s="1246"/>
      <c r="I30" s="1246"/>
      <c r="J30" s="1246"/>
      <c r="K30" s="1246"/>
      <c r="L30" s="1246"/>
      <c r="M30" s="1246"/>
      <c r="N30" s="1246"/>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46" t="s">
        <v>2508</v>
      </c>
      <c r="E32" s="1246"/>
      <c r="F32" s="1246"/>
      <c r="G32" s="1246"/>
      <c r="H32" s="1246"/>
      <c r="I32" s="1246"/>
      <c r="J32" s="1246"/>
      <c r="K32" s="1246"/>
      <c r="L32" s="1246"/>
      <c r="M32" s="1246"/>
      <c r="N32" s="1246"/>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219"/>
    </row>
    <row r="33" spans="1:38">
      <c r="A33" s="219"/>
      <c r="B33" s="219"/>
      <c r="C33" s="220"/>
      <c r="D33" s="493"/>
      <c r="E33" s="1253" t="s">
        <v>2515</v>
      </c>
      <c r="F33" s="1253"/>
      <c r="G33" s="1253"/>
      <c r="H33" s="1253"/>
      <c r="I33" s="1253"/>
      <c r="J33" s="1253"/>
      <c r="K33" s="1253"/>
      <c r="L33" s="1253"/>
      <c r="M33" s="1253"/>
      <c r="N33" s="1253"/>
      <c r="O33" s="1253"/>
      <c r="P33" s="1253"/>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219"/>
    </row>
    <row r="34" spans="1:38">
      <c r="A34" s="4"/>
      <c r="C34" s="2"/>
    </row>
    <row r="35" spans="1:38">
      <c r="A35" s="4"/>
      <c r="D35" s="1247" t="s">
        <v>2197</v>
      </c>
      <c r="E35" s="1247"/>
      <c r="F35" s="1247"/>
      <c r="G35" s="1247"/>
      <c r="H35" s="1247"/>
      <c r="I35" s="1247"/>
      <c r="J35" s="1247"/>
      <c r="K35" s="1247"/>
      <c r="L35" s="1247"/>
      <c r="M35" s="1247"/>
      <c r="N35" s="1247"/>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c r="AK35" s="1247"/>
    </row>
    <row r="36" spans="1:38">
      <c r="A36" s="4"/>
      <c r="D36" s="1247"/>
      <c r="E36" s="1247"/>
      <c r="F36" s="1247"/>
      <c r="G36" s="1247"/>
      <c r="H36" s="1247"/>
      <c r="I36" s="1247"/>
      <c r="J36" s="1247"/>
      <c r="K36" s="1247"/>
      <c r="L36" s="1247"/>
      <c r="M36" s="1247"/>
      <c r="N36" s="1247"/>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7"/>
    </row>
    <row r="37" spans="1:38">
      <c r="A37" s="4"/>
      <c r="D37" s="120"/>
      <c r="E37" s="1252" t="s">
        <v>2516</v>
      </c>
      <c r="F37" s="1252"/>
      <c r="G37" s="1252"/>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1252"/>
      <c r="AE37" s="1252"/>
      <c r="AF37" s="1252"/>
      <c r="AG37" s="1252"/>
      <c r="AH37" s="1252"/>
      <c r="AI37" s="1252"/>
      <c r="AJ37" s="1252"/>
      <c r="AK37" s="1252"/>
    </row>
    <row r="38" spans="1:38">
      <c r="A38" s="4"/>
      <c r="D38" s="120"/>
      <c r="E38" s="1252" t="s">
        <v>2517</v>
      </c>
      <c r="F38" s="1252"/>
      <c r="G38" s="1252"/>
      <c r="H38" s="1252"/>
      <c r="I38" s="1252"/>
      <c r="J38" s="1252"/>
      <c r="K38" s="1252"/>
      <c r="L38" s="1252"/>
      <c r="M38" s="1252"/>
      <c r="N38" s="1252"/>
      <c r="O38" s="1252"/>
      <c r="P38" s="1252"/>
      <c r="Q38" s="1252"/>
      <c r="R38" s="1252"/>
      <c r="S38" s="1252"/>
      <c r="T38" s="1252"/>
      <c r="U38" s="1252"/>
      <c r="V38" s="1252"/>
      <c r="W38" s="1252"/>
      <c r="X38" s="1252"/>
      <c r="Y38" s="1252"/>
      <c r="Z38" s="1252"/>
      <c r="AA38" s="1252"/>
      <c r="AB38" s="1252"/>
      <c r="AC38" s="1252"/>
      <c r="AD38" s="1252"/>
      <c r="AE38" s="1252"/>
      <c r="AF38" s="1252"/>
      <c r="AG38" s="1252"/>
      <c r="AH38" s="1252"/>
      <c r="AI38" s="1252"/>
      <c r="AJ38" s="1252"/>
      <c r="AK38" s="125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6" customFormat="1" ht="13.15" customHeight="1">
      <c r="A42" s="4"/>
      <c r="B42"/>
      <c r="C42" s="2"/>
      <c r="D42" s="4"/>
      <c r="E42" s="4" t="s">
        <v>680</v>
      </c>
      <c r="F42" s="1246" t="s">
        <v>1329</v>
      </c>
    </row>
    <row r="43" spans="1:38" s="1246" customFormat="1" ht="13.1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355</v>
      </c>
      <c r="F45" s="1250" t="s">
        <v>1425</v>
      </c>
      <c r="G45" s="1250"/>
      <c r="H45" s="1250"/>
      <c r="I45" s="1250"/>
      <c r="J45" s="1250"/>
      <c r="K45" s="1250"/>
      <c r="L45" s="1250"/>
      <c r="M45" s="1250"/>
      <c r="N45" s="1250"/>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row>
    <row r="46" spans="1:38" s="118" customFormat="1">
      <c r="A46" s="4"/>
      <c r="B46"/>
      <c r="C46" s="2"/>
      <c r="D46" s="4"/>
      <c r="E46" s="4"/>
      <c r="F46" s="1250"/>
      <c r="G46" s="1250"/>
      <c r="H46" s="1250"/>
      <c r="I46" s="1250"/>
      <c r="J46" s="1250"/>
      <c r="K46" s="1250"/>
      <c r="L46" s="1250"/>
      <c r="M46" s="1250"/>
      <c r="N46" s="1250"/>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row>
    <row r="47" spans="1:38" s="118" customFormat="1" ht="13.15" customHeight="1">
      <c r="A47" s="4"/>
      <c r="B47"/>
      <c r="C47" s="2"/>
      <c r="D47" s="4"/>
      <c r="E47" s="4"/>
      <c r="F47" s="1250"/>
      <c r="G47" s="1250"/>
      <c r="H47" s="1250"/>
      <c r="I47" s="1250"/>
      <c r="J47" s="1250"/>
      <c r="K47" s="1250"/>
      <c r="L47" s="1250"/>
      <c r="M47" s="1250"/>
      <c r="N47" s="1250"/>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row>
    <row r="48" spans="1:38">
      <c r="A48" s="4"/>
      <c r="C48" s="2"/>
      <c r="D48" s="4"/>
      <c r="E48" s="4"/>
      <c r="F48" s="118" t="s">
        <v>715</v>
      </c>
      <c r="G48" s="3" t="s">
        <v>2509</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6" t="s">
        <v>2510</v>
      </c>
      <c r="G50" s="1246"/>
      <c r="H50" s="1246"/>
      <c r="I50" s="1246"/>
      <c r="J50" s="1246"/>
      <c r="K50" s="1246"/>
      <c r="L50" s="1246"/>
      <c r="M50" s="1246"/>
      <c r="N50" s="1246"/>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row>
    <row r="51" spans="1:38">
      <c r="A51" s="4"/>
      <c r="C51" s="2"/>
      <c r="D51" s="4"/>
      <c r="E51" s="4"/>
      <c r="F51" s="1246"/>
      <c r="G51" s="1246"/>
      <c r="H51" s="1246"/>
      <c r="I51" s="1246"/>
      <c r="J51" s="1246"/>
      <c r="K51" s="1246"/>
      <c r="L51" s="1246"/>
      <c r="M51" s="1246"/>
      <c r="N51" s="1246"/>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row>
    <row r="52" spans="1:38">
      <c r="A52" s="4"/>
      <c r="C52" s="2"/>
      <c r="D52" s="4"/>
      <c r="F52" s="1246"/>
      <c r="G52" s="1246"/>
      <c r="H52" s="1246"/>
      <c r="I52" s="1246"/>
      <c r="J52" s="1246"/>
      <c r="K52" s="1246"/>
      <c r="L52" s="1246"/>
      <c r="M52" s="1246"/>
      <c r="N52" s="1246"/>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8" t="s">
        <v>1356</v>
      </c>
      <c r="H56" s="1248"/>
      <c r="I56" s="1248"/>
      <c r="J56" s="1248"/>
      <c r="K56" s="1248"/>
      <c r="L56" s="1248"/>
      <c r="M56" s="1248"/>
      <c r="N56" s="1248"/>
      <c r="O56" s="1248"/>
      <c r="P56" s="1248"/>
      <c r="Q56" s="1248"/>
      <c r="R56" s="1248"/>
      <c r="S56" s="1248"/>
      <c r="T56" s="1248"/>
      <c r="U56" s="1248"/>
      <c r="V56" s="1248"/>
      <c r="W56" s="1248"/>
      <c r="X56" s="1248"/>
      <c r="Y56" s="1248"/>
      <c r="Z56" s="1248"/>
      <c r="AA56" s="1248"/>
      <c r="AB56" s="1248"/>
      <c r="AC56" s="1248"/>
      <c r="AD56" s="1248"/>
      <c r="AE56" s="1248"/>
      <c r="AF56" s="1248"/>
      <c r="AG56" s="1248"/>
      <c r="AH56" s="1248"/>
      <c r="AI56" s="1248"/>
      <c r="AJ56" s="1248"/>
      <c r="AK56" s="1248"/>
      <c r="AL56" s="219"/>
    </row>
    <row r="57" spans="1:38" ht="13.15"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8" t="s">
        <v>602</v>
      </c>
      <c r="H58" s="1248"/>
      <c r="I58" s="1248"/>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535</v>
      </c>
      <c r="G59" s="1248" t="s">
        <v>2511</v>
      </c>
      <c r="H59" s="1248"/>
      <c r="I59" s="1248"/>
      <c r="J59" s="1248"/>
      <c r="K59" s="1248"/>
      <c r="L59" s="1248"/>
      <c r="M59" s="1248"/>
      <c r="N59" s="1248"/>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c r="AL59" s="1248"/>
    </row>
    <row r="60" spans="1:38">
      <c r="A60" s="219"/>
      <c r="B60" s="219"/>
      <c r="C60" s="220"/>
      <c r="D60" s="220"/>
      <c r="E60" s="219"/>
      <c r="F60" s="221"/>
      <c r="G60" s="1248"/>
      <c r="H60" s="1248"/>
      <c r="I60" s="1248"/>
      <c r="J60" s="1248"/>
      <c r="K60" s="1248"/>
      <c r="L60" s="1248"/>
      <c r="M60" s="1248"/>
      <c r="N60" s="1248"/>
      <c r="O60" s="1248"/>
      <c r="P60" s="1248"/>
      <c r="Q60" s="1248"/>
      <c r="R60" s="1248"/>
      <c r="S60" s="1248"/>
      <c r="T60" s="1248"/>
      <c r="U60" s="1248"/>
      <c r="V60" s="1248"/>
      <c r="W60" s="1248"/>
      <c r="X60" s="1248"/>
      <c r="Y60" s="1248"/>
      <c r="Z60" s="1248"/>
      <c r="AA60" s="1248"/>
      <c r="AB60" s="1248"/>
      <c r="AC60" s="1248"/>
      <c r="AD60" s="1248"/>
      <c r="AE60" s="1248"/>
      <c r="AF60" s="1248"/>
      <c r="AG60" s="1248"/>
      <c r="AH60" s="1248"/>
      <c r="AI60" s="1248"/>
      <c r="AJ60" s="1248"/>
      <c r="AK60" s="1248"/>
      <c r="AL60" s="1248"/>
    </row>
    <row r="61" spans="1:38">
      <c r="A61" s="219"/>
      <c r="B61" s="219"/>
      <c r="C61" s="220"/>
      <c r="D61" s="220"/>
      <c r="E61" s="219"/>
      <c r="F61" s="221"/>
      <c r="G61" s="517" t="s">
        <v>1467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6" t="s">
        <v>1331</v>
      </c>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row>
    <row r="67" spans="1:37">
      <c r="A67" s="4"/>
      <c r="C67" s="2"/>
      <c r="D67" s="4"/>
      <c r="E67" s="4"/>
      <c r="G67" s="1246"/>
      <c r="H67" s="1246"/>
      <c r="I67" s="1246"/>
      <c r="J67" s="1246"/>
      <c r="K67" s="1246"/>
      <c r="L67" s="1246"/>
      <c r="M67" s="1246"/>
      <c r="N67" s="1246"/>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row>
    <row r="68" spans="1:37">
      <c r="A68" s="4"/>
      <c r="C68" s="2"/>
      <c r="D68" s="4"/>
      <c r="E68" s="4"/>
      <c r="G68" s="1246"/>
      <c r="H68" s="1246"/>
      <c r="I68" s="1246"/>
      <c r="J68" s="1246"/>
      <c r="K68" s="1246"/>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row>
    <row r="69" spans="1:37" ht="13.15" customHeight="1">
      <c r="A69" s="4"/>
      <c r="C69" s="2"/>
      <c r="D69" s="4"/>
      <c r="E69" s="4"/>
      <c r="F69" t="s">
        <v>535</v>
      </c>
      <c r="G69" s="1246" t="s">
        <v>1332</v>
      </c>
      <c r="H69" s="1246"/>
      <c r="I69" s="1246"/>
      <c r="J69" s="1246"/>
      <c r="K69" s="1246"/>
      <c r="L69" s="1246"/>
      <c r="M69" s="1246"/>
      <c r="N69" s="1246"/>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row>
    <row r="70" spans="1:37">
      <c r="A70" s="4"/>
      <c r="C70" s="2"/>
      <c r="D70" s="4"/>
      <c r="E70" s="4"/>
      <c r="F70" s="27"/>
      <c r="G70" s="1246"/>
      <c r="H70" s="1246"/>
      <c r="I70" s="1246"/>
      <c r="J70" s="1246"/>
      <c r="K70" s="1246"/>
      <c r="L70" s="1246"/>
      <c r="M70" s="1246"/>
      <c r="N70" s="1246"/>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6" t="s">
        <v>1333</v>
      </c>
      <c r="H72" s="1246"/>
      <c r="I72" s="1246"/>
      <c r="J72" s="1246"/>
      <c r="K72" s="1246"/>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row>
    <row r="73" spans="1:37">
      <c r="A73" s="4"/>
      <c r="C73" s="2"/>
      <c r="D73" s="4"/>
      <c r="E73" s="4"/>
      <c r="F73" s="8"/>
      <c r="G73" s="1246"/>
      <c r="H73" s="1246"/>
      <c r="I73" s="1246"/>
      <c r="J73" s="1246"/>
      <c r="K73" s="1246"/>
      <c r="L73" s="1246"/>
      <c r="M73" s="1246"/>
      <c r="N73" s="1246"/>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row>
    <row r="74" spans="1:37">
      <c r="A74" s="4"/>
      <c r="C74" s="2"/>
      <c r="D74" s="4"/>
      <c r="E74" s="4"/>
      <c r="F74" s="8" t="s">
        <v>535</v>
      </c>
      <c r="G74" s="1246" t="s">
        <v>1334</v>
      </c>
      <c r="H74" s="1246"/>
      <c r="I74" s="1246"/>
      <c r="J74" s="1246"/>
      <c r="K74" s="1246"/>
      <c r="L74" s="1246"/>
      <c r="M74" s="1246"/>
      <c r="N74" s="1246"/>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row>
    <row r="75" spans="1:37">
      <c r="A75" s="4"/>
      <c r="C75" s="2"/>
      <c r="D75" s="4"/>
      <c r="E75" s="4"/>
      <c r="F75" s="8"/>
      <c r="G75" s="1246"/>
      <c r="H75" s="1246"/>
      <c r="I75" s="1246"/>
      <c r="J75" s="1246"/>
      <c r="K75" s="1246"/>
      <c r="L75" s="1246"/>
      <c r="M75" s="1246"/>
      <c r="N75" s="1246"/>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6" t="s">
        <v>1335</v>
      </c>
      <c r="H82" s="1246"/>
      <c r="I82" s="1246"/>
      <c r="J82" s="1246"/>
      <c r="K82" s="1246"/>
      <c r="L82" s="1246"/>
      <c r="M82" s="1246"/>
      <c r="N82" s="1246"/>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row>
    <row r="83" spans="1:37">
      <c r="A83" s="4"/>
      <c r="C83" s="2"/>
      <c r="D83" s="4"/>
      <c r="E83" s="4"/>
      <c r="F83" s="4"/>
      <c r="G83" s="1246"/>
      <c r="H83" s="1246"/>
      <c r="I83" s="1246"/>
      <c r="J83" s="1246"/>
      <c r="K83" s="1246"/>
      <c r="L83" s="1246"/>
      <c r="M83" s="1246"/>
      <c r="N83" s="1246"/>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row>
    <row r="84" spans="1:37">
      <c r="A84" s="4"/>
      <c r="C84" s="2"/>
      <c r="D84" s="4"/>
      <c r="E84" s="4"/>
      <c r="F84" s="4"/>
      <c r="G84" s="1246"/>
      <c r="H84" s="1246"/>
      <c r="I84" s="1246"/>
      <c r="J84" s="1246"/>
      <c r="K84" s="1246"/>
      <c r="L84" s="1246"/>
      <c r="M84" s="1246"/>
      <c r="N84" s="1246"/>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6" t="s">
        <v>1336</v>
      </c>
      <c r="H86" s="1246"/>
      <c r="I86" s="1246"/>
      <c r="J86" s="1246"/>
      <c r="K86" s="1246"/>
      <c r="L86" s="1246"/>
      <c r="M86" s="1246"/>
      <c r="N86" s="1246"/>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row>
    <row r="87" spans="1:37">
      <c r="A87" s="4"/>
      <c r="C87" s="2"/>
      <c r="D87" s="4"/>
      <c r="E87" s="4"/>
      <c r="F87" s="4"/>
      <c r="G87" s="1246"/>
      <c r="H87" s="1246"/>
      <c r="I87" s="1246"/>
      <c r="J87" s="1246"/>
      <c r="K87" s="1246"/>
      <c r="L87" s="1246"/>
      <c r="M87" s="1246"/>
      <c r="N87" s="1246"/>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row>
    <row r="88" spans="1:37">
      <c r="A88" s="4"/>
      <c r="C88" s="2"/>
      <c r="D88" s="4"/>
      <c r="E88" s="4"/>
      <c r="G88" s="1246"/>
      <c r="H88" s="1246"/>
      <c r="I88" s="1246"/>
      <c r="J88" s="1246"/>
      <c r="K88" s="1246"/>
      <c r="L88" s="1246"/>
      <c r="M88" s="1246"/>
      <c r="N88" s="1246"/>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54" t="s">
        <v>1337</v>
      </c>
      <c r="H90" s="1254"/>
      <c r="I90" s="1254"/>
      <c r="J90" s="1254"/>
      <c r="K90" s="1254"/>
      <c r="L90" s="1254"/>
      <c r="M90" s="1254"/>
      <c r="N90" s="1254"/>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row>
    <row r="91" spans="1:37">
      <c r="A91" s="4"/>
      <c r="C91" s="2"/>
      <c r="D91" s="4"/>
      <c r="E91" s="4"/>
      <c r="G91" s="1254"/>
      <c r="H91" s="1254"/>
      <c r="I91" s="1254"/>
      <c r="J91" s="1254"/>
      <c r="K91" s="1254"/>
      <c r="L91" s="1254"/>
      <c r="M91" s="1254"/>
      <c r="N91" s="1254"/>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row>
    <row r="92" spans="1:37">
      <c r="A92" s="4"/>
      <c r="C92" s="2"/>
      <c r="D92" s="4"/>
      <c r="E92" s="4"/>
      <c r="G92" s="1254"/>
      <c r="H92" s="1254"/>
      <c r="I92" s="1254"/>
      <c r="J92" s="1254"/>
      <c r="K92" s="1254"/>
      <c r="L92" s="1254"/>
      <c r="M92" s="1254"/>
      <c r="N92" s="1254"/>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6" t="s">
        <v>1338</v>
      </c>
      <c r="H94" s="1246"/>
      <c r="I94" s="1246"/>
      <c r="J94" s="1246"/>
      <c r="K94" s="1246"/>
      <c r="L94" s="1246"/>
      <c r="M94" s="1246"/>
      <c r="N94" s="1246"/>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row>
    <row r="95" spans="1:37">
      <c r="A95" s="4"/>
      <c r="C95" s="2"/>
      <c r="D95" s="4"/>
      <c r="E95" s="4"/>
      <c r="G95" s="1246"/>
      <c r="H95" s="1246"/>
      <c r="I95" s="1246"/>
      <c r="J95" s="1246"/>
      <c r="K95" s="1246"/>
      <c r="L95" s="1246"/>
      <c r="M95" s="1246"/>
      <c r="N95" s="1246"/>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6" t="s">
        <v>1339</v>
      </c>
      <c r="H97" s="1246"/>
      <c r="I97" s="1246"/>
      <c r="J97" s="1246"/>
      <c r="K97" s="1246"/>
      <c r="L97" s="1246"/>
      <c r="M97" s="1246"/>
      <c r="N97" s="1246"/>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row>
    <row r="98" spans="1:38">
      <c r="A98" s="4"/>
      <c r="C98" s="2"/>
      <c r="D98" s="4"/>
      <c r="E98" s="4"/>
      <c r="G98" s="1246"/>
      <c r="H98" s="1246"/>
      <c r="I98" s="1246"/>
      <c r="J98" s="1246"/>
      <c r="K98" s="1246"/>
      <c r="L98" s="1246"/>
      <c r="M98" s="1246"/>
      <c r="N98" s="1246"/>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row>
    <row r="99" spans="1:38">
      <c r="A99" s="4"/>
      <c r="C99" s="2"/>
      <c r="D99" s="4"/>
      <c r="E99" s="4"/>
      <c r="G99" s="1246"/>
      <c r="H99" s="1246"/>
      <c r="I99" s="1246"/>
      <c r="J99" s="1246"/>
      <c r="K99" s="1246"/>
      <c r="L99" s="1246"/>
      <c r="M99" s="1246"/>
      <c r="N99" s="1246"/>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row>
    <row r="100" spans="1:38">
      <c r="A100" s="4"/>
      <c r="D100" s="99"/>
      <c r="E100" s="1255" t="s">
        <v>1340</v>
      </c>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row>
    <row r="101" spans="1:38">
      <c r="A101" s="4"/>
      <c r="D101" s="99"/>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1379</v>
      </c>
      <c r="F138" s="4"/>
    </row>
    <row r="139" spans="4:37">
      <c r="F139" s="4"/>
    </row>
    <row r="140" spans="4:37">
      <c r="D140" s="2" t="s">
        <v>309</v>
      </c>
      <c r="E140" s="2" t="s">
        <v>2512</v>
      </c>
      <c r="F140" s="2"/>
      <c r="G140" s="2"/>
      <c r="H140" s="2"/>
    </row>
    <row r="141" spans="4:37">
      <c r="E141" t="s">
        <v>117</v>
      </c>
      <c r="F141" t="s">
        <v>55</v>
      </c>
    </row>
    <row r="142" spans="4:37">
      <c r="E142" t="s">
        <v>118</v>
      </c>
      <c r="F142" t="s">
        <v>492</v>
      </c>
    </row>
    <row r="143" spans="4:37"/>
    <row r="144" spans="4:37">
      <c r="D144" s="2" t="s">
        <v>446</v>
      </c>
      <c r="E144" s="2" t="s">
        <v>2513</v>
      </c>
    </row>
    <row r="145" spans="3:7">
      <c r="E145" s="219" t="s">
        <v>2514</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6" t="s">
        <v>1341</v>
      </c>
      <c r="H207" s="1246"/>
      <c r="I207" s="1246"/>
      <c r="J207" s="1246"/>
      <c r="K207" s="1246"/>
      <c r="L207" s="1246"/>
      <c r="M207" s="1246"/>
      <c r="N207" s="1246"/>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row>
    <row r="208" spans="2:37">
      <c r="B208" s="4"/>
      <c r="C208" s="4"/>
      <c r="D208" s="2"/>
      <c r="G208" s="1246"/>
      <c r="H208" s="1246"/>
      <c r="I208" s="1246"/>
      <c r="J208" s="1246"/>
      <c r="K208" s="1246"/>
      <c r="L208" s="1246"/>
      <c r="M208" s="1246"/>
      <c r="N208" s="1246"/>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6" t="s">
        <v>1316</v>
      </c>
      <c r="G338" s="1246"/>
      <c r="H338" s="1246"/>
      <c r="I338" s="1246"/>
      <c r="J338" s="1246"/>
      <c r="K338" s="1246"/>
      <c r="L338" s="1246"/>
      <c r="M338" s="1246"/>
      <c r="N338" s="1246"/>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row>
    <row r="339" spans="2:37">
      <c r="B339" s="2"/>
      <c r="E339" s="4"/>
      <c r="F339" s="1246"/>
      <c r="G339" s="1246"/>
      <c r="H339" s="1246"/>
      <c r="I339" s="1246"/>
      <c r="J339" s="1246"/>
      <c r="K339" s="1246"/>
      <c r="L339" s="1246"/>
      <c r="M339" s="1246"/>
      <c r="N339" s="1246"/>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row>
    <row r="340" spans="2:37">
      <c r="B340" s="2"/>
      <c r="E340" s="4"/>
      <c r="F340" s="1246"/>
      <c r="G340" s="1246"/>
      <c r="H340" s="1246"/>
      <c r="I340" s="1246"/>
      <c r="J340" s="1246"/>
      <c r="K340" s="1246"/>
      <c r="L340" s="1246"/>
      <c r="M340" s="1246"/>
      <c r="N340" s="1246"/>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15" customHeight="1">
      <c r="B343" s="2"/>
      <c r="E343" s="1248" t="s">
        <v>1405</v>
      </c>
      <c r="F343" s="1248"/>
      <c r="G343" s="1248"/>
      <c r="H343" s="1248"/>
      <c r="I343" s="1248"/>
      <c r="J343" s="1248"/>
      <c r="K343" s="1248"/>
      <c r="L343" s="1248"/>
      <c r="M343" s="1248"/>
      <c r="N343" s="1248"/>
      <c r="O343" s="1248"/>
      <c r="P343" s="1248"/>
      <c r="Q343" s="1248"/>
      <c r="R343" s="1248"/>
      <c r="S343" s="1248"/>
      <c r="T343" s="1248"/>
      <c r="U343" s="1248"/>
      <c r="V343" s="1248"/>
      <c r="W343" s="1248"/>
      <c r="X343" s="1248"/>
      <c r="Y343" s="1248"/>
      <c r="Z343" s="1248"/>
      <c r="AA343" s="1248"/>
      <c r="AB343" s="1248"/>
      <c r="AC343" s="1248"/>
      <c r="AD343" s="1248"/>
      <c r="AE343" s="1248"/>
      <c r="AF343" s="1248"/>
      <c r="AG343" s="1248"/>
      <c r="AH343" s="1248"/>
      <c r="AI343" s="1248"/>
      <c r="AJ343" s="1248"/>
      <c r="AK343" s="1248"/>
    </row>
    <row r="344" spans="2:37">
      <c r="B344" s="2"/>
      <c r="E344" s="1248"/>
      <c r="F344" s="1248"/>
      <c r="G344" s="1248"/>
      <c r="H344" s="1248"/>
      <c r="I344" s="1248"/>
      <c r="J344" s="1248"/>
      <c r="K344" s="1248"/>
      <c r="L344" s="1248"/>
      <c r="M344" s="1248"/>
      <c r="N344" s="1248"/>
      <c r="O344" s="1248"/>
      <c r="P344" s="1248"/>
      <c r="Q344" s="1248"/>
      <c r="R344" s="1248"/>
      <c r="S344" s="1248"/>
      <c r="T344" s="1248"/>
      <c r="U344" s="1248"/>
      <c r="V344" s="1248"/>
      <c r="W344" s="1248"/>
      <c r="X344" s="1248"/>
      <c r="Y344" s="1248"/>
      <c r="Z344" s="1248"/>
      <c r="AA344" s="1248"/>
      <c r="AB344" s="1248"/>
      <c r="AC344" s="1248"/>
      <c r="AD344" s="1248"/>
      <c r="AE344" s="1248"/>
      <c r="AF344" s="1248"/>
      <c r="AG344" s="1248"/>
      <c r="AH344" s="1248"/>
      <c r="AI344" s="1248"/>
      <c r="AJ344" s="1248"/>
      <c r="AK344" s="1248"/>
    </row>
    <row r="345" spans="2:37">
      <c r="B345" s="2"/>
      <c r="E345" s="1248"/>
      <c r="F345" s="1248"/>
      <c r="G345" s="1248"/>
      <c r="H345" s="1248"/>
      <c r="I345" s="1248"/>
      <c r="J345" s="1248"/>
      <c r="K345" s="1248"/>
      <c r="L345" s="1248"/>
      <c r="M345" s="1248"/>
      <c r="N345" s="1248"/>
      <c r="O345" s="1248"/>
      <c r="P345" s="1248"/>
      <c r="Q345" s="1248"/>
      <c r="R345" s="1248"/>
      <c r="S345" s="1248"/>
      <c r="T345" s="1248"/>
      <c r="U345" s="1248"/>
      <c r="V345" s="1248"/>
      <c r="W345" s="1248"/>
      <c r="X345" s="1248"/>
      <c r="Y345" s="1248"/>
      <c r="Z345" s="1248"/>
      <c r="AA345" s="1248"/>
      <c r="AB345" s="1248"/>
      <c r="AC345" s="1248"/>
      <c r="AD345" s="1248"/>
      <c r="AE345" s="1248"/>
      <c r="AF345" s="1248"/>
      <c r="AG345" s="1248"/>
      <c r="AH345" s="1248"/>
      <c r="AI345" s="1248"/>
      <c r="AJ345" s="1248"/>
      <c r="AK345" s="1248"/>
    </row>
    <row r="346" spans="2:37">
      <c r="B346" s="2"/>
      <c r="E346" s="1248"/>
      <c r="F346" s="1248"/>
      <c r="G346" s="1248"/>
      <c r="H346" s="1248"/>
      <c r="I346" s="1248"/>
      <c r="J346" s="1248"/>
      <c r="K346" s="1248"/>
      <c r="L346" s="1248"/>
      <c r="M346" s="1248"/>
      <c r="N346" s="1248"/>
      <c r="O346" s="1248"/>
      <c r="P346" s="1248"/>
      <c r="Q346" s="1248"/>
      <c r="R346" s="1248"/>
      <c r="S346" s="1248"/>
      <c r="T346" s="1248"/>
      <c r="U346" s="1248"/>
      <c r="V346" s="1248"/>
      <c r="W346" s="1248"/>
      <c r="X346" s="1248"/>
      <c r="Y346" s="1248"/>
      <c r="Z346" s="1248"/>
      <c r="AA346" s="1248"/>
      <c r="AB346" s="1248"/>
      <c r="AC346" s="1248"/>
      <c r="AD346" s="1248"/>
      <c r="AE346" s="1248"/>
      <c r="AF346" s="1248"/>
      <c r="AG346" s="1248"/>
      <c r="AH346" s="1248"/>
      <c r="AI346" s="1248"/>
      <c r="AJ346" s="1248"/>
      <c r="AK346" s="1248"/>
    </row>
    <row r="347" spans="2:37">
      <c r="B347" s="2"/>
      <c r="E347" s="1248"/>
      <c r="F347" s="1248"/>
      <c r="G347" s="1248"/>
      <c r="H347" s="1248"/>
      <c r="I347" s="1248"/>
      <c r="J347" s="1248"/>
      <c r="K347" s="1248"/>
      <c r="L347" s="1248"/>
      <c r="M347" s="1248"/>
      <c r="N347" s="1248"/>
      <c r="O347" s="1248"/>
      <c r="P347" s="1248"/>
      <c r="Q347" s="1248"/>
      <c r="R347" s="1248"/>
      <c r="S347" s="1248"/>
      <c r="T347" s="1248"/>
      <c r="U347" s="1248"/>
      <c r="V347" s="1248"/>
      <c r="W347" s="1248"/>
      <c r="X347" s="1248"/>
      <c r="Y347" s="1248"/>
      <c r="Z347" s="1248"/>
      <c r="AA347" s="1248"/>
      <c r="AB347" s="1248"/>
      <c r="AC347" s="1248"/>
      <c r="AD347" s="1248"/>
      <c r="AE347" s="1248"/>
      <c r="AF347" s="1248"/>
      <c r="AG347" s="1248"/>
      <c r="AH347" s="1248"/>
      <c r="AI347" s="1248"/>
      <c r="AJ347" s="1248"/>
      <c r="AK347" s="1248"/>
    </row>
    <row r="348" spans="2:37">
      <c r="B348" s="2"/>
      <c r="E348" s="3" t="s">
        <v>117</v>
      </c>
      <c r="F348" s="1246" t="s">
        <v>1407</v>
      </c>
      <c r="G348" s="1246"/>
      <c r="H348" s="1246"/>
      <c r="I348" s="1246"/>
      <c r="J348" s="1246"/>
      <c r="K348" s="1246"/>
      <c r="L348" s="1246"/>
      <c r="M348" s="1246"/>
      <c r="N348" s="1246"/>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row>
    <row r="349" spans="2:37">
      <c r="B349" s="2"/>
      <c r="E349" s="3"/>
      <c r="F349" s="1246"/>
      <c r="G349" s="1246"/>
      <c r="H349" s="1246"/>
      <c r="I349" s="1246"/>
      <c r="J349" s="1246"/>
      <c r="K349" s="1246"/>
      <c r="L349" s="1246"/>
      <c r="M349" s="1246"/>
      <c r="N349" s="1246"/>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row>
    <row r="350" spans="2:37">
      <c r="B350" s="2"/>
      <c r="E350" s="3"/>
      <c r="F350" s="1246"/>
      <c r="G350" s="1246"/>
      <c r="H350" s="1246"/>
      <c r="I350" s="1246"/>
      <c r="J350" s="1246"/>
      <c r="K350" s="1246"/>
      <c r="L350" s="1246"/>
      <c r="M350" s="1246"/>
      <c r="N350" s="1246"/>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row>
    <row r="351" spans="2:37">
      <c r="B351" s="2"/>
      <c r="E351" s="3"/>
      <c r="F351" s="1246"/>
      <c r="G351" s="1246"/>
      <c r="H351" s="1246"/>
      <c r="I351" s="1246"/>
      <c r="J351" s="1246"/>
      <c r="K351" s="1246"/>
      <c r="L351" s="1246"/>
      <c r="M351" s="1246"/>
      <c r="N351" s="1246"/>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row>
    <row r="352" spans="2:37">
      <c r="B352" s="2"/>
      <c r="E352" s="3" t="s">
        <v>118</v>
      </c>
      <c r="F352" s="1246" t="s">
        <v>1406</v>
      </c>
      <c r="G352" s="1246"/>
      <c r="H352" s="1246"/>
      <c r="I352" s="1246"/>
      <c r="J352" s="1246"/>
      <c r="K352" s="1246"/>
      <c r="L352" s="1246"/>
      <c r="M352" s="1246"/>
      <c r="N352" s="1246"/>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row>
    <row r="353" spans="1:38">
      <c r="B353" s="2"/>
      <c r="F353" s="1246"/>
      <c r="G353" s="1246"/>
      <c r="H353" s="1246"/>
      <c r="I353" s="1246"/>
      <c r="J353" s="1246"/>
      <c r="K353" s="1246"/>
      <c r="L353" s="1246"/>
      <c r="M353" s="1246"/>
      <c r="N353" s="1246"/>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row>
    <row r="354" spans="1:38">
      <c r="B354" s="2"/>
      <c r="F354" s="1246"/>
      <c r="G354" s="1246"/>
      <c r="H354" s="1246"/>
      <c r="I354" s="1246"/>
      <c r="J354" s="1246"/>
      <c r="K354" s="1246"/>
      <c r="L354" s="1246"/>
      <c r="M354" s="1246"/>
      <c r="N354" s="1246"/>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15"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9" t="s">
        <v>1396</v>
      </c>
      <c r="F367" s="1249"/>
      <c r="G367" s="1249"/>
      <c r="H367" s="1249"/>
      <c r="I367" s="1249"/>
      <c r="J367" s="1249"/>
      <c r="K367" s="1249"/>
      <c r="L367" s="1249"/>
      <c r="M367" s="1249"/>
      <c r="N367" s="1249"/>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row>
    <row r="368" spans="1:38">
      <c r="B368" s="2"/>
      <c r="E368" s="1249"/>
      <c r="F368" s="1249"/>
      <c r="G368" s="1249"/>
      <c r="H368" s="1249"/>
      <c r="I368" s="1249"/>
      <c r="J368" s="1249"/>
      <c r="K368" s="1249"/>
      <c r="L368" s="1249"/>
      <c r="M368" s="1249"/>
      <c r="N368" s="1249"/>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row>
    <row r="369" spans="1:37" s="1251" customFormat="1">
      <c r="A369"/>
      <c r="B369" s="2"/>
      <c r="C369"/>
      <c r="D369"/>
      <c r="E369" s="1250" t="s">
        <v>1439</v>
      </c>
    </row>
    <row r="370" spans="1:37" s="1251"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6" t="s">
        <v>1451</v>
      </c>
      <c r="G388" s="1246"/>
      <c r="H388" s="1246"/>
      <c r="I388" s="1246"/>
      <c r="J388" s="1246"/>
      <c r="K388" s="1246"/>
      <c r="L388" s="1246"/>
      <c r="M388" s="1246"/>
      <c r="N388" s="1246"/>
      <c r="O388" s="1246"/>
      <c r="P388" s="1246"/>
      <c r="Q388" s="1246"/>
      <c r="R388" s="1246"/>
      <c r="S388" s="1246"/>
      <c r="T388" s="1246"/>
      <c r="U388" s="1246"/>
      <c r="V388" s="1246"/>
      <c r="W388" s="1246"/>
      <c r="X388" s="1246"/>
      <c r="Y388" s="1246"/>
      <c r="Z388" s="1246"/>
      <c r="AA388" s="1246"/>
      <c r="AB388" s="1246"/>
      <c r="AC388" s="1246"/>
      <c r="AD388" s="1246"/>
      <c r="AE388" s="1246"/>
      <c r="AF388" s="1246"/>
      <c r="AG388" s="1246"/>
      <c r="AH388" s="1246"/>
      <c r="AI388" s="1246"/>
      <c r="AJ388" s="1246"/>
      <c r="AK388" s="1246"/>
    </row>
    <row r="389" spans="1:38">
      <c r="B389" s="2"/>
      <c r="E389" s="3"/>
      <c r="F389" s="1246"/>
      <c r="G389" s="1246"/>
      <c r="H389" s="1246"/>
      <c r="I389" s="1246"/>
      <c r="J389" s="1246"/>
      <c r="K389" s="1246"/>
      <c r="L389" s="1246"/>
      <c r="M389" s="1246"/>
      <c r="N389" s="1246"/>
      <c r="O389" s="1246"/>
      <c r="P389" s="1246"/>
      <c r="Q389" s="1246"/>
      <c r="R389" s="1246"/>
      <c r="S389" s="1246"/>
      <c r="T389" s="1246"/>
      <c r="U389" s="1246"/>
      <c r="V389" s="1246"/>
      <c r="W389" s="1246"/>
      <c r="X389" s="1246"/>
      <c r="Y389" s="1246"/>
      <c r="Z389" s="1246"/>
      <c r="AA389" s="1246"/>
      <c r="AB389" s="1246"/>
      <c r="AC389" s="1246"/>
      <c r="AD389" s="1246"/>
      <c r="AE389" s="1246"/>
      <c r="AF389" s="1246"/>
      <c r="AG389" s="1246"/>
      <c r="AH389" s="1246"/>
      <c r="AI389" s="1246"/>
      <c r="AJ389" s="1246"/>
      <c r="AK389" s="1246"/>
    </row>
    <row r="390" spans="1:38">
      <c r="B390" s="2"/>
      <c r="E390" s="3"/>
      <c r="F390" s="1246"/>
      <c r="G390" s="1246"/>
      <c r="H390" s="1246"/>
      <c r="I390" s="1246"/>
      <c r="J390" s="1246"/>
      <c r="K390" s="1246"/>
      <c r="L390" s="1246"/>
      <c r="M390" s="1246"/>
      <c r="N390" s="1246"/>
      <c r="O390" s="1246"/>
      <c r="P390" s="1246"/>
      <c r="Q390" s="1246"/>
      <c r="R390" s="1246"/>
      <c r="S390" s="1246"/>
      <c r="T390" s="1246"/>
      <c r="U390" s="1246"/>
      <c r="V390" s="1246"/>
      <c r="W390" s="1246"/>
      <c r="X390" s="1246"/>
      <c r="Y390" s="1246"/>
      <c r="Z390" s="1246"/>
      <c r="AA390" s="1246"/>
      <c r="AB390" s="1246"/>
      <c r="AC390" s="1246"/>
      <c r="AD390" s="1246"/>
      <c r="AE390" s="1246"/>
      <c r="AF390" s="1246"/>
      <c r="AG390" s="1246"/>
      <c r="AH390" s="1246"/>
      <c r="AI390" s="1246"/>
      <c r="AJ390" s="1246"/>
      <c r="AK390" s="1246"/>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1457</v>
      </c>
      <c r="F392" s="3"/>
      <c r="G392" s="2"/>
      <c r="I392" s="120"/>
      <c r="J392" s="3"/>
      <c r="K392" s="3"/>
      <c r="L392" s="3"/>
      <c r="M392" s="3"/>
      <c r="N392" s="3"/>
      <c r="O392" s="3"/>
      <c r="P392" s="3"/>
      <c r="Q392" s="3"/>
      <c r="R392" s="3"/>
      <c r="S392" s="3"/>
    </row>
    <row r="393" spans="1:38" ht="13.15" customHeight="1">
      <c r="B393" s="2"/>
      <c r="D393" s="2"/>
      <c r="E393" s="3" t="s">
        <v>1456</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1" sqref="G101"/>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580" t="s">
        <v>1791</v>
      </c>
      <c r="B1" s="2580"/>
      <c r="C1" s="2580"/>
      <c r="D1" s="2580"/>
      <c r="E1" s="2580"/>
      <c r="F1" s="2580"/>
      <c r="G1" s="2580"/>
      <c r="H1" s="2580"/>
      <c r="I1" s="2580"/>
      <c r="J1" s="2580"/>
    </row>
    <row r="2" spans="1:13" ht="15" customHeight="1" thickBot="1">
      <c r="A2" s="1134"/>
      <c r="B2" s="1134"/>
      <c r="I2" s="1135"/>
      <c r="K2" s="1136"/>
    </row>
    <row r="3" spans="1:13" s="1139" customFormat="1" ht="20.100000000000001" customHeight="1">
      <c r="A3" s="1193"/>
      <c r="B3" s="1194"/>
      <c r="C3" s="1195"/>
      <c r="D3" s="1200"/>
      <c r="E3" s="1195"/>
      <c r="F3" s="1196" t="s">
        <v>2454</v>
      </c>
      <c r="G3" s="1195"/>
      <c r="H3" s="1197">
        <f>E16</f>
        <v>18725064</v>
      </c>
      <c r="I3" s="1198"/>
    </row>
    <row r="4" spans="1:13" s="1139" customFormat="1" ht="20.100000000000001" customHeight="1">
      <c r="B4" s="1187"/>
      <c r="D4" s="1201"/>
      <c r="F4" s="1185" t="s">
        <v>2456</v>
      </c>
      <c r="G4" s="1184" t="s">
        <v>2455</v>
      </c>
      <c r="H4" s="1186">
        <f>I16</f>
        <v>31442642.292783506</v>
      </c>
      <c r="I4" s="1188"/>
      <c r="K4" s="1143"/>
    </row>
    <row r="5" spans="1:13" s="1139" customFormat="1" ht="20.100000000000001" customHeight="1" thickBot="1">
      <c r="B5" s="1189"/>
      <c r="C5" s="1190"/>
      <c r="D5" s="1202"/>
      <c r="E5" s="1191"/>
      <c r="F5" s="1202" t="s">
        <v>2394</v>
      </c>
      <c r="G5" s="1203"/>
      <c r="H5" s="1199">
        <f>H3/H4</f>
        <v>0.59553086619242701</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82" t="s">
        <v>2392</v>
      </c>
      <c r="C8" s="2583"/>
      <c r="D8" s="2583"/>
      <c r="E8" s="2584"/>
      <c r="G8" s="2585" t="s">
        <v>2393</v>
      </c>
      <c r="H8" s="2586"/>
      <c r="I8" s="2587"/>
      <c r="K8" s="1145"/>
    </row>
    <row r="9" spans="1:13" ht="15" customHeight="1">
      <c r="A9" s="1134"/>
      <c r="B9" s="2581" t="s">
        <v>2433</v>
      </c>
      <c r="C9" s="2581"/>
      <c r="D9" s="2581"/>
      <c r="E9" s="1147">
        <f>G31</f>
        <v>4975000</v>
      </c>
      <c r="G9" s="2590" t="s">
        <v>2431</v>
      </c>
      <c r="H9" s="2590"/>
      <c r="I9" s="1148">
        <f>Application!AM564</f>
        <v>25216108</v>
      </c>
      <c r="K9" s="1149"/>
      <c r="M9" s="1150"/>
    </row>
    <row r="10" spans="1:13" ht="15" customHeight="1" thickBot="1">
      <c r="A10" s="1134"/>
      <c r="B10" s="2581" t="s">
        <v>2434</v>
      </c>
      <c r="C10" s="2581"/>
      <c r="D10" s="2581"/>
      <c r="E10" s="1148">
        <f>G40</f>
        <v>9350064</v>
      </c>
      <c r="G10" s="2590" t="s">
        <v>2395</v>
      </c>
      <c r="H10" s="2590"/>
      <c r="I10" s="1235">
        <f>'Basis &amp; Credits'!AB77</f>
        <v>10539300</v>
      </c>
      <c r="M10" s="1150"/>
    </row>
    <row r="11" spans="1:13" ht="15" customHeight="1">
      <c r="A11" s="1151"/>
      <c r="B11" s="2581" t="s">
        <v>2435</v>
      </c>
      <c r="C11" s="2581"/>
      <c r="D11" s="2581"/>
      <c r="E11" s="1148">
        <f>G49</f>
        <v>0</v>
      </c>
      <c r="G11" s="2590" t="s">
        <v>2446</v>
      </c>
      <c r="H11" s="2590"/>
      <c r="I11" s="1234">
        <f>I9+I10</f>
        <v>35755408</v>
      </c>
      <c r="M11" s="1150"/>
    </row>
    <row r="12" spans="1:13" ht="15" customHeight="1">
      <c r="A12" s="1137"/>
      <c r="B12" s="2581" t="s">
        <v>2436</v>
      </c>
      <c r="C12" s="2581"/>
      <c r="D12" s="2581"/>
      <c r="E12" s="1148">
        <f>G58</f>
        <v>420000</v>
      </c>
      <c r="G12" s="1236" t="s">
        <v>2471</v>
      </c>
      <c r="H12" s="1237"/>
      <c r="M12" s="1150"/>
    </row>
    <row r="13" spans="1:13" ht="15" customHeight="1">
      <c r="A13" s="1134"/>
      <c r="B13" s="2581" t="s">
        <v>2437</v>
      </c>
      <c r="C13" s="2581"/>
      <c r="D13" s="2581"/>
      <c r="E13" s="1153">
        <f>G83</f>
        <v>1990000</v>
      </c>
      <c r="G13" s="2591" t="s">
        <v>144</v>
      </c>
      <c r="H13" s="2591"/>
      <c r="I13" s="1152">
        <f>15%*(Application!AJ977&gt;0)</f>
        <v>0.15</v>
      </c>
      <c r="M13" s="1150"/>
    </row>
    <row r="14" spans="1:13" ht="15" customHeight="1">
      <c r="A14" s="1134"/>
      <c r="B14" s="2581" t="s">
        <v>2438</v>
      </c>
      <c r="C14" s="2581"/>
      <c r="D14" s="2581"/>
      <c r="E14" s="1148">
        <f>IF(G96&gt;G106,G96,0)</f>
        <v>1990000</v>
      </c>
      <c r="G14" s="1232" t="s">
        <v>2447</v>
      </c>
      <c r="H14" s="1232"/>
      <c r="I14" s="1152">
        <f>IF(Application!AJ1011&gt;0,10%,IF(Application!AJ1015&gt;0,5%,0))</f>
        <v>0</v>
      </c>
      <c r="M14" s="1150"/>
    </row>
    <row r="15" spans="1:13" ht="15" customHeight="1" thickBot="1">
      <c r="A15" s="1134"/>
      <c r="B15" s="2588" t="s">
        <v>2457</v>
      </c>
      <c r="C15" s="2588"/>
      <c r="D15" s="2588"/>
      <c r="E15" s="1204">
        <f>IF(E14&gt;0,0,G106)</f>
        <v>0</v>
      </c>
      <c r="G15" s="2594" t="s">
        <v>2448</v>
      </c>
      <c r="H15" s="2595"/>
      <c r="I15" s="1206">
        <f>G114</f>
        <v>-2.9381443298969072E-2</v>
      </c>
      <c r="M15" s="1150"/>
    </row>
    <row r="16" spans="1:13" ht="15" customHeight="1">
      <c r="A16" s="1134"/>
      <c r="B16" s="2589" t="s">
        <v>2391</v>
      </c>
      <c r="C16" s="2589"/>
      <c r="D16" s="2589"/>
      <c r="E16" s="1205">
        <f>SUM(E9:E15)</f>
        <v>18725064</v>
      </c>
      <c r="G16" s="1233" t="s">
        <v>2432</v>
      </c>
      <c r="H16" s="1233"/>
      <c r="I16" s="1207">
        <f>I11-((I11*I13)+(I11*I14)+(I11*I15))</f>
        <v>31442642.292783506</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74</v>
      </c>
      <c r="O18" s="1177" t="s">
        <v>609</v>
      </c>
      <c r="P18" s="1132">
        <f>MATCH(Application!T189,Application!BP670:BP727,0)</f>
        <v>4</v>
      </c>
      <c r="S18" s="1154">
        <f>SUM(Cdlac[Population])</f>
        <v>0</v>
      </c>
    </row>
    <row r="19" spans="1:20" ht="15" customHeight="1">
      <c r="A19" s="1134"/>
      <c r="B19" s="1134"/>
      <c r="I19" s="1160"/>
      <c r="L19" s="1132" t="s">
        <v>2387</v>
      </c>
      <c r="M19" s="1132" t="s">
        <v>2386</v>
      </c>
      <c r="N19" s="1132" t="s">
        <v>2400</v>
      </c>
      <c r="O19" s="1132" t="s">
        <v>2401</v>
      </c>
      <c r="P19" s="1132" t="s">
        <v>2388</v>
      </c>
      <c r="Q19" s="1132" t="s">
        <v>2389</v>
      </c>
      <c r="R19" s="1132" t="s">
        <v>2402</v>
      </c>
      <c r="S19" s="1132" t="s">
        <v>2408</v>
      </c>
      <c r="T19" s="1132" t="s">
        <v>400</v>
      </c>
    </row>
    <row r="20" spans="1:20" ht="15" customHeight="1">
      <c r="A20" s="1137"/>
      <c r="C20" s="2592" t="s">
        <v>2450</v>
      </c>
      <c r="D20" s="2592" t="s">
        <v>2451</v>
      </c>
      <c r="E20" s="2592" t="s">
        <v>2452</v>
      </c>
      <c r="F20" s="2592" t="s">
        <v>2453</v>
      </c>
      <c r="G20" s="2592" t="s">
        <v>2449</v>
      </c>
      <c r="H20" s="1161"/>
      <c r="I20" s="1160"/>
      <c r="L20" s="1132">
        <f>IFERROR(MIN(4,MATCH(Application!B728,UnitSizes,0)-1),"")</f>
        <v>1</v>
      </c>
      <c r="M20" s="1154">
        <f>Application!G728</f>
        <v>3</v>
      </c>
      <c r="N20" s="1162">
        <f>Application!AC728</f>
        <v>0.3</v>
      </c>
      <c r="O20" s="1162">
        <f>IF(Cdlac[[#This Row],[Quantity]]&gt;0,IF(Cdlac[[#This Row],[Federal]],30%,IF($G$36,40%,Cdlac[[#This Row],[iAMI]])),"")</f>
        <v>0.3</v>
      </c>
      <c r="P20" s="1154" cm="1">
        <f t="array" ref="P20">IF(Cdlac[[#This Row],[Quantity]]&gt;0,INDEX(TcacRents,$P$18,Cdlac[[#This Row],[Bedrooms]]+1)*Cdlac[[#This Row],[AMI]],"")</f>
        <v>438.59999999999997</v>
      </c>
      <c r="Q20" s="1154" cm="1">
        <f t="array" ref="Q20">IF(Cdlac[[#This Row],[Quantity]]&gt;0,INDEX(HudFmrs,$P$18,Cdlac[[#This Row],[Bedrooms]]+1),"")</f>
        <v>895</v>
      </c>
      <c r="R20" s="1154">
        <f>IF(Cdlac[[#This Row],[Quantity]]&gt;0,MAX(0,Cdlac[[#This Row],[Fair Market Rent]]-Cdlac[[#This Row],[Restricted Rent]]),"")</f>
        <v>456.40000000000003</v>
      </c>
      <c r="S20" s="1132">
        <f>IF(Cdlac[[#This Row],[Quantity]]&gt;0,AND(Application!AK728&lt;&gt;"N/A",Application!AK728&lt;&gt;"")*Cdlac[[#This Row],[Quantity]],"")</f>
        <v>0</v>
      </c>
      <c r="T20" s="1132" t="b">
        <f>AND('Subsidy Contract Calculation'!F4&gt;0,'Subsidy Contract Calculation'!C4="Federal",Cdlac[[#This Row],[Quantity]]&gt;0)</f>
        <v>0</v>
      </c>
    </row>
    <row r="21" spans="1:20" ht="15" customHeight="1">
      <c r="A21" s="1137"/>
      <c r="C21" s="2593"/>
      <c r="D21" s="2593"/>
      <c r="E21" s="2593"/>
      <c r="F21" s="2593"/>
      <c r="G21" s="2593"/>
      <c r="H21" s="1161"/>
      <c r="I21" s="1160"/>
      <c r="L21" s="1132">
        <f>IFERROR(MIN(4,MATCH(Application!B729,UnitSizes,0)-1),"")</f>
        <v>1</v>
      </c>
      <c r="M21" s="1154">
        <f>Application!G729</f>
        <v>3</v>
      </c>
      <c r="N21" s="1162">
        <f>Application!AC729</f>
        <v>0.4</v>
      </c>
      <c r="O21" s="1162">
        <f>IF(Cdlac[[#This Row],[Quantity]]&gt;0,IF(Cdlac[[#This Row],[Federal]],30%,IF($G$36,40%,Cdlac[[#This Row],[iAMI]])),"")</f>
        <v>0.4</v>
      </c>
      <c r="P21" s="1154" cm="1">
        <f t="array" ref="P21">IF(Cdlac[[#This Row],[Quantity]]&gt;0,INDEX(TcacRents,$P$18,Cdlac[[#This Row],[Bedrooms]]+1)*Cdlac[[#This Row],[AMI]],"")</f>
        <v>584.80000000000007</v>
      </c>
      <c r="Q21" s="1154" cm="1">
        <f t="array" ref="Q21">IF(Cdlac[[#This Row],[Quantity]]&gt;0,INDEX(HudFmrs,$P$18,Cdlac[[#This Row],[Bedrooms]]+1),"")</f>
        <v>895</v>
      </c>
      <c r="R21" s="1154">
        <f>IF(Cdlac[[#This Row],[Quantity]]&gt;0,MAX(0,Cdlac[[#This Row],[Fair Market Rent]]-Cdlac[[#This Row],[Restricted Rent]]),"")</f>
        <v>310.19999999999993</v>
      </c>
      <c r="S21" s="1132">
        <f>IF(Cdlac[[#This Row],[Quantity]]&gt;0,AND(Application!AK729&lt;&gt;"N/A",Application!AK729&lt;&gt;"")*Cdlac[[#This Row],[Quantity]],"")</f>
        <v>0</v>
      </c>
      <c r="T21" s="1132" t="b">
        <f>AND('Subsidy Contract Calculation'!F5&gt;0,'Subsidy Contract Calculation'!C5="Federal",Cdlac[[#This Row],[Quantity]]&gt;0)</f>
        <v>0</v>
      </c>
    </row>
    <row r="22" spans="1:20" ht="15" customHeight="1">
      <c r="C22" s="1163">
        <v>0</v>
      </c>
      <c r="D22" s="1164">
        <v>0.9</v>
      </c>
      <c r="E22" s="1163">
        <f>SUMIFS(Cdlac[Quantity],Cdlac[Bedrooms],C22)</f>
        <v>0</v>
      </c>
      <c r="F22" s="1163">
        <f>E22</f>
        <v>0</v>
      </c>
      <c r="G22" s="1163">
        <f>D22*F22</f>
        <v>0</v>
      </c>
      <c r="L22" s="1132">
        <f>IFERROR(MIN(4,MATCH(Application!B730,UnitSizes,0)-1),"")</f>
        <v>1</v>
      </c>
      <c r="M22" s="1154">
        <f>Application!G730</f>
        <v>1</v>
      </c>
      <c r="N22" s="1162">
        <f>Application!AC730</f>
        <v>0.5</v>
      </c>
      <c r="O22" s="1162">
        <f>IF(Cdlac[[#This Row],[Quantity]]&gt;0,IF(Cdlac[[#This Row],[Federal]],30%,IF($G$36,40%,Cdlac[[#This Row],[iAMI]])),"")</f>
        <v>0.5</v>
      </c>
      <c r="P22" s="1154" cm="1">
        <f t="array" ref="P22">IF(Cdlac[[#This Row],[Quantity]]&gt;0,INDEX(TcacRents,$P$18,Cdlac[[#This Row],[Bedrooms]]+1)*Cdlac[[#This Row],[AMI]],"")</f>
        <v>731</v>
      </c>
      <c r="Q22" s="1154" cm="1">
        <f t="array" ref="Q22">IF(Cdlac[[#This Row],[Quantity]]&gt;0,INDEX(HudFmrs,$P$18,Cdlac[[#This Row],[Bedrooms]]+1),"")</f>
        <v>895</v>
      </c>
      <c r="R22" s="1154">
        <f>IF(Cdlac[[#This Row],[Quantity]]&gt;0,MAX(0,Cdlac[[#This Row],[Fair Market Rent]]-Cdlac[[#This Row],[Restricted Rent]]),"")</f>
        <v>164</v>
      </c>
      <c r="S22" s="1132">
        <f>IF(Cdlac[[#This Row],[Quantity]]&gt;0,AND(Application!AK730&lt;&gt;"N/A",Application!AK730&lt;&gt;"")*Cdlac[[#This Row],[Quantity]],"")</f>
        <v>0</v>
      </c>
      <c r="T22" s="1132" t="b">
        <f>AND('Subsidy Contract Calculation'!F6&gt;0,'Subsidy Contract Calculation'!C6="Federal",Cdlac[[#This Row],[Quantity]]&gt;0)</f>
        <v>0</v>
      </c>
    </row>
    <row r="23" spans="1:20" ht="15" customHeight="1">
      <c r="C23" s="1163">
        <v>1</v>
      </c>
      <c r="D23" s="1164">
        <v>1</v>
      </c>
      <c r="E23" s="1163">
        <f>SUMIFS(Cdlac[Quantity],Cdlac[Bedrooms],C23)</f>
        <v>8</v>
      </c>
      <c r="F23" s="1163">
        <f>E23</f>
        <v>8</v>
      </c>
      <c r="G23" s="1163">
        <f t="shared" ref="G23:G26" si="0">D23*F23</f>
        <v>8</v>
      </c>
      <c r="L23" s="1132">
        <f>IFERROR(MIN(4,MATCH(Application!B731,UnitSizes,0)-1),"")</f>
        <v>1</v>
      </c>
      <c r="M23" s="1154">
        <f>Application!G731</f>
        <v>1</v>
      </c>
      <c r="N23" s="1162">
        <f>Application!AC731</f>
        <v>0.6</v>
      </c>
      <c r="O23" s="1162">
        <f>IF(Cdlac[[#This Row],[Quantity]]&gt;0,IF(Cdlac[[#This Row],[Federal]],30%,IF($G$36,40%,Cdlac[[#This Row],[iAMI]])),"")</f>
        <v>0.6</v>
      </c>
      <c r="P23" s="1154" cm="1">
        <f t="array" ref="P23">IF(Cdlac[[#This Row],[Quantity]]&gt;0,INDEX(TcacRents,$P$18,Cdlac[[#This Row],[Bedrooms]]+1)*Cdlac[[#This Row],[AMI]],"")</f>
        <v>877.19999999999993</v>
      </c>
      <c r="Q23" s="1154" cm="1">
        <f t="array" ref="Q23">IF(Cdlac[[#This Row],[Quantity]]&gt;0,INDEX(HudFmrs,$P$18,Cdlac[[#This Row],[Bedrooms]]+1),"")</f>
        <v>895</v>
      </c>
      <c r="R23" s="1154">
        <f>IF(Cdlac[[#This Row],[Quantity]]&gt;0,MAX(0,Cdlac[[#This Row],[Fair Market Rent]]-Cdlac[[#This Row],[Restricted Rent]]),"")</f>
        <v>17.800000000000068</v>
      </c>
      <c r="S23" s="1132">
        <f>IF(Cdlac[[#This Row],[Quantity]]&gt;0,AND(Application!AK731&lt;&gt;"N/A",Application!AK731&lt;&gt;"")*Cdlac[[#This Row],[Quantity]],"")</f>
        <v>0</v>
      </c>
      <c r="T23" s="1132" t="b">
        <f>AND('Subsidy Contract Calculation'!F7&gt;0,'Subsidy Contract Calculation'!C7="Federal",Cdlac[[#This Row],[Quantity]]&gt;0)</f>
        <v>0</v>
      </c>
    </row>
    <row r="24" spans="1:20" ht="15" customHeight="1">
      <c r="A24" s="1165"/>
      <c r="C24" s="1166">
        <v>2</v>
      </c>
      <c r="D24" s="1164">
        <v>1.25</v>
      </c>
      <c r="E24" s="1163">
        <f>SUMIFS(Cdlac[Quantity],Cdlac[Bedrooms],C24)</f>
        <v>24</v>
      </c>
      <c r="F24" s="1166">
        <f>SUM(E24:E26)-SUM(F25:F26)</f>
        <v>37</v>
      </c>
      <c r="G24" s="1163">
        <f t="shared" si="0"/>
        <v>46.25</v>
      </c>
      <c r="H24" s="1165"/>
      <c r="I24" s="1165"/>
      <c r="L24" s="1132">
        <f>IFERROR(MIN(4,MATCH(Application!B732,UnitSizes,0)-1),"")</f>
        <v>2</v>
      </c>
      <c r="M24" s="1154">
        <f>Application!G732</f>
        <v>9</v>
      </c>
      <c r="N24" s="1162">
        <f>Application!AC732</f>
        <v>0.3</v>
      </c>
      <c r="O24" s="1162">
        <f>IF(Cdlac[[#This Row],[Quantity]]&gt;0,IF(Cdlac[[#This Row],[Federal]],30%,IF($G$36,40%,Cdlac[[#This Row],[iAMI]])),"")</f>
        <v>0.3</v>
      </c>
      <c r="P24" s="1154" cm="1">
        <f t="array" ref="P24">IF(Cdlac[[#This Row],[Quantity]]&gt;0,INDEX(TcacRents,$P$18,Cdlac[[#This Row],[Bedrooms]]+1)*Cdlac[[#This Row],[AMI]],"")</f>
        <v>526.19999999999993</v>
      </c>
      <c r="Q24" s="1154" cm="1">
        <f t="array" ref="Q24">IF(Cdlac[[#This Row],[Quantity]]&gt;0,INDEX(HudFmrs,$P$18,Cdlac[[#This Row],[Bedrooms]]+1),"")</f>
        <v>1177</v>
      </c>
      <c r="R24" s="1154">
        <f>IF(Cdlac[[#This Row],[Quantity]]&gt;0,MAX(0,Cdlac[[#This Row],[Fair Market Rent]]-Cdlac[[#This Row],[Restricted Rent]]),"")</f>
        <v>650.80000000000007</v>
      </c>
      <c r="S24" s="1132">
        <f>IF(Cdlac[[#This Row],[Quantity]]&gt;0,AND(Application!AK732&lt;&gt;"N/A",Application!AK732&lt;&gt;"")*Cdlac[[#This Row],[Quantity]],"")</f>
        <v>0</v>
      </c>
      <c r="T24" s="1132" t="b">
        <f>AND('Subsidy Contract Calculation'!F8&gt;0,'Subsidy Contract Calculation'!C8="Federal",Cdlac[[#This Row],[Quantity]]&gt;0)</f>
        <v>0</v>
      </c>
    </row>
    <row r="25" spans="1:20" ht="15" customHeight="1">
      <c r="A25" s="1165"/>
      <c r="C25" s="1166">
        <v>3</v>
      </c>
      <c r="D25" s="1164">
        <f>1.5+0.25*0</f>
        <v>1.5</v>
      </c>
      <c r="E25" s="1163">
        <f>SUMIFS(Cdlac[Quantity],Cdlac[Bedrooms],C25)</f>
        <v>32</v>
      </c>
      <c r="F25" s="1166">
        <f>MIN(E25,ROUNDDOWN(E27*30%,0))</f>
        <v>22</v>
      </c>
      <c r="G25" s="1163">
        <f t="shared" si="0"/>
        <v>33</v>
      </c>
      <c r="H25" s="1165"/>
      <c r="I25" s="1165"/>
      <c r="L25" s="1132">
        <f>IFERROR(MIN(4,MATCH(Application!B733,UnitSizes,0)-1),"")</f>
        <v>2</v>
      </c>
      <c r="M25" s="1154">
        <f>Application!G733</f>
        <v>10</v>
      </c>
      <c r="N25" s="1162">
        <f>Application!AC733</f>
        <v>0.4</v>
      </c>
      <c r="O25" s="1162">
        <f>IF(Cdlac[[#This Row],[Quantity]]&gt;0,IF(Cdlac[[#This Row],[Federal]],30%,IF($G$36,40%,Cdlac[[#This Row],[iAMI]])),"")</f>
        <v>0.4</v>
      </c>
      <c r="P25" s="1154" cm="1">
        <f t="array" ref="P25">IF(Cdlac[[#This Row],[Quantity]]&gt;0,INDEX(TcacRents,$P$18,Cdlac[[#This Row],[Bedrooms]]+1)*Cdlac[[#This Row],[AMI]],"")</f>
        <v>701.6</v>
      </c>
      <c r="Q25" s="1154" cm="1">
        <f t="array" ref="Q25">IF(Cdlac[[#This Row],[Quantity]]&gt;0,INDEX(HudFmrs,$P$18,Cdlac[[#This Row],[Bedrooms]]+1),"")</f>
        <v>1177</v>
      </c>
      <c r="R25" s="1154">
        <f>IF(Cdlac[[#This Row],[Quantity]]&gt;0,MAX(0,Cdlac[[#This Row],[Fair Market Rent]]-Cdlac[[#This Row],[Restricted Rent]]),"")</f>
        <v>475.4</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10</v>
      </c>
      <c r="F26" s="1179">
        <f>MIN(E26,ROUNDDOWN(E27*10%,0))</f>
        <v>7</v>
      </c>
      <c r="G26" s="1181">
        <f t="shared" si="0"/>
        <v>12.25</v>
      </c>
      <c r="H26" s="1165"/>
      <c r="I26" s="1165"/>
      <c r="L26" s="1132">
        <f>IFERROR(MIN(4,MATCH(Application!B734,UnitSizes,0)-1),"")</f>
        <v>2</v>
      </c>
      <c r="M26" s="1154">
        <f>Application!G734</f>
        <v>4</v>
      </c>
      <c r="N26" s="1162">
        <f>Application!AC734</f>
        <v>0.5</v>
      </c>
      <c r="O26" s="1162">
        <f>IF(Cdlac[[#This Row],[Quantity]]&gt;0,IF(Cdlac[[#This Row],[Federal]],30%,IF($G$36,40%,Cdlac[[#This Row],[iAMI]])),"")</f>
        <v>0.5</v>
      </c>
      <c r="P26" s="1154" cm="1">
        <f t="array" ref="P26">IF(Cdlac[[#This Row],[Quantity]]&gt;0,INDEX(TcacRents,$P$18,Cdlac[[#This Row],[Bedrooms]]+1)*Cdlac[[#This Row],[AMI]],"")</f>
        <v>877</v>
      </c>
      <c r="Q26" s="1154" cm="1">
        <f t="array" ref="Q26">IF(Cdlac[[#This Row],[Quantity]]&gt;0,INDEX(HudFmrs,$P$18,Cdlac[[#This Row],[Bedrooms]]+1),"")</f>
        <v>1177</v>
      </c>
      <c r="R26" s="1154">
        <f>IF(Cdlac[[#This Row],[Quantity]]&gt;0,MAX(0,Cdlac[[#This Row],[Fair Market Rent]]-Cdlac[[#This Row],[Restricted Rent]]),"")</f>
        <v>300</v>
      </c>
      <c r="S26" s="1132">
        <f>IF(Cdlac[[#This Row],[Quantity]]&gt;0,AND(Application!AK734&lt;&gt;"N/A",Application!AK734&lt;&gt;"")*Cdlac[[#This Row],[Quantity]],"")</f>
        <v>0</v>
      </c>
      <c r="T26" s="1132" t="b">
        <f>AND('Subsidy Contract Calculation'!F10&gt;0,'Subsidy Contract Calculation'!C10="Federal",Cdlac[[#This Row],[Quantity]]&gt;0)</f>
        <v>0</v>
      </c>
    </row>
    <row r="27" spans="1:20" ht="15" customHeight="1">
      <c r="A27" s="1165"/>
      <c r="C27" s="2576" t="s">
        <v>1792</v>
      </c>
      <c r="D27" s="2577"/>
      <c r="E27" s="1182">
        <f>SUM(E22:E26)</f>
        <v>74</v>
      </c>
      <c r="F27" s="1182">
        <f>SUM(F22:F26)</f>
        <v>74</v>
      </c>
      <c r="G27" s="1183">
        <f>SUMPRODUCT(D22:D26,F22:F26)</f>
        <v>99.5</v>
      </c>
      <c r="H27" s="1165"/>
      <c r="I27" s="1165"/>
      <c r="L27" s="1132">
        <f>IFERROR(MIN(4,MATCH(Application!B735,UnitSizes,0)-1),"")</f>
        <v>2</v>
      </c>
      <c r="M27" s="1154">
        <f>Application!G735</f>
        <v>1</v>
      </c>
      <c r="N27" s="1162">
        <f>Application!AC735</f>
        <v>0.6</v>
      </c>
      <c r="O27" s="1162">
        <f>IF(Cdlac[[#This Row],[Quantity]]&gt;0,IF(Cdlac[[#This Row],[Federal]],30%,IF($G$36,40%,Cdlac[[#This Row],[iAMI]])),"")</f>
        <v>0.6</v>
      </c>
      <c r="P27" s="1154" cm="1">
        <f t="array" ref="P27">IF(Cdlac[[#This Row],[Quantity]]&gt;0,INDEX(TcacRents,$P$18,Cdlac[[#This Row],[Bedrooms]]+1)*Cdlac[[#This Row],[AMI]],"")</f>
        <v>1052.3999999999999</v>
      </c>
      <c r="Q27" s="1154" cm="1">
        <f t="array" ref="Q27">IF(Cdlac[[#This Row],[Quantity]]&gt;0,INDEX(HudFmrs,$P$18,Cdlac[[#This Row],[Bedrooms]]+1),"")</f>
        <v>1177</v>
      </c>
      <c r="R27" s="1154">
        <f>IF(Cdlac[[#This Row],[Quantity]]&gt;0,MAX(0,Cdlac[[#This Row],[Fair Market Rent]]-Cdlac[[#This Row],[Restricted Rent]]),"")</f>
        <v>124.60000000000014</v>
      </c>
      <c r="S27" s="1132">
        <f>IF(Cdlac[[#This Row],[Quantity]]&gt;0,AND(Application!AK735&lt;&gt;"N/A",Application!AK735&lt;&gt;"")*Cdlac[[#This Row],[Quantity]],"")</f>
        <v>0</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f>IFERROR(MIN(4,MATCH(Application!B736,UnitSizes,0)-1),"")</f>
        <v>3</v>
      </c>
      <c r="M28" s="1154">
        <f>Application!G736</f>
        <v>7</v>
      </c>
      <c r="N28" s="1162">
        <f>Application!AC736</f>
        <v>0.3</v>
      </c>
      <c r="O28" s="1162">
        <f>IF(Cdlac[[#This Row],[Quantity]]&gt;0,IF(Cdlac[[#This Row],[Federal]],30%,IF($G$36,40%,Cdlac[[#This Row],[iAMI]])),"")</f>
        <v>0.3</v>
      </c>
      <c r="P28" s="1154" cm="1">
        <f t="array" ref="P28">IF(Cdlac[[#This Row],[Quantity]]&gt;0,INDEX(TcacRents,$P$18,Cdlac[[#This Row],[Bedrooms]]+1)*Cdlac[[#This Row],[AMI]],"")</f>
        <v>607.79999999999995</v>
      </c>
      <c r="Q28" s="1154" cm="1">
        <f t="array" ref="Q28">IF(Cdlac[[#This Row],[Quantity]]&gt;0,INDEX(HudFmrs,$P$18,Cdlac[[#This Row],[Bedrooms]]+1),"")</f>
        <v>1662</v>
      </c>
      <c r="R28" s="1154">
        <f>IF(Cdlac[[#This Row],[Quantity]]&gt;0,MAX(0,Cdlac[[#This Row],[Fair Market Rent]]-Cdlac[[#This Row],[Restricted Rent]]),"")</f>
        <v>1054.2</v>
      </c>
      <c r="S28" s="1132">
        <f>IF(Cdlac[[#This Row],[Quantity]]&gt;0,AND(Application!AK736&lt;&gt;"N/A",Application!AK736&lt;&gt;"")*Cdlac[[#This Row],[Quantity]],"")</f>
        <v>0</v>
      </c>
      <c r="T28" s="1132" t="b">
        <f>AND('Subsidy Contract Calculation'!F12&gt;0,'Subsidy Contract Calculation'!C12="Federal",Cdlac[[#This Row],[Quantity]]&gt;0)</f>
        <v>0</v>
      </c>
    </row>
    <row r="29" spans="1:20" ht="15" customHeight="1">
      <c r="A29" s="1165"/>
      <c r="E29" s="1212" t="s">
        <v>2449</v>
      </c>
      <c r="G29" s="1209">
        <f>G27</f>
        <v>99.5</v>
      </c>
      <c r="H29" s="1165"/>
      <c r="I29" s="1165"/>
      <c r="L29" s="1132">
        <f>IFERROR(MIN(4,MATCH(Application!B737,UnitSizes,0)-1),"")</f>
        <v>3</v>
      </c>
      <c r="M29" s="1154">
        <f>Application!G737</f>
        <v>16</v>
      </c>
      <c r="N29" s="1162">
        <f>Application!AC737</f>
        <v>0.4</v>
      </c>
      <c r="O29" s="1162">
        <f>IF(Cdlac[[#This Row],[Quantity]]&gt;0,IF(Cdlac[[#This Row],[Federal]],30%,IF($G$36,40%,Cdlac[[#This Row],[iAMI]])),"")</f>
        <v>0.4</v>
      </c>
      <c r="P29" s="1154" cm="1">
        <f t="array" ref="P29">IF(Cdlac[[#This Row],[Quantity]]&gt;0,INDEX(TcacRents,$P$18,Cdlac[[#This Row],[Bedrooms]]+1)*Cdlac[[#This Row],[AMI]],"")</f>
        <v>810.40000000000009</v>
      </c>
      <c r="Q29" s="1154" cm="1">
        <f t="array" ref="Q29">IF(Cdlac[[#This Row],[Quantity]]&gt;0,INDEX(HudFmrs,$P$18,Cdlac[[#This Row],[Bedrooms]]+1),"")</f>
        <v>1662</v>
      </c>
      <c r="R29" s="1154">
        <f>IF(Cdlac[[#This Row],[Quantity]]&gt;0,MAX(0,Cdlac[[#This Row],[Fair Market Rent]]-Cdlac[[#This Row],[Restricted Rent]]),"")</f>
        <v>851.59999999999991</v>
      </c>
      <c r="S29" s="1132">
        <f>IF(Cdlac[[#This Row],[Quantity]]&gt;0,AND(Application!AK737&lt;&gt;"N/A",Application!AK737&lt;&gt;"")*Cdlac[[#This Row],[Quantity]],"")</f>
        <v>0</v>
      </c>
      <c r="T29" s="1132" t="b">
        <f>AND('Subsidy Contract Calculation'!F13&gt;0,'Subsidy Contract Calculation'!C13="Federal",Cdlac[[#This Row],[Quantity]]&gt;0)</f>
        <v>0</v>
      </c>
    </row>
    <row r="30" spans="1:20" ht="15" customHeight="1">
      <c r="A30" s="1165"/>
      <c r="E30" s="1212" t="s">
        <v>2399</v>
      </c>
      <c r="F30" s="1208" t="s">
        <v>2458</v>
      </c>
      <c r="G30" s="1210">
        <v>50000</v>
      </c>
      <c r="H30" s="1165"/>
      <c r="I30" s="1165"/>
      <c r="L30" s="1132">
        <f>IFERROR(MIN(4,MATCH(Application!B738,UnitSizes,0)-1),"")</f>
        <v>3</v>
      </c>
      <c r="M30" s="1154">
        <f>Application!G738</f>
        <v>8</v>
      </c>
      <c r="N30" s="1162">
        <f>Application!AC738</f>
        <v>0.5</v>
      </c>
      <c r="O30" s="1162">
        <f>IF(Cdlac[[#This Row],[Quantity]]&gt;0,IF(Cdlac[[#This Row],[Federal]],30%,IF($G$36,40%,Cdlac[[#This Row],[iAMI]])),"")</f>
        <v>0.5</v>
      </c>
      <c r="P30" s="1154" cm="1">
        <f t="array" ref="P30">IF(Cdlac[[#This Row],[Quantity]]&gt;0,INDEX(TcacRents,$P$18,Cdlac[[#This Row],[Bedrooms]]+1)*Cdlac[[#This Row],[AMI]],"")</f>
        <v>1013</v>
      </c>
      <c r="Q30" s="1154" cm="1">
        <f t="array" ref="Q30">IF(Cdlac[[#This Row],[Quantity]]&gt;0,INDEX(HudFmrs,$P$18,Cdlac[[#This Row],[Bedrooms]]+1),"")</f>
        <v>1662</v>
      </c>
      <c r="R30" s="1154">
        <f>IF(Cdlac[[#This Row],[Quantity]]&gt;0,MAX(0,Cdlac[[#This Row],[Fair Market Rent]]-Cdlac[[#This Row],[Restricted Rent]]),"")</f>
        <v>649</v>
      </c>
      <c r="S30" s="1132">
        <f>IF(Cdlac[[#This Row],[Quantity]]&gt;0,AND(Application!AK738&lt;&gt;"N/A",Application!AK738&lt;&gt;"")*Cdlac[[#This Row],[Quantity]],"")</f>
        <v>0</v>
      </c>
      <c r="T30" s="1132" t="b">
        <f>AND('Subsidy Contract Calculation'!F14&gt;0,'Subsidy Contract Calculation'!C14="Federal",Cdlac[[#This Row],[Quantity]]&gt;0)</f>
        <v>0</v>
      </c>
    </row>
    <row r="31" spans="1:20" ht="15" customHeight="1">
      <c r="A31" s="1165"/>
      <c r="E31" s="1213" t="s">
        <v>2442</v>
      </c>
      <c r="F31" s="1134"/>
      <c r="G31" s="1214">
        <f>G30*G29</f>
        <v>4975000</v>
      </c>
      <c r="H31" s="1165"/>
      <c r="I31" s="1165"/>
      <c r="L31" s="1132">
        <f>IFERROR(MIN(4,MATCH(Application!B739,UnitSizes,0)-1),"")</f>
        <v>3</v>
      </c>
      <c r="M31" s="1154">
        <f>Application!G739</f>
        <v>1</v>
      </c>
      <c r="N31" s="1162">
        <f>Application!AC739</f>
        <v>0.6</v>
      </c>
      <c r="O31" s="1162">
        <f>IF(Cdlac[[#This Row],[Quantity]]&gt;0,IF(Cdlac[[#This Row],[Federal]],30%,IF($G$36,40%,Cdlac[[#This Row],[iAMI]])),"")</f>
        <v>0.6</v>
      </c>
      <c r="P31" s="1154" cm="1">
        <f t="array" ref="P31">IF(Cdlac[[#This Row],[Quantity]]&gt;0,INDEX(TcacRents,$P$18,Cdlac[[#This Row],[Bedrooms]]+1)*Cdlac[[#This Row],[AMI]],"")</f>
        <v>1215.5999999999999</v>
      </c>
      <c r="Q31" s="1154" cm="1">
        <f t="array" ref="Q31">IF(Cdlac[[#This Row],[Quantity]]&gt;0,INDEX(HudFmrs,$P$18,Cdlac[[#This Row],[Bedrooms]]+1),"")</f>
        <v>1662</v>
      </c>
      <c r="R31" s="1154">
        <f>IF(Cdlac[[#This Row],[Quantity]]&gt;0,MAX(0,Cdlac[[#This Row],[Fair Market Rent]]-Cdlac[[#This Row],[Restricted Rent]]),"")</f>
        <v>446.40000000000009</v>
      </c>
      <c r="S31" s="1132">
        <f>IF(Cdlac[[#This Row],[Quantity]]&gt;0,AND(Application!AK739&lt;&gt;"N/A",Application!AK739&lt;&gt;"")*Cdlac[[#This Row],[Quantity]],"")</f>
        <v>0</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f>IFERROR(MIN(4,MATCH(Application!B740,UnitSizes,0)-1),"")</f>
        <v>4</v>
      </c>
      <c r="M32" s="1154">
        <f>Application!G740</f>
        <v>2</v>
      </c>
      <c r="N32" s="1162">
        <f>Application!AC740</f>
        <v>0.3</v>
      </c>
      <c r="O32" s="1162">
        <f>IF(Cdlac[[#This Row],[Quantity]]&gt;0,IF(Cdlac[[#This Row],[Federal]],30%,IF($G$36,40%,Cdlac[[#This Row],[iAMI]])),"")</f>
        <v>0.3</v>
      </c>
      <c r="P32" s="1154" cm="1">
        <f t="array" ref="P32">IF(Cdlac[[#This Row],[Quantity]]&gt;0,INDEX(TcacRents,$P$18,Cdlac[[#This Row],[Bedrooms]]+1)*Cdlac[[#This Row],[AMI]],"")</f>
        <v>678</v>
      </c>
      <c r="Q32" s="1154" cm="1">
        <f t="array" ref="Q32">IF(Cdlac[[#This Row],[Quantity]]&gt;0,INDEX(HudFmrs,$P$18,Cdlac[[#This Row],[Bedrooms]]+1),"")</f>
        <v>2015</v>
      </c>
      <c r="R32" s="1154">
        <f>IF(Cdlac[[#This Row],[Quantity]]&gt;0,MAX(0,Cdlac[[#This Row],[Fair Market Rent]]-Cdlac[[#This Row],[Restricted Rent]]),"")</f>
        <v>1337</v>
      </c>
      <c r="S32" s="1132">
        <f>IF(Cdlac[[#This Row],[Quantity]]&gt;0,AND(Application!AK740&lt;&gt;"N/A",Application!AK740&lt;&gt;"")*Cdlac[[#This Row],[Quantity]],"")</f>
        <v>0</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f>IFERROR(MIN(4,MATCH(Application!B741,UnitSizes,0)-1),"")</f>
        <v>4</v>
      </c>
      <c r="M33" s="1154">
        <f>Application!G741</f>
        <v>6</v>
      </c>
      <c r="N33" s="1162">
        <f>Application!AC741</f>
        <v>0.4</v>
      </c>
      <c r="O33" s="1162">
        <f>IF(Cdlac[[#This Row],[Quantity]]&gt;0,IF(Cdlac[[#This Row],[Federal]],30%,IF($G$36,40%,Cdlac[[#This Row],[iAMI]])),"")</f>
        <v>0.4</v>
      </c>
      <c r="P33" s="1154" cm="1">
        <f t="array" ref="P33">IF(Cdlac[[#This Row],[Quantity]]&gt;0,INDEX(TcacRents,$P$18,Cdlac[[#This Row],[Bedrooms]]+1)*Cdlac[[#This Row],[AMI]],"")</f>
        <v>904</v>
      </c>
      <c r="Q33" s="1154" cm="1">
        <f t="array" ref="Q33">IF(Cdlac[[#This Row],[Quantity]]&gt;0,INDEX(HudFmrs,$P$18,Cdlac[[#This Row],[Bedrooms]]+1),"")</f>
        <v>2015</v>
      </c>
      <c r="R33" s="1154">
        <f>IF(Cdlac[[#This Row],[Quantity]]&gt;0,MAX(0,Cdlac[[#This Row],[Fair Market Rent]]-Cdlac[[#This Row],[Restricted Rent]]),"")</f>
        <v>1111</v>
      </c>
      <c r="S33" s="1132">
        <f>IF(Cdlac[[#This Row],[Quantity]]&gt;0,AND(Application!AK741&lt;&gt;"N/A",Application!AK741&lt;&gt;"")*Cdlac[[#This Row],[Quantity]],"")</f>
        <v>0</v>
      </c>
      <c r="T33" s="1132" t="b">
        <f>AND('Subsidy Contract Calculation'!F17&gt;0,'Subsidy Contract Calculation'!C17="Federal",Cdlac[[#This Row],[Quantity]]&gt;0)</f>
        <v>0</v>
      </c>
    </row>
    <row r="34" spans="2:20" ht="15" customHeight="1">
      <c r="L34" s="1132">
        <f>IFERROR(MIN(4,MATCH(Application!B742,UnitSizes,0)-1),"")</f>
        <v>4</v>
      </c>
      <c r="M34" s="1154">
        <f>Application!G742</f>
        <v>1</v>
      </c>
      <c r="N34" s="1162">
        <f>Application!AC742</f>
        <v>0.5</v>
      </c>
      <c r="O34" s="1162">
        <f>IF(Cdlac[[#This Row],[Quantity]]&gt;0,IF(Cdlac[[#This Row],[Federal]],30%,IF($G$36,40%,Cdlac[[#This Row],[iAMI]])),"")</f>
        <v>0.5</v>
      </c>
      <c r="P34" s="1154" cm="1">
        <f t="array" ref="P34">IF(Cdlac[[#This Row],[Quantity]]&gt;0,INDEX(TcacRents,$P$18,Cdlac[[#This Row],[Bedrooms]]+1)*Cdlac[[#This Row],[AMI]],"")</f>
        <v>1130</v>
      </c>
      <c r="Q34" s="1154" cm="1">
        <f t="array" ref="Q34">IF(Cdlac[[#This Row],[Quantity]]&gt;0,INDEX(HudFmrs,$P$18,Cdlac[[#This Row],[Bedrooms]]+1),"")</f>
        <v>2015</v>
      </c>
      <c r="R34" s="1154">
        <f>IF(Cdlac[[#This Row],[Quantity]]&gt;0,MAX(0,Cdlac[[#This Row],[Fair Market Rent]]-Cdlac[[#This Row],[Restricted Rent]]),"")</f>
        <v>885</v>
      </c>
      <c r="S34" s="1132">
        <f>IF(Cdlac[[#This Row],[Quantity]]&gt;0,AND(Application!AK742&lt;&gt;"N/A",Application!AK742&lt;&gt;"")*Cdlac[[#This Row],[Quantity]],"")</f>
        <v>0</v>
      </c>
      <c r="T34" s="1132" t="b">
        <f>AND('Subsidy Contract Calculation'!F18&gt;0,'Subsidy Contract Calculation'!C18="Federal",Cdlac[[#This Row],[Quantity]]&gt;0)</f>
        <v>0</v>
      </c>
    </row>
    <row r="35" spans="2:20" ht="15" customHeight="1">
      <c r="E35" s="1177" t="s">
        <v>2469</v>
      </c>
      <c r="G35" s="1215" cm="1">
        <f t="array" ref="G35">SUMPRODUCT(Cdlac[Quantity],Cdlac[iAMI],IF(Cdlac[Federal],0,1))/SUMIFS(Cdlac[Quantity],Cdlac[Federal],FALSE)</f>
        <v>0.40135135135135142</v>
      </c>
      <c r="L35" s="1132">
        <f>IFERROR(MIN(4,MATCH(Application!B743,UnitSizes,0)-1),"")</f>
        <v>4</v>
      </c>
      <c r="M35" s="1154">
        <f>Application!G743</f>
        <v>1</v>
      </c>
      <c r="N35" s="1162">
        <f>Application!AC743</f>
        <v>0.6</v>
      </c>
      <c r="O35" s="1162">
        <f>IF(Cdlac[[#This Row],[Quantity]]&gt;0,IF(Cdlac[[#This Row],[Federal]],30%,IF($G$36,40%,Cdlac[[#This Row],[iAMI]])),"")</f>
        <v>0.6</v>
      </c>
      <c r="P35" s="1154" cm="1">
        <f t="array" ref="P35">IF(Cdlac[[#This Row],[Quantity]]&gt;0,INDEX(TcacRents,$P$18,Cdlac[[#This Row],[Bedrooms]]+1)*Cdlac[[#This Row],[AMI]],"")</f>
        <v>1356</v>
      </c>
      <c r="Q35" s="1154" cm="1">
        <f t="array" ref="Q35">IF(Cdlac[[#This Row],[Quantity]]&gt;0,INDEX(HudFmrs,$P$18,Cdlac[[#This Row],[Bedrooms]]+1),"")</f>
        <v>2015</v>
      </c>
      <c r="R35" s="1154">
        <f>IF(Cdlac[[#This Row],[Quantity]]&gt;0,MAX(0,Cdlac[[#This Row],[Fair Market Rent]]-Cdlac[[#This Row],[Restricted Rent]]),"")</f>
        <v>659</v>
      </c>
      <c r="S35" s="1132">
        <f>IF(Cdlac[[#This Row],[Quantity]]&gt;0,AND(Application!AK743&lt;&gt;"N/A",Application!AK743&lt;&gt;"")*Cdlac[[#This Row],[Quantity]],"")</f>
        <v>0</v>
      </c>
      <c r="T35" s="1132" t="b">
        <f>AND('Subsidy Contract Calculation'!F19&gt;0,'Subsidy Contract Calculation'!C19="Federal",Cdlac[[#This Row],[Quantity]]&gt;0)</f>
        <v>0</v>
      </c>
    </row>
    <row r="36" spans="2:20" ht="15" customHeight="1">
      <c r="E36" s="1177" t="s">
        <v>2464</v>
      </c>
      <c r="G36" s="1172" t="b">
        <f>G35&lt;40%</f>
        <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2403</v>
      </c>
      <c r="G38" s="1169">
        <f>SUMPRODUCT(Cdlac[Quantity],Cdlac[Delta])</f>
        <v>51944.800000000003</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2470</v>
      </c>
      <c r="F39" s="1208" t="s">
        <v>2458</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2396</v>
      </c>
      <c r="F40" s="1134"/>
      <c r="G40" s="1218">
        <f>G38*G39</f>
        <v>9350064</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2459</v>
      </c>
      <c r="G44" s="1220">
        <f>S18</f>
        <v>0</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2460</v>
      </c>
      <c r="G45" s="1220">
        <f>ROUNDDOWN(E27*50%,0)</f>
        <v>37</v>
      </c>
    </row>
    <row r="46" spans="2:20" ht="15" customHeight="1">
      <c r="E46" s="1212"/>
      <c r="G46" s="1220"/>
    </row>
    <row r="47" spans="2:20" ht="15" customHeight="1">
      <c r="E47" s="1212" t="s">
        <v>2409</v>
      </c>
      <c r="G47" s="1209">
        <f>MIN(G44:G45)</f>
        <v>0</v>
      </c>
    </row>
    <row r="48" spans="2:20" ht="15" customHeight="1">
      <c r="E48" s="1212" t="s">
        <v>2399</v>
      </c>
      <c r="F48" s="1208" t="s">
        <v>2458</v>
      </c>
      <c r="G48" s="1219">
        <v>10000</v>
      </c>
    </row>
    <row r="49" spans="2:14" ht="15" customHeight="1">
      <c r="E49" s="1213" t="s">
        <v>2441</v>
      </c>
      <c r="F49" s="1134"/>
      <c r="G49" s="1218">
        <f>G47*G48</f>
        <v>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2461</v>
      </c>
      <c r="G53" s="1170">
        <f>SUMIFS(Cdlac[Quantity],Cdlac[iAMI],"&lt;=30%")</f>
        <v>21</v>
      </c>
    </row>
    <row r="54" spans="2:14" ht="15" customHeight="1">
      <c r="E54" s="1212" t="s">
        <v>2460</v>
      </c>
      <c r="G54" s="1170">
        <f>ROUNDDOWN(E27*50%,0)</f>
        <v>37</v>
      </c>
    </row>
    <row r="55" spans="2:14" ht="15" customHeight="1">
      <c r="E55" s="1212"/>
      <c r="G55" s="1170"/>
    </row>
    <row r="56" spans="2:14" ht="15" customHeight="1">
      <c r="E56" s="1212" t="s">
        <v>2409</v>
      </c>
      <c r="G56" s="1209">
        <f>MIN(G53:G54)</f>
        <v>21</v>
      </c>
    </row>
    <row r="57" spans="2:14" ht="15" customHeight="1">
      <c r="E57" s="1212" t="s">
        <v>2399</v>
      </c>
      <c r="F57" s="1208" t="s">
        <v>2458</v>
      </c>
      <c r="G57" s="1219">
        <v>20000</v>
      </c>
    </row>
    <row r="58" spans="2:14" ht="15" customHeight="1">
      <c r="E58" s="1213" t="s">
        <v>2440</v>
      </c>
      <c r="F58" s="1134"/>
      <c r="G58" s="1218">
        <f>G56*G57</f>
        <v>420000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2412</v>
      </c>
      <c r="G62" s="1209">
        <f>VLOOKUP('Points System'!$H$595,'Points System'!$AO$575:$AP$580,2,FALSE)</f>
        <v>4</v>
      </c>
      <c r="L62" s="1222" t="str">
        <f>'Points System'!H627</f>
        <v>N/A</v>
      </c>
      <c r="M62" s="2578" t="s">
        <v>1602</v>
      </c>
      <c r="N62" s="2579"/>
    </row>
    <row r="63" spans="2:14" ht="15" customHeight="1">
      <c r="E63" s="1177" t="s">
        <v>2399</v>
      </c>
      <c r="F63" s="1208" t="s">
        <v>2458</v>
      </c>
      <c r="G63" s="1167">
        <v>4000</v>
      </c>
      <c r="L63" s="1223" t="str">
        <f>'Points System'!H639</f>
        <v>N/A</v>
      </c>
      <c r="M63" s="2570" t="s">
        <v>2413</v>
      </c>
      <c r="N63" s="2571"/>
    </row>
    <row r="64" spans="2:14" ht="15" customHeight="1">
      <c r="E64" s="1177" t="s">
        <v>2462</v>
      </c>
      <c r="F64" s="1208" t="s">
        <v>2458</v>
      </c>
      <c r="G64" s="1221">
        <f>G27</f>
        <v>99.5</v>
      </c>
      <c r="L64" s="1223" t="str">
        <f>'Points System'!H674</f>
        <v>(ii)</v>
      </c>
      <c r="M64" s="2570" t="s">
        <v>2414</v>
      </c>
      <c r="N64" s="2571"/>
    </row>
    <row r="65" spans="2:14" ht="15" customHeight="1">
      <c r="E65" s="1213" t="s">
        <v>2418</v>
      </c>
      <c r="F65" s="1134"/>
      <c r="G65" s="1218">
        <f>G62*G63*G64</f>
        <v>1592000</v>
      </c>
      <c r="L65" s="1223" t="str">
        <f>'Points System'!H694</f>
        <v>N/A</v>
      </c>
      <c r="M65" s="2570" t="s">
        <v>2415</v>
      </c>
      <c r="N65" s="2571"/>
    </row>
    <row r="66" spans="2:14" ht="15" customHeight="1">
      <c r="C66" s="1168"/>
      <c r="G66" s="1209"/>
      <c r="L66" s="1224" t="str">
        <f>'Points System'!H708</f>
        <v>N/A</v>
      </c>
      <c r="M66" s="2570" t="s">
        <v>1632</v>
      </c>
      <c r="N66" s="2571"/>
    </row>
    <row r="67" spans="2:14" ht="15" customHeight="1">
      <c r="E67" s="1177" t="s">
        <v>2463</v>
      </c>
      <c r="G67" s="1221">
        <f>COUNTIFS(L62:L69,"(i)")</f>
        <v>1</v>
      </c>
      <c r="L67" s="1223" t="str">
        <f>'Points System'!H720</f>
        <v>N/A</v>
      </c>
      <c r="M67" s="2570" t="s">
        <v>2416</v>
      </c>
      <c r="N67" s="2571"/>
    </row>
    <row r="68" spans="2:14" ht="15" customHeight="1">
      <c r="E68" s="1177" t="s">
        <v>2399</v>
      </c>
      <c r="F68" s="1208" t="s">
        <v>2458</v>
      </c>
      <c r="G68" s="1219">
        <v>4000</v>
      </c>
      <c r="L68" s="1223" t="str">
        <f>'Points System'!H736</f>
        <v>N/A</v>
      </c>
      <c r="M68" s="2570" t="s">
        <v>2417</v>
      </c>
      <c r="N68" s="2571"/>
    </row>
    <row r="69" spans="2:14" ht="15" customHeight="1" thickBot="1">
      <c r="E69" s="1213" t="s">
        <v>2419</v>
      </c>
      <c r="F69" s="1134"/>
      <c r="G69" s="1218">
        <f>G64*G67*G68</f>
        <v>398000</v>
      </c>
      <c r="L69" s="1225" t="str">
        <f>'Points System'!H748</f>
        <v>(i)</v>
      </c>
      <c r="M69" s="2572" t="s">
        <v>1635</v>
      </c>
      <c r="N69" s="2573"/>
    </row>
    <row r="70" spans="2:14" ht="15" customHeight="1"/>
    <row r="71" spans="2:14" ht="15" customHeight="1">
      <c r="C71" s="1171" t="s">
        <v>2421</v>
      </c>
    </row>
    <row r="72" spans="2:14" ht="15" customHeight="1">
      <c r="C72" s="1168" t="s">
        <v>2422</v>
      </c>
      <c r="G72" s="1131"/>
    </row>
    <row r="73" spans="2:14" ht="15" customHeight="1">
      <c r="C73" s="1168" t="s">
        <v>2423</v>
      </c>
      <c r="G73" s="1131"/>
    </row>
    <row r="74" spans="2:14" ht="15" customHeight="1">
      <c r="C74" s="1168" t="s">
        <v>2424</v>
      </c>
      <c r="G74" s="1131"/>
    </row>
    <row r="75" spans="2:14" ht="15" customHeight="1">
      <c r="C75" s="1168" t="s">
        <v>2425</v>
      </c>
      <c r="G75" s="1131"/>
    </row>
    <row r="76" spans="2:14" ht="15" customHeight="1"/>
    <row r="77" spans="2:14" ht="15" customHeight="1">
      <c r="B77" s="1169"/>
      <c r="C77" s="1168"/>
      <c r="E77" s="1177" t="s">
        <v>2465</v>
      </c>
      <c r="G77" s="1170" t="b">
        <f>COUNTIFS(G72:G75,"Yes")&gt;=1</f>
        <v>0</v>
      </c>
    </row>
    <row r="78" spans="2:14" ht="15" customHeight="1">
      <c r="E78" s="1168"/>
    </row>
    <row r="79" spans="2:14" ht="15" customHeight="1">
      <c r="E79" s="1177" t="s">
        <v>2462</v>
      </c>
      <c r="F79" s="1208" t="s">
        <v>2458</v>
      </c>
      <c r="G79" s="1209">
        <f>G44</f>
        <v>0</v>
      </c>
    </row>
    <row r="80" spans="2:14" ht="15" customHeight="1">
      <c r="E80" s="1177" t="s">
        <v>2399</v>
      </c>
      <c r="F80" s="1208" t="s">
        <v>2458</v>
      </c>
      <c r="G80" s="1219">
        <v>25000</v>
      </c>
    </row>
    <row r="81" spans="2:14" ht="15" customHeight="1">
      <c r="E81" s="1213" t="s">
        <v>2420</v>
      </c>
      <c r="F81" s="1134"/>
      <c r="G81" s="1218">
        <f>G77*G80*G64</f>
        <v>0</v>
      </c>
    </row>
    <row r="82" spans="2:14" ht="15" customHeight="1">
      <c r="C82" s="1168"/>
      <c r="E82" s="1168"/>
    </row>
    <row r="83" spans="2:14" ht="15" customHeight="1">
      <c r="E83" s="1213" t="s">
        <v>2397</v>
      </c>
      <c r="G83" s="1218">
        <f>G81+G69+G65</f>
        <v>1990000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2444</v>
      </c>
      <c r="G87" s="1131" t="s">
        <v>571</v>
      </c>
      <c r="L87" s="2574" t="s">
        <v>2428</v>
      </c>
      <c r="M87" s="2575"/>
      <c r="N87" s="1226">
        <v>30000</v>
      </c>
    </row>
    <row r="88" spans="2:14" ht="15" customHeight="1">
      <c r="C88" s="1168" t="s">
        <v>2445</v>
      </c>
      <c r="G88" s="1172" t="str">
        <f>IF(Application!D210="Large Family","Yes","No")</f>
        <v>Yes</v>
      </c>
      <c r="L88" s="2566" t="s">
        <v>2390</v>
      </c>
      <c r="M88" s="2567"/>
      <c r="N88" s="1227">
        <v>20000</v>
      </c>
    </row>
    <row r="89" spans="2:14" ht="15" customHeight="1" thickBot="1">
      <c r="C89" s="1168" t="s">
        <v>2426</v>
      </c>
      <c r="G89" s="1131"/>
      <c r="L89" s="2568" t="s">
        <v>2429</v>
      </c>
      <c r="M89" s="2569"/>
      <c r="N89" s="1228">
        <v>10000</v>
      </c>
    </row>
    <row r="90" spans="2:14" ht="15" customHeight="1">
      <c r="C90" s="1168" t="s">
        <v>2427</v>
      </c>
      <c r="G90" s="1132" t="str">
        <f>Application!T193</f>
        <v>High Resource</v>
      </c>
    </row>
    <row r="91" spans="2:14" ht="15" customHeight="1">
      <c r="C91" s="1168"/>
    </row>
    <row r="92" spans="2:14" ht="15" customHeight="1">
      <c r="E92" s="1177" t="s">
        <v>2465</v>
      </c>
      <c r="G92" s="1170" t="b">
        <f>AND(COUNTIFS(G88:G89,"Yes")&gt;=1,G87="Yes")</f>
        <v>1</v>
      </c>
    </row>
    <row r="93" spans="2:14" ht="15" customHeight="1">
      <c r="E93" s="1177"/>
      <c r="G93" s="1170"/>
    </row>
    <row r="94" spans="2:14" ht="15" customHeight="1">
      <c r="E94" s="1177" t="s">
        <v>2399</v>
      </c>
      <c r="G94" s="1169">
        <f>IFERROR(INDEX(N87:N89,MATCH(LEFT(G90,17),L87:L89,0)),0)</f>
        <v>20000</v>
      </c>
    </row>
    <row r="95" spans="2:14" ht="15" customHeight="1">
      <c r="E95" s="1177" t="str">
        <f>E64</f>
        <v>Bedroom-Adjusted Low-Income Units</v>
      </c>
      <c r="F95" s="1208" t="s">
        <v>2458</v>
      </c>
      <c r="G95" s="1209">
        <f>G27</f>
        <v>99.5</v>
      </c>
    </row>
    <row r="96" spans="2:14" ht="15" customHeight="1">
      <c r="D96" s="1134"/>
      <c r="E96" s="1213" t="s">
        <v>2398</v>
      </c>
      <c r="F96" s="1134"/>
      <c r="G96" s="1218">
        <f>G95*G94*G92</f>
        <v>1990000</v>
      </c>
    </row>
    <row r="97" spans="2:9" ht="15" customHeight="1"/>
    <row r="98" spans="2:9" ht="15" customHeight="1">
      <c r="B98" s="1157" t="s">
        <v>2411</v>
      </c>
      <c r="C98" s="1158"/>
      <c r="D98" s="1158"/>
      <c r="E98" s="1158"/>
      <c r="F98" s="1158"/>
      <c r="G98" s="1158"/>
      <c r="H98" s="1158"/>
      <c r="I98" s="1159"/>
    </row>
    <row r="99" spans="2:9" ht="15" customHeight="1"/>
    <row r="100" spans="2:9" ht="15" customHeight="1">
      <c r="F100" s="1211" t="s">
        <v>2439</v>
      </c>
      <c r="G100" s="1131"/>
    </row>
    <row r="101" spans="2:9" ht="15" customHeight="1">
      <c r="F101" s="1211"/>
    </row>
    <row r="102" spans="2:9" ht="15" customHeight="1">
      <c r="E102" s="1177" t="s">
        <v>2465</v>
      </c>
      <c r="G102" s="1170" t="b">
        <f>G100="Yes"</f>
        <v>0</v>
      </c>
    </row>
    <row r="103" spans="2:9" ht="15" customHeight="1"/>
    <row r="104" spans="2:9" ht="15" customHeight="1">
      <c r="E104" s="1177" t="str">
        <f>E64</f>
        <v>Bedroom-Adjusted Low-Income Units</v>
      </c>
      <c r="G104" s="1209">
        <f>G27</f>
        <v>99.5</v>
      </c>
    </row>
    <row r="105" spans="2:9" ht="15" customHeight="1">
      <c r="E105" s="1177" t="s">
        <v>2399</v>
      </c>
      <c r="F105" s="1208" t="s">
        <v>2458</v>
      </c>
      <c r="G105" s="1138">
        <v>20000</v>
      </c>
    </row>
    <row r="106" spans="2:9" ht="15" customHeight="1">
      <c r="E106" s="1213" t="s">
        <v>2430</v>
      </c>
      <c r="F106" s="1134"/>
      <c r="G106" s="1218">
        <f>G102*G105*G104</f>
        <v>0</v>
      </c>
    </row>
    <row r="107" spans="2:9" ht="15" customHeight="1"/>
    <row r="108" spans="2:9" ht="15" customHeight="1">
      <c r="B108" s="1157" t="s">
        <v>2467</v>
      </c>
      <c r="C108" s="1158"/>
      <c r="D108" s="1158"/>
      <c r="E108" s="1158"/>
      <c r="F108" s="1158"/>
      <c r="G108" s="1158"/>
      <c r="H108" s="1158"/>
      <c r="I108" s="1159"/>
    </row>
    <row r="109" spans="2:9" ht="15" customHeight="1"/>
    <row r="110" spans="2:9" ht="15" customHeight="1">
      <c r="E110" s="1177" t="s">
        <v>609</v>
      </c>
      <c r="G110" s="1132" t="str">
        <f>IF(Application!T189="","",Application!T189)</f>
        <v>Butte</v>
      </c>
    </row>
    <row r="111" spans="2:9" ht="15" customHeight="1">
      <c r="E111" s="1177"/>
      <c r="G111" s="1169"/>
    </row>
    <row r="112" spans="2:9" ht="15" customHeight="1">
      <c r="E112" s="1177" t="str">
        <f>"2-Bedroom "&amp;G110&amp;" County Basis Limit"</f>
        <v>2-Bedroom Butte County Basis Limit</v>
      </c>
      <c r="G112" s="1169">
        <f>Application!R971</f>
        <v>342400</v>
      </c>
    </row>
    <row r="113" spans="4:9" ht="15" customHeight="1">
      <c r="E113" s="1177" t="s">
        <v>2466</v>
      </c>
      <c r="G113" s="1169">
        <f>MEDIAN((Application!BR809:BR866))</f>
        <v>388000</v>
      </c>
    </row>
    <row r="114" spans="4:9" ht="15" customHeight="1">
      <c r="D114" s="1134"/>
      <c r="E114" s="1213" t="s">
        <v>2468</v>
      </c>
      <c r="F114" s="1229"/>
      <c r="G114" s="1230">
        <f>((G112-G113)/G113)*0.25</f>
        <v>-2.9381443298969072E-2</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3" zoomScaleNormal="100" zoomScaleSheetLayoutView="100" workbookViewId="0">
      <selection activeCell="AJ82" sqref="AJ82"/>
    </sheetView>
  </sheetViews>
  <sheetFormatPr defaultColWidth="0" defaultRowHeight="0" customHeight="1" zeroHeight="1"/>
  <cols>
    <col min="1" max="1" width="1.5703125" style="436" customWidth="1"/>
    <col min="2" max="2" width="0.85546875" style="436" customWidth="1"/>
    <col min="3" max="18" width="2.5703125" style="436" customWidth="1"/>
    <col min="19" max="19" width="4" style="436" customWidth="1"/>
    <col min="20" max="39" width="2.7109375" style="436" customWidth="1"/>
    <col min="40" max="40" width="1.5703125" style="436" customWidth="1"/>
    <col min="41" max="256" width="2.5703125" style="436" hidden="1"/>
    <col min="257" max="257" width="1.5703125" style="436" hidden="1" customWidth="1"/>
    <col min="258" max="258" width="0.85546875" style="436" hidden="1" customWidth="1"/>
    <col min="259" max="274" width="2.5703125" style="436" hidden="1" customWidth="1"/>
    <col min="275" max="275" width="4" style="436" hidden="1" customWidth="1"/>
    <col min="276" max="279" width="2.5703125" style="436" hidden="1" customWidth="1"/>
    <col min="280" max="280" width="2.42578125" style="436" hidden="1" customWidth="1"/>
    <col min="281" max="284" width="2.5703125" style="436" hidden="1" customWidth="1"/>
    <col min="285" max="285" width="2.42578125" style="436" hidden="1" customWidth="1"/>
    <col min="286" max="289" width="2.5703125" style="436" hidden="1" customWidth="1"/>
    <col min="290" max="295" width="2.42578125" style="436" hidden="1" customWidth="1"/>
    <col min="296" max="296" width="1.5703125" style="436" hidden="1" customWidth="1"/>
    <col min="297" max="512" width="2.5703125" style="436" hidden="1"/>
    <col min="513" max="513" width="1.5703125" style="436" hidden="1" customWidth="1"/>
    <col min="514" max="514" width="0.85546875" style="436" hidden="1" customWidth="1"/>
    <col min="515" max="530" width="2.5703125" style="436" hidden="1" customWidth="1"/>
    <col min="531" max="531" width="4" style="436" hidden="1" customWidth="1"/>
    <col min="532" max="535" width="2.5703125" style="436" hidden="1" customWidth="1"/>
    <col min="536" max="536" width="2.42578125" style="436" hidden="1" customWidth="1"/>
    <col min="537" max="540" width="2.5703125" style="436" hidden="1" customWidth="1"/>
    <col min="541" max="541" width="2.42578125" style="436" hidden="1" customWidth="1"/>
    <col min="542" max="545" width="2.5703125" style="436" hidden="1" customWidth="1"/>
    <col min="546" max="551" width="2.42578125" style="436" hidden="1" customWidth="1"/>
    <col min="552" max="552" width="1.5703125" style="436" hidden="1" customWidth="1"/>
    <col min="553" max="768" width="2.5703125" style="436" hidden="1"/>
    <col min="769" max="769" width="1.5703125" style="436" hidden="1" customWidth="1"/>
    <col min="770" max="770" width="0.85546875" style="436" hidden="1" customWidth="1"/>
    <col min="771" max="786" width="2.5703125" style="436" hidden="1" customWidth="1"/>
    <col min="787" max="787" width="4" style="436" hidden="1" customWidth="1"/>
    <col min="788" max="791" width="2.5703125" style="436" hidden="1" customWidth="1"/>
    <col min="792" max="792" width="2.42578125" style="436" hidden="1" customWidth="1"/>
    <col min="793" max="796" width="2.5703125" style="436" hidden="1" customWidth="1"/>
    <col min="797" max="797" width="2.42578125" style="436" hidden="1" customWidth="1"/>
    <col min="798" max="801" width="2.5703125" style="436" hidden="1" customWidth="1"/>
    <col min="802" max="807" width="2.42578125" style="436" hidden="1" customWidth="1"/>
    <col min="808" max="808" width="1.5703125" style="436" hidden="1" customWidth="1"/>
    <col min="809" max="1024" width="2.5703125" style="436" hidden="1"/>
    <col min="1025" max="1025" width="1.5703125" style="436" hidden="1" customWidth="1"/>
    <col min="1026" max="1026" width="0.85546875" style="436" hidden="1" customWidth="1"/>
    <col min="1027" max="1042" width="2.5703125" style="436" hidden="1" customWidth="1"/>
    <col min="1043" max="1043" width="4" style="436" hidden="1" customWidth="1"/>
    <col min="1044" max="1047" width="2.5703125" style="436" hidden="1" customWidth="1"/>
    <col min="1048" max="1048" width="2.42578125" style="436" hidden="1" customWidth="1"/>
    <col min="1049" max="1052" width="2.5703125" style="436" hidden="1" customWidth="1"/>
    <col min="1053" max="1053" width="2.42578125" style="436" hidden="1" customWidth="1"/>
    <col min="1054" max="1057" width="2.5703125" style="436" hidden="1" customWidth="1"/>
    <col min="1058" max="1063" width="2.42578125" style="436" hidden="1" customWidth="1"/>
    <col min="1064" max="1064" width="1.5703125" style="436" hidden="1" customWidth="1"/>
    <col min="1065" max="1280" width="2.5703125" style="436" hidden="1"/>
    <col min="1281" max="1281" width="1.5703125" style="436" hidden="1" customWidth="1"/>
    <col min="1282" max="1282" width="0.85546875" style="436" hidden="1" customWidth="1"/>
    <col min="1283" max="1298" width="2.5703125" style="436" hidden="1" customWidth="1"/>
    <col min="1299" max="1299" width="4" style="436" hidden="1" customWidth="1"/>
    <col min="1300" max="1303" width="2.5703125" style="436" hidden="1" customWidth="1"/>
    <col min="1304" max="1304" width="2.42578125" style="436" hidden="1" customWidth="1"/>
    <col min="1305" max="1308" width="2.5703125" style="436" hidden="1" customWidth="1"/>
    <col min="1309" max="1309" width="2.42578125" style="436" hidden="1" customWidth="1"/>
    <col min="1310" max="1313" width="2.5703125" style="436" hidden="1" customWidth="1"/>
    <col min="1314" max="1319" width="2.42578125" style="436" hidden="1" customWidth="1"/>
    <col min="1320" max="1320" width="1.5703125" style="436" hidden="1" customWidth="1"/>
    <col min="1321" max="1536" width="2.5703125" style="436" hidden="1"/>
    <col min="1537" max="1537" width="1.5703125" style="436" hidden="1" customWidth="1"/>
    <col min="1538" max="1538" width="0.85546875" style="436" hidden="1" customWidth="1"/>
    <col min="1539" max="1554" width="2.5703125" style="436" hidden="1" customWidth="1"/>
    <col min="1555" max="1555" width="4" style="436" hidden="1" customWidth="1"/>
    <col min="1556" max="1559" width="2.5703125" style="436" hidden="1" customWidth="1"/>
    <col min="1560" max="1560" width="2.42578125" style="436" hidden="1" customWidth="1"/>
    <col min="1561" max="1564" width="2.5703125" style="436" hidden="1" customWidth="1"/>
    <col min="1565" max="1565" width="2.42578125" style="436" hidden="1" customWidth="1"/>
    <col min="1566" max="1569" width="2.5703125" style="436" hidden="1" customWidth="1"/>
    <col min="1570" max="1575" width="2.42578125" style="436" hidden="1" customWidth="1"/>
    <col min="1576" max="1576" width="1.5703125" style="436" hidden="1" customWidth="1"/>
    <col min="1577" max="1792" width="2.5703125" style="436" hidden="1"/>
    <col min="1793" max="1793" width="1.5703125" style="436" hidden="1" customWidth="1"/>
    <col min="1794" max="1794" width="0.85546875" style="436" hidden="1" customWidth="1"/>
    <col min="1795" max="1810" width="2.5703125" style="436" hidden="1" customWidth="1"/>
    <col min="1811" max="1811" width="4" style="436" hidden="1" customWidth="1"/>
    <col min="1812" max="1815" width="2.5703125" style="436" hidden="1" customWidth="1"/>
    <col min="1816" max="1816" width="2.42578125" style="436" hidden="1" customWidth="1"/>
    <col min="1817" max="1820" width="2.5703125" style="436" hidden="1" customWidth="1"/>
    <col min="1821" max="1821" width="2.42578125" style="436" hidden="1" customWidth="1"/>
    <col min="1822" max="1825" width="2.5703125" style="436" hidden="1" customWidth="1"/>
    <col min="1826" max="1831" width="2.42578125" style="436" hidden="1" customWidth="1"/>
    <col min="1832" max="1832" width="1.5703125" style="436" hidden="1" customWidth="1"/>
    <col min="1833" max="2048" width="2.5703125" style="436" hidden="1"/>
    <col min="2049" max="2049" width="1.5703125" style="436" hidden="1" customWidth="1"/>
    <col min="2050" max="2050" width="0.85546875" style="436" hidden="1" customWidth="1"/>
    <col min="2051" max="2066" width="2.5703125" style="436" hidden="1" customWidth="1"/>
    <col min="2067" max="2067" width="4" style="436" hidden="1" customWidth="1"/>
    <col min="2068" max="2071" width="2.5703125" style="436" hidden="1" customWidth="1"/>
    <col min="2072" max="2072" width="2.42578125" style="436" hidden="1" customWidth="1"/>
    <col min="2073" max="2076" width="2.5703125" style="436" hidden="1" customWidth="1"/>
    <col min="2077" max="2077" width="2.42578125" style="436" hidden="1" customWidth="1"/>
    <col min="2078" max="2081" width="2.5703125" style="436" hidden="1" customWidth="1"/>
    <col min="2082" max="2087" width="2.42578125" style="436" hidden="1" customWidth="1"/>
    <col min="2088" max="2088" width="1.5703125" style="436" hidden="1" customWidth="1"/>
    <col min="2089" max="2304" width="2.5703125" style="436" hidden="1"/>
    <col min="2305" max="2305" width="1.5703125" style="436" hidden="1" customWidth="1"/>
    <col min="2306" max="2306" width="0.85546875" style="436" hidden="1" customWidth="1"/>
    <col min="2307" max="2322" width="2.5703125" style="436" hidden="1" customWidth="1"/>
    <col min="2323" max="2323" width="4" style="436" hidden="1" customWidth="1"/>
    <col min="2324" max="2327" width="2.5703125" style="436" hidden="1" customWidth="1"/>
    <col min="2328" max="2328" width="2.42578125" style="436" hidden="1" customWidth="1"/>
    <col min="2329" max="2332" width="2.5703125" style="436" hidden="1" customWidth="1"/>
    <col min="2333" max="2333" width="2.42578125" style="436" hidden="1" customWidth="1"/>
    <col min="2334" max="2337" width="2.5703125" style="436" hidden="1" customWidth="1"/>
    <col min="2338" max="2343" width="2.42578125" style="436" hidden="1" customWidth="1"/>
    <col min="2344" max="2344" width="1.5703125" style="436" hidden="1" customWidth="1"/>
    <col min="2345" max="2560" width="2.5703125" style="436" hidden="1"/>
    <col min="2561" max="2561" width="1.5703125" style="436" hidden="1" customWidth="1"/>
    <col min="2562" max="2562" width="0.85546875" style="436" hidden="1" customWidth="1"/>
    <col min="2563" max="2578" width="2.5703125" style="436" hidden="1" customWidth="1"/>
    <col min="2579" max="2579" width="4" style="436" hidden="1" customWidth="1"/>
    <col min="2580" max="2583" width="2.5703125" style="436" hidden="1" customWidth="1"/>
    <col min="2584" max="2584" width="2.42578125" style="436" hidden="1" customWidth="1"/>
    <col min="2585" max="2588" width="2.5703125" style="436" hidden="1" customWidth="1"/>
    <col min="2589" max="2589" width="2.42578125" style="436" hidden="1" customWidth="1"/>
    <col min="2590" max="2593" width="2.5703125" style="436" hidden="1" customWidth="1"/>
    <col min="2594" max="2599" width="2.42578125" style="436" hidden="1" customWidth="1"/>
    <col min="2600" max="2600" width="1.5703125" style="436" hidden="1" customWidth="1"/>
    <col min="2601" max="2816" width="2.5703125" style="436" hidden="1"/>
    <col min="2817" max="2817" width="1.5703125" style="436" hidden="1" customWidth="1"/>
    <col min="2818" max="2818" width="0.85546875" style="436" hidden="1" customWidth="1"/>
    <col min="2819" max="2834" width="2.5703125" style="436" hidden="1" customWidth="1"/>
    <col min="2835" max="2835" width="4" style="436" hidden="1" customWidth="1"/>
    <col min="2836" max="2839" width="2.5703125" style="436" hidden="1" customWidth="1"/>
    <col min="2840" max="2840" width="2.42578125" style="436" hidden="1" customWidth="1"/>
    <col min="2841" max="2844" width="2.5703125" style="436" hidden="1" customWidth="1"/>
    <col min="2845" max="2845" width="2.42578125" style="436" hidden="1" customWidth="1"/>
    <col min="2846" max="2849" width="2.5703125" style="436" hidden="1" customWidth="1"/>
    <col min="2850" max="2855" width="2.42578125" style="436" hidden="1" customWidth="1"/>
    <col min="2856" max="2856" width="1.5703125" style="436" hidden="1" customWidth="1"/>
    <col min="2857" max="3072" width="2.5703125" style="436" hidden="1"/>
    <col min="3073" max="3073" width="1.5703125" style="436" hidden="1" customWidth="1"/>
    <col min="3074" max="3074" width="0.85546875" style="436" hidden="1" customWidth="1"/>
    <col min="3075" max="3090" width="2.5703125" style="436" hidden="1" customWidth="1"/>
    <col min="3091" max="3091" width="4" style="436" hidden="1" customWidth="1"/>
    <col min="3092" max="3095" width="2.5703125" style="436" hidden="1" customWidth="1"/>
    <col min="3096" max="3096" width="2.42578125" style="436" hidden="1" customWidth="1"/>
    <col min="3097" max="3100" width="2.5703125" style="436" hidden="1" customWidth="1"/>
    <col min="3101" max="3101" width="2.42578125" style="436" hidden="1" customWidth="1"/>
    <col min="3102" max="3105" width="2.5703125" style="436" hidden="1" customWidth="1"/>
    <col min="3106" max="3111" width="2.42578125" style="436" hidden="1" customWidth="1"/>
    <col min="3112" max="3112" width="1.5703125" style="436" hidden="1" customWidth="1"/>
    <col min="3113" max="3328" width="2.5703125" style="436" hidden="1"/>
    <col min="3329" max="3329" width="1.5703125" style="436" hidden="1" customWidth="1"/>
    <col min="3330" max="3330" width="0.85546875" style="436" hidden="1" customWidth="1"/>
    <col min="3331" max="3346" width="2.5703125" style="436" hidden="1" customWidth="1"/>
    <col min="3347" max="3347" width="4" style="436" hidden="1" customWidth="1"/>
    <col min="3348" max="3351" width="2.5703125" style="436" hidden="1" customWidth="1"/>
    <col min="3352" max="3352" width="2.42578125" style="436" hidden="1" customWidth="1"/>
    <col min="3353" max="3356" width="2.5703125" style="436" hidden="1" customWidth="1"/>
    <col min="3357" max="3357" width="2.42578125" style="436" hidden="1" customWidth="1"/>
    <col min="3358" max="3361" width="2.5703125" style="436" hidden="1" customWidth="1"/>
    <col min="3362" max="3367" width="2.42578125" style="436" hidden="1" customWidth="1"/>
    <col min="3368" max="3368" width="1.5703125" style="436" hidden="1" customWidth="1"/>
    <col min="3369" max="3584" width="2.5703125" style="436" hidden="1"/>
    <col min="3585" max="3585" width="1.5703125" style="436" hidden="1" customWidth="1"/>
    <col min="3586" max="3586" width="0.85546875" style="436" hidden="1" customWidth="1"/>
    <col min="3587" max="3602" width="2.5703125" style="436" hidden="1" customWidth="1"/>
    <col min="3603" max="3603" width="4" style="436" hidden="1" customWidth="1"/>
    <col min="3604" max="3607" width="2.5703125" style="436" hidden="1" customWidth="1"/>
    <col min="3608" max="3608" width="2.42578125" style="436" hidden="1" customWidth="1"/>
    <col min="3609" max="3612" width="2.5703125" style="436" hidden="1" customWidth="1"/>
    <col min="3613" max="3613" width="2.42578125" style="436" hidden="1" customWidth="1"/>
    <col min="3614" max="3617" width="2.5703125" style="436" hidden="1" customWidth="1"/>
    <col min="3618" max="3623" width="2.42578125" style="436" hidden="1" customWidth="1"/>
    <col min="3624" max="3624" width="1.5703125" style="436" hidden="1" customWidth="1"/>
    <col min="3625" max="3840" width="2.5703125" style="436" hidden="1"/>
    <col min="3841" max="3841" width="1.5703125" style="436" hidden="1" customWidth="1"/>
    <col min="3842" max="3842" width="0.85546875" style="436" hidden="1" customWidth="1"/>
    <col min="3843" max="3858" width="2.5703125" style="436" hidden="1" customWidth="1"/>
    <col min="3859" max="3859" width="4" style="436" hidden="1" customWidth="1"/>
    <col min="3860" max="3863" width="2.5703125" style="436" hidden="1" customWidth="1"/>
    <col min="3864" max="3864" width="2.42578125" style="436" hidden="1" customWidth="1"/>
    <col min="3865" max="3868" width="2.5703125" style="436" hidden="1" customWidth="1"/>
    <col min="3869" max="3869" width="2.42578125" style="436" hidden="1" customWidth="1"/>
    <col min="3870" max="3873" width="2.5703125" style="436" hidden="1" customWidth="1"/>
    <col min="3874" max="3879" width="2.42578125" style="436" hidden="1" customWidth="1"/>
    <col min="3880" max="3880" width="1.5703125" style="436" hidden="1" customWidth="1"/>
    <col min="3881" max="4096" width="2.5703125" style="436" hidden="1"/>
    <col min="4097" max="4097" width="1.5703125" style="436" hidden="1" customWidth="1"/>
    <col min="4098" max="4098" width="0.85546875" style="436" hidden="1" customWidth="1"/>
    <col min="4099" max="4114" width="2.5703125" style="436" hidden="1" customWidth="1"/>
    <col min="4115" max="4115" width="4" style="436" hidden="1" customWidth="1"/>
    <col min="4116" max="4119" width="2.5703125" style="436" hidden="1" customWidth="1"/>
    <col min="4120" max="4120" width="2.42578125" style="436" hidden="1" customWidth="1"/>
    <col min="4121" max="4124" width="2.5703125" style="436" hidden="1" customWidth="1"/>
    <col min="4125" max="4125" width="2.42578125" style="436" hidden="1" customWidth="1"/>
    <col min="4126" max="4129" width="2.5703125" style="436" hidden="1" customWidth="1"/>
    <col min="4130" max="4135" width="2.42578125" style="436" hidden="1" customWidth="1"/>
    <col min="4136" max="4136" width="1.5703125" style="436" hidden="1" customWidth="1"/>
    <col min="4137" max="4352" width="2.5703125" style="436" hidden="1"/>
    <col min="4353" max="4353" width="1.5703125" style="436" hidden="1" customWidth="1"/>
    <col min="4354" max="4354" width="0.85546875" style="436" hidden="1" customWidth="1"/>
    <col min="4355" max="4370" width="2.5703125" style="436" hidden="1" customWidth="1"/>
    <col min="4371" max="4371" width="4" style="436" hidden="1" customWidth="1"/>
    <col min="4372" max="4375" width="2.5703125" style="436" hidden="1" customWidth="1"/>
    <col min="4376" max="4376" width="2.42578125" style="436" hidden="1" customWidth="1"/>
    <col min="4377" max="4380" width="2.5703125" style="436" hidden="1" customWidth="1"/>
    <col min="4381" max="4381" width="2.42578125" style="436" hidden="1" customWidth="1"/>
    <col min="4382" max="4385" width="2.5703125" style="436" hidden="1" customWidth="1"/>
    <col min="4386" max="4391" width="2.42578125" style="436" hidden="1" customWidth="1"/>
    <col min="4392" max="4392" width="1.5703125" style="436" hidden="1" customWidth="1"/>
    <col min="4393" max="4608" width="2.5703125" style="436" hidden="1"/>
    <col min="4609" max="4609" width="1.5703125" style="436" hidden="1" customWidth="1"/>
    <col min="4610" max="4610" width="0.85546875" style="436" hidden="1" customWidth="1"/>
    <col min="4611" max="4626" width="2.5703125" style="436" hidden="1" customWidth="1"/>
    <col min="4627" max="4627" width="4" style="436" hidden="1" customWidth="1"/>
    <col min="4628" max="4631" width="2.5703125" style="436" hidden="1" customWidth="1"/>
    <col min="4632" max="4632" width="2.42578125" style="436" hidden="1" customWidth="1"/>
    <col min="4633" max="4636" width="2.5703125" style="436" hidden="1" customWidth="1"/>
    <col min="4637" max="4637" width="2.42578125" style="436" hidden="1" customWidth="1"/>
    <col min="4638" max="4641" width="2.5703125" style="436" hidden="1" customWidth="1"/>
    <col min="4642" max="4647" width="2.42578125" style="436" hidden="1" customWidth="1"/>
    <col min="4648" max="4648" width="1.5703125" style="436" hidden="1" customWidth="1"/>
    <col min="4649" max="4864" width="2.5703125" style="436" hidden="1"/>
    <col min="4865" max="4865" width="1.5703125" style="436" hidden="1" customWidth="1"/>
    <col min="4866" max="4866" width="0.85546875" style="436" hidden="1" customWidth="1"/>
    <col min="4867" max="4882" width="2.5703125" style="436" hidden="1" customWidth="1"/>
    <col min="4883" max="4883" width="4" style="436" hidden="1" customWidth="1"/>
    <col min="4884" max="4887" width="2.5703125" style="436" hidden="1" customWidth="1"/>
    <col min="4888" max="4888" width="2.42578125" style="436" hidden="1" customWidth="1"/>
    <col min="4889" max="4892" width="2.5703125" style="436" hidden="1" customWidth="1"/>
    <col min="4893" max="4893" width="2.42578125" style="436" hidden="1" customWidth="1"/>
    <col min="4894" max="4897" width="2.5703125" style="436" hidden="1" customWidth="1"/>
    <col min="4898" max="4903" width="2.42578125" style="436" hidden="1" customWidth="1"/>
    <col min="4904" max="4904" width="1.5703125" style="436" hidden="1" customWidth="1"/>
    <col min="4905" max="5120" width="2.5703125" style="436" hidden="1"/>
    <col min="5121" max="5121" width="1.5703125" style="436" hidden="1" customWidth="1"/>
    <col min="5122" max="5122" width="0.85546875" style="436" hidden="1" customWidth="1"/>
    <col min="5123" max="5138" width="2.5703125" style="436" hidden="1" customWidth="1"/>
    <col min="5139" max="5139" width="4" style="436" hidden="1" customWidth="1"/>
    <col min="5140" max="5143" width="2.5703125" style="436" hidden="1" customWidth="1"/>
    <col min="5144" max="5144" width="2.42578125" style="436" hidden="1" customWidth="1"/>
    <col min="5145" max="5148" width="2.5703125" style="436" hidden="1" customWidth="1"/>
    <col min="5149" max="5149" width="2.42578125" style="436" hidden="1" customWidth="1"/>
    <col min="5150" max="5153" width="2.5703125" style="436" hidden="1" customWidth="1"/>
    <col min="5154" max="5159" width="2.42578125" style="436" hidden="1" customWidth="1"/>
    <col min="5160" max="5160" width="1.5703125" style="436" hidden="1" customWidth="1"/>
    <col min="5161" max="5376" width="2.5703125" style="436" hidden="1"/>
    <col min="5377" max="5377" width="1.5703125" style="436" hidden="1" customWidth="1"/>
    <col min="5378" max="5378" width="0.85546875" style="436" hidden="1" customWidth="1"/>
    <col min="5379" max="5394" width="2.5703125" style="436" hidden="1" customWidth="1"/>
    <col min="5395" max="5395" width="4" style="436" hidden="1" customWidth="1"/>
    <col min="5396" max="5399" width="2.5703125" style="436" hidden="1" customWidth="1"/>
    <col min="5400" max="5400" width="2.42578125" style="436" hidden="1" customWidth="1"/>
    <col min="5401" max="5404" width="2.5703125" style="436" hidden="1" customWidth="1"/>
    <col min="5405" max="5405" width="2.42578125" style="436" hidden="1" customWidth="1"/>
    <col min="5406" max="5409" width="2.5703125" style="436" hidden="1" customWidth="1"/>
    <col min="5410" max="5415" width="2.42578125" style="436" hidden="1" customWidth="1"/>
    <col min="5416" max="5416" width="1.5703125" style="436" hidden="1" customWidth="1"/>
    <col min="5417" max="5632" width="2.5703125" style="436" hidden="1"/>
    <col min="5633" max="5633" width="1.5703125" style="436" hidden="1" customWidth="1"/>
    <col min="5634" max="5634" width="0.85546875" style="436" hidden="1" customWidth="1"/>
    <col min="5635" max="5650" width="2.5703125" style="436" hidden="1" customWidth="1"/>
    <col min="5651" max="5651" width="4" style="436" hidden="1" customWidth="1"/>
    <col min="5652" max="5655" width="2.5703125" style="436" hidden="1" customWidth="1"/>
    <col min="5656" max="5656" width="2.42578125" style="436" hidden="1" customWidth="1"/>
    <col min="5657" max="5660" width="2.5703125" style="436" hidden="1" customWidth="1"/>
    <col min="5661" max="5661" width="2.42578125" style="436" hidden="1" customWidth="1"/>
    <col min="5662" max="5665" width="2.5703125" style="436" hidden="1" customWidth="1"/>
    <col min="5666" max="5671" width="2.42578125" style="436" hidden="1" customWidth="1"/>
    <col min="5672" max="5672" width="1.5703125" style="436" hidden="1" customWidth="1"/>
    <col min="5673" max="5888" width="2.5703125" style="436" hidden="1"/>
    <col min="5889" max="5889" width="1.5703125" style="436" hidden="1" customWidth="1"/>
    <col min="5890" max="5890" width="0.85546875" style="436" hidden="1" customWidth="1"/>
    <col min="5891" max="5906" width="2.5703125" style="436" hidden="1" customWidth="1"/>
    <col min="5907" max="5907" width="4" style="436" hidden="1" customWidth="1"/>
    <col min="5908" max="5911" width="2.5703125" style="436" hidden="1" customWidth="1"/>
    <col min="5912" max="5912" width="2.42578125" style="436" hidden="1" customWidth="1"/>
    <col min="5913" max="5916" width="2.5703125" style="436" hidden="1" customWidth="1"/>
    <col min="5917" max="5917" width="2.42578125" style="436" hidden="1" customWidth="1"/>
    <col min="5918" max="5921" width="2.5703125" style="436" hidden="1" customWidth="1"/>
    <col min="5922" max="5927" width="2.42578125" style="436" hidden="1" customWidth="1"/>
    <col min="5928" max="5928" width="1.5703125" style="436" hidden="1" customWidth="1"/>
    <col min="5929" max="6144" width="2.5703125" style="436" hidden="1"/>
    <col min="6145" max="6145" width="1.5703125" style="436" hidden="1" customWidth="1"/>
    <col min="6146" max="6146" width="0.85546875" style="436" hidden="1" customWidth="1"/>
    <col min="6147" max="6162" width="2.5703125" style="436" hidden="1" customWidth="1"/>
    <col min="6163" max="6163" width="4" style="436" hidden="1" customWidth="1"/>
    <col min="6164" max="6167" width="2.5703125" style="436" hidden="1" customWidth="1"/>
    <col min="6168" max="6168" width="2.42578125" style="436" hidden="1" customWidth="1"/>
    <col min="6169" max="6172" width="2.5703125" style="436" hidden="1" customWidth="1"/>
    <col min="6173" max="6173" width="2.42578125" style="436" hidden="1" customWidth="1"/>
    <col min="6174" max="6177" width="2.5703125" style="436" hidden="1" customWidth="1"/>
    <col min="6178" max="6183" width="2.42578125" style="436" hidden="1" customWidth="1"/>
    <col min="6184" max="6184" width="1.5703125" style="436" hidden="1" customWidth="1"/>
    <col min="6185" max="6400" width="2.5703125" style="436" hidden="1"/>
    <col min="6401" max="6401" width="1.5703125" style="436" hidden="1" customWidth="1"/>
    <col min="6402" max="6402" width="0.85546875" style="436" hidden="1" customWidth="1"/>
    <col min="6403" max="6418" width="2.5703125" style="436" hidden="1" customWidth="1"/>
    <col min="6419" max="6419" width="4" style="436" hidden="1" customWidth="1"/>
    <col min="6420" max="6423" width="2.5703125" style="436" hidden="1" customWidth="1"/>
    <col min="6424" max="6424" width="2.42578125" style="436" hidden="1" customWidth="1"/>
    <col min="6425" max="6428" width="2.5703125" style="436" hidden="1" customWidth="1"/>
    <col min="6429" max="6429" width="2.42578125" style="436" hidden="1" customWidth="1"/>
    <col min="6430" max="6433" width="2.5703125" style="436" hidden="1" customWidth="1"/>
    <col min="6434" max="6439" width="2.42578125" style="436" hidden="1" customWidth="1"/>
    <col min="6440" max="6440" width="1.5703125" style="436" hidden="1" customWidth="1"/>
    <col min="6441" max="6656" width="2.5703125" style="436" hidden="1"/>
    <col min="6657" max="6657" width="1.5703125" style="436" hidden="1" customWidth="1"/>
    <col min="6658" max="6658" width="0.85546875" style="436" hidden="1" customWidth="1"/>
    <col min="6659" max="6674" width="2.5703125" style="436" hidden="1" customWidth="1"/>
    <col min="6675" max="6675" width="4" style="436" hidden="1" customWidth="1"/>
    <col min="6676" max="6679" width="2.5703125" style="436" hidden="1" customWidth="1"/>
    <col min="6680" max="6680" width="2.42578125" style="436" hidden="1" customWidth="1"/>
    <col min="6681" max="6684" width="2.5703125" style="436" hidden="1" customWidth="1"/>
    <col min="6685" max="6685" width="2.42578125" style="436" hidden="1" customWidth="1"/>
    <col min="6686" max="6689" width="2.5703125" style="436" hidden="1" customWidth="1"/>
    <col min="6690" max="6695" width="2.42578125" style="436" hidden="1" customWidth="1"/>
    <col min="6696" max="6696" width="1.5703125" style="436" hidden="1" customWidth="1"/>
    <col min="6697" max="6912" width="2.5703125" style="436" hidden="1"/>
    <col min="6913" max="6913" width="1.5703125" style="436" hidden="1" customWidth="1"/>
    <col min="6914" max="6914" width="0.85546875" style="436" hidden="1" customWidth="1"/>
    <col min="6915" max="6930" width="2.5703125" style="436" hidden="1" customWidth="1"/>
    <col min="6931" max="6931" width="4" style="436" hidden="1" customWidth="1"/>
    <col min="6932" max="6935" width="2.5703125" style="436" hidden="1" customWidth="1"/>
    <col min="6936" max="6936" width="2.42578125" style="436" hidden="1" customWidth="1"/>
    <col min="6937" max="6940" width="2.5703125" style="436" hidden="1" customWidth="1"/>
    <col min="6941" max="6941" width="2.42578125" style="436" hidden="1" customWidth="1"/>
    <col min="6942" max="6945" width="2.5703125" style="436" hidden="1" customWidth="1"/>
    <col min="6946" max="6951" width="2.42578125" style="436" hidden="1" customWidth="1"/>
    <col min="6952" max="6952" width="1.5703125" style="436" hidden="1" customWidth="1"/>
    <col min="6953" max="7168" width="2.5703125" style="436" hidden="1"/>
    <col min="7169" max="7169" width="1.5703125" style="436" hidden="1" customWidth="1"/>
    <col min="7170" max="7170" width="0.85546875" style="436" hidden="1" customWidth="1"/>
    <col min="7171" max="7186" width="2.5703125" style="436" hidden="1" customWidth="1"/>
    <col min="7187" max="7187" width="4" style="436" hidden="1" customWidth="1"/>
    <col min="7188" max="7191" width="2.5703125" style="436" hidden="1" customWidth="1"/>
    <col min="7192" max="7192" width="2.42578125" style="436" hidden="1" customWidth="1"/>
    <col min="7193" max="7196" width="2.5703125" style="436" hidden="1" customWidth="1"/>
    <col min="7197" max="7197" width="2.42578125" style="436" hidden="1" customWidth="1"/>
    <col min="7198" max="7201" width="2.5703125" style="436" hidden="1" customWidth="1"/>
    <col min="7202" max="7207" width="2.42578125" style="436" hidden="1" customWidth="1"/>
    <col min="7208" max="7208" width="1.5703125" style="436" hidden="1" customWidth="1"/>
    <col min="7209" max="7424" width="2.5703125" style="436" hidden="1"/>
    <col min="7425" max="7425" width="1.5703125" style="436" hidden="1" customWidth="1"/>
    <col min="7426" max="7426" width="0.85546875" style="436" hidden="1" customWidth="1"/>
    <col min="7427" max="7442" width="2.5703125" style="436" hidden="1" customWidth="1"/>
    <col min="7443" max="7443" width="4" style="436" hidden="1" customWidth="1"/>
    <col min="7444" max="7447" width="2.5703125" style="436" hidden="1" customWidth="1"/>
    <col min="7448" max="7448" width="2.42578125" style="436" hidden="1" customWidth="1"/>
    <col min="7449" max="7452" width="2.5703125" style="436" hidden="1" customWidth="1"/>
    <col min="7453" max="7453" width="2.42578125" style="436" hidden="1" customWidth="1"/>
    <col min="7454" max="7457" width="2.5703125" style="436" hidden="1" customWidth="1"/>
    <col min="7458" max="7463" width="2.42578125" style="436" hidden="1" customWidth="1"/>
    <col min="7464" max="7464" width="1.5703125" style="436" hidden="1" customWidth="1"/>
    <col min="7465" max="7680" width="2.5703125" style="436" hidden="1"/>
    <col min="7681" max="7681" width="1.5703125" style="436" hidden="1" customWidth="1"/>
    <col min="7682" max="7682" width="0.85546875" style="436" hidden="1" customWidth="1"/>
    <col min="7683" max="7698" width="2.5703125" style="436" hidden="1" customWidth="1"/>
    <col min="7699" max="7699" width="4" style="436" hidden="1" customWidth="1"/>
    <col min="7700" max="7703" width="2.5703125" style="436" hidden="1" customWidth="1"/>
    <col min="7704" max="7704" width="2.42578125" style="436" hidden="1" customWidth="1"/>
    <col min="7705" max="7708" width="2.5703125" style="436" hidden="1" customWidth="1"/>
    <col min="7709" max="7709" width="2.42578125" style="436" hidden="1" customWidth="1"/>
    <col min="7710" max="7713" width="2.5703125" style="436" hidden="1" customWidth="1"/>
    <col min="7714" max="7719" width="2.42578125" style="436" hidden="1" customWidth="1"/>
    <col min="7720" max="7720" width="1.5703125" style="436" hidden="1" customWidth="1"/>
    <col min="7721" max="7936" width="2.5703125" style="436" hidden="1"/>
    <col min="7937" max="7937" width="1.5703125" style="436" hidden="1" customWidth="1"/>
    <col min="7938" max="7938" width="0.85546875" style="436" hidden="1" customWidth="1"/>
    <col min="7939" max="7954" width="2.5703125" style="436" hidden="1" customWidth="1"/>
    <col min="7955" max="7955" width="4" style="436" hidden="1" customWidth="1"/>
    <col min="7956" max="7959" width="2.5703125" style="436" hidden="1" customWidth="1"/>
    <col min="7960" max="7960" width="2.42578125" style="436" hidden="1" customWidth="1"/>
    <col min="7961" max="7964" width="2.5703125" style="436" hidden="1" customWidth="1"/>
    <col min="7965" max="7965" width="2.42578125" style="436" hidden="1" customWidth="1"/>
    <col min="7966" max="7969" width="2.5703125" style="436" hidden="1" customWidth="1"/>
    <col min="7970" max="7975" width="2.42578125" style="436" hidden="1" customWidth="1"/>
    <col min="7976" max="7976" width="1.5703125" style="436" hidden="1" customWidth="1"/>
    <col min="7977" max="8192" width="2.5703125" style="436" hidden="1"/>
    <col min="8193" max="8193" width="1.5703125" style="436" hidden="1" customWidth="1"/>
    <col min="8194" max="8194" width="0.85546875" style="436" hidden="1" customWidth="1"/>
    <col min="8195" max="8210" width="2.5703125" style="436" hidden="1" customWidth="1"/>
    <col min="8211" max="8211" width="4" style="436" hidden="1" customWidth="1"/>
    <col min="8212" max="8215" width="2.5703125" style="436" hidden="1" customWidth="1"/>
    <col min="8216" max="8216" width="2.42578125" style="436" hidden="1" customWidth="1"/>
    <col min="8217" max="8220" width="2.5703125" style="436" hidden="1" customWidth="1"/>
    <col min="8221" max="8221" width="2.42578125" style="436" hidden="1" customWidth="1"/>
    <col min="8222" max="8225" width="2.5703125" style="436" hidden="1" customWidth="1"/>
    <col min="8226" max="8231" width="2.42578125" style="436" hidden="1" customWidth="1"/>
    <col min="8232" max="8232" width="1.5703125" style="436" hidden="1" customWidth="1"/>
    <col min="8233" max="8448" width="2.5703125" style="436" hidden="1"/>
    <col min="8449" max="8449" width="1.5703125" style="436" hidden="1" customWidth="1"/>
    <col min="8450" max="8450" width="0.85546875" style="436" hidden="1" customWidth="1"/>
    <col min="8451" max="8466" width="2.5703125" style="436" hidden="1" customWidth="1"/>
    <col min="8467" max="8467" width="4" style="436" hidden="1" customWidth="1"/>
    <col min="8468" max="8471" width="2.5703125" style="436" hidden="1" customWidth="1"/>
    <col min="8472" max="8472" width="2.42578125" style="436" hidden="1" customWidth="1"/>
    <col min="8473" max="8476" width="2.5703125" style="436" hidden="1" customWidth="1"/>
    <col min="8477" max="8477" width="2.42578125" style="436" hidden="1" customWidth="1"/>
    <col min="8478" max="8481" width="2.5703125" style="436" hidden="1" customWidth="1"/>
    <col min="8482" max="8487" width="2.42578125" style="436" hidden="1" customWidth="1"/>
    <col min="8488" max="8488" width="1.5703125" style="436" hidden="1" customWidth="1"/>
    <col min="8489" max="8704" width="2.5703125" style="436" hidden="1"/>
    <col min="8705" max="8705" width="1.5703125" style="436" hidden="1" customWidth="1"/>
    <col min="8706" max="8706" width="0.85546875" style="436" hidden="1" customWidth="1"/>
    <col min="8707" max="8722" width="2.5703125" style="436" hidden="1" customWidth="1"/>
    <col min="8723" max="8723" width="4" style="436" hidden="1" customWidth="1"/>
    <col min="8724" max="8727" width="2.5703125" style="436" hidden="1" customWidth="1"/>
    <col min="8728" max="8728" width="2.42578125" style="436" hidden="1" customWidth="1"/>
    <col min="8729" max="8732" width="2.5703125" style="436" hidden="1" customWidth="1"/>
    <col min="8733" max="8733" width="2.42578125" style="436" hidden="1" customWidth="1"/>
    <col min="8734" max="8737" width="2.5703125" style="436" hidden="1" customWidth="1"/>
    <col min="8738" max="8743" width="2.42578125" style="436" hidden="1" customWidth="1"/>
    <col min="8744" max="8744" width="1.5703125" style="436" hidden="1" customWidth="1"/>
    <col min="8745" max="8960" width="2.5703125" style="436" hidden="1"/>
    <col min="8961" max="8961" width="1.5703125" style="436" hidden="1" customWidth="1"/>
    <col min="8962" max="8962" width="0.85546875" style="436" hidden="1" customWidth="1"/>
    <col min="8963" max="8978" width="2.5703125" style="436" hidden="1" customWidth="1"/>
    <col min="8979" max="8979" width="4" style="436" hidden="1" customWidth="1"/>
    <col min="8980" max="8983" width="2.5703125" style="436" hidden="1" customWidth="1"/>
    <col min="8984" max="8984" width="2.42578125" style="436" hidden="1" customWidth="1"/>
    <col min="8985" max="8988" width="2.5703125" style="436" hidden="1" customWidth="1"/>
    <col min="8989" max="8989" width="2.42578125" style="436" hidden="1" customWidth="1"/>
    <col min="8990" max="8993" width="2.5703125" style="436" hidden="1" customWidth="1"/>
    <col min="8994" max="8999" width="2.42578125" style="436" hidden="1" customWidth="1"/>
    <col min="9000" max="9000" width="1.5703125" style="436" hidden="1" customWidth="1"/>
    <col min="9001" max="9216" width="2.5703125" style="436" hidden="1"/>
    <col min="9217" max="9217" width="1.5703125" style="436" hidden="1" customWidth="1"/>
    <col min="9218" max="9218" width="0.85546875" style="436" hidden="1" customWidth="1"/>
    <col min="9219" max="9234" width="2.5703125" style="436" hidden="1" customWidth="1"/>
    <col min="9235" max="9235" width="4" style="436" hidden="1" customWidth="1"/>
    <col min="9236" max="9239" width="2.5703125" style="436" hidden="1" customWidth="1"/>
    <col min="9240" max="9240" width="2.42578125" style="436" hidden="1" customWidth="1"/>
    <col min="9241" max="9244" width="2.5703125" style="436" hidden="1" customWidth="1"/>
    <col min="9245" max="9245" width="2.42578125" style="436" hidden="1" customWidth="1"/>
    <col min="9246" max="9249" width="2.5703125" style="436" hidden="1" customWidth="1"/>
    <col min="9250" max="9255" width="2.42578125" style="436" hidden="1" customWidth="1"/>
    <col min="9256" max="9256" width="1.5703125" style="436" hidden="1" customWidth="1"/>
    <col min="9257" max="9472" width="2.5703125" style="436" hidden="1"/>
    <col min="9473" max="9473" width="1.5703125" style="436" hidden="1" customWidth="1"/>
    <col min="9474" max="9474" width="0.85546875" style="436" hidden="1" customWidth="1"/>
    <col min="9475" max="9490" width="2.5703125" style="436" hidden="1" customWidth="1"/>
    <col min="9491" max="9491" width="4" style="436" hidden="1" customWidth="1"/>
    <col min="9492" max="9495" width="2.5703125" style="436" hidden="1" customWidth="1"/>
    <col min="9496" max="9496" width="2.42578125" style="436" hidden="1" customWidth="1"/>
    <col min="9497" max="9500" width="2.5703125" style="436" hidden="1" customWidth="1"/>
    <col min="9501" max="9501" width="2.42578125" style="436" hidden="1" customWidth="1"/>
    <col min="9502" max="9505" width="2.5703125" style="436" hidden="1" customWidth="1"/>
    <col min="9506" max="9511" width="2.42578125" style="436" hidden="1" customWidth="1"/>
    <col min="9512" max="9512" width="1.5703125" style="436" hidden="1" customWidth="1"/>
    <col min="9513" max="9728" width="2.5703125" style="436" hidden="1"/>
    <col min="9729" max="9729" width="1.5703125" style="436" hidden="1" customWidth="1"/>
    <col min="9730" max="9730" width="0.85546875" style="436" hidden="1" customWidth="1"/>
    <col min="9731" max="9746" width="2.5703125" style="436" hidden="1" customWidth="1"/>
    <col min="9747" max="9747" width="4" style="436" hidden="1" customWidth="1"/>
    <col min="9748" max="9751" width="2.5703125" style="436" hidden="1" customWidth="1"/>
    <col min="9752" max="9752" width="2.42578125" style="436" hidden="1" customWidth="1"/>
    <col min="9753" max="9756" width="2.5703125" style="436" hidden="1" customWidth="1"/>
    <col min="9757" max="9757" width="2.42578125" style="436" hidden="1" customWidth="1"/>
    <col min="9758" max="9761" width="2.5703125" style="436" hidden="1" customWidth="1"/>
    <col min="9762" max="9767" width="2.42578125" style="436" hidden="1" customWidth="1"/>
    <col min="9768" max="9768" width="1.5703125" style="436" hidden="1" customWidth="1"/>
    <col min="9769" max="9984" width="2.5703125" style="436" hidden="1"/>
    <col min="9985" max="9985" width="1.5703125" style="436" hidden="1" customWidth="1"/>
    <col min="9986" max="9986" width="0.85546875" style="436" hidden="1" customWidth="1"/>
    <col min="9987" max="10002" width="2.5703125" style="436" hidden="1" customWidth="1"/>
    <col min="10003" max="10003" width="4" style="436" hidden="1" customWidth="1"/>
    <col min="10004" max="10007" width="2.5703125" style="436" hidden="1" customWidth="1"/>
    <col min="10008" max="10008" width="2.42578125" style="436" hidden="1" customWidth="1"/>
    <col min="10009" max="10012" width="2.5703125" style="436" hidden="1" customWidth="1"/>
    <col min="10013" max="10013" width="2.42578125" style="436" hidden="1" customWidth="1"/>
    <col min="10014" max="10017" width="2.5703125" style="436" hidden="1" customWidth="1"/>
    <col min="10018" max="10023" width="2.42578125" style="436" hidden="1" customWidth="1"/>
    <col min="10024" max="10024" width="1.5703125" style="436" hidden="1" customWidth="1"/>
    <col min="10025" max="10240" width="2.5703125" style="436" hidden="1"/>
    <col min="10241" max="10241" width="1.5703125" style="436" hidden="1" customWidth="1"/>
    <col min="10242" max="10242" width="0.85546875" style="436" hidden="1" customWidth="1"/>
    <col min="10243" max="10258" width="2.5703125" style="436" hidden="1" customWidth="1"/>
    <col min="10259" max="10259" width="4" style="436" hidden="1" customWidth="1"/>
    <col min="10260" max="10263" width="2.5703125" style="436" hidden="1" customWidth="1"/>
    <col min="10264" max="10264" width="2.42578125" style="436" hidden="1" customWidth="1"/>
    <col min="10265" max="10268" width="2.5703125" style="436" hidden="1" customWidth="1"/>
    <col min="10269" max="10269" width="2.42578125" style="436" hidden="1" customWidth="1"/>
    <col min="10270" max="10273" width="2.5703125" style="436" hidden="1" customWidth="1"/>
    <col min="10274" max="10279" width="2.42578125" style="436" hidden="1" customWidth="1"/>
    <col min="10280" max="10280" width="1.5703125" style="436" hidden="1" customWidth="1"/>
    <col min="10281" max="10496" width="2.5703125" style="436" hidden="1"/>
    <col min="10497" max="10497" width="1.5703125" style="436" hidden="1" customWidth="1"/>
    <col min="10498" max="10498" width="0.85546875" style="436" hidden="1" customWidth="1"/>
    <col min="10499" max="10514" width="2.5703125" style="436" hidden="1" customWidth="1"/>
    <col min="10515" max="10515" width="4" style="436" hidden="1" customWidth="1"/>
    <col min="10516" max="10519" width="2.5703125" style="436" hidden="1" customWidth="1"/>
    <col min="10520" max="10520" width="2.42578125" style="436" hidden="1" customWidth="1"/>
    <col min="10521" max="10524" width="2.5703125" style="436" hidden="1" customWidth="1"/>
    <col min="10525" max="10525" width="2.42578125" style="436" hidden="1" customWidth="1"/>
    <col min="10526" max="10529" width="2.5703125" style="436" hidden="1" customWidth="1"/>
    <col min="10530" max="10535" width="2.42578125" style="436" hidden="1" customWidth="1"/>
    <col min="10536" max="10536" width="1.5703125" style="436" hidden="1" customWidth="1"/>
    <col min="10537" max="10752" width="2.5703125" style="436" hidden="1"/>
    <col min="10753" max="10753" width="1.5703125" style="436" hidden="1" customWidth="1"/>
    <col min="10754" max="10754" width="0.85546875" style="436" hidden="1" customWidth="1"/>
    <col min="10755" max="10770" width="2.5703125" style="436" hidden="1" customWidth="1"/>
    <col min="10771" max="10771" width="4" style="436" hidden="1" customWidth="1"/>
    <col min="10772" max="10775" width="2.5703125" style="436" hidden="1" customWidth="1"/>
    <col min="10776" max="10776" width="2.42578125" style="436" hidden="1" customWidth="1"/>
    <col min="10777" max="10780" width="2.5703125" style="436" hidden="1" customWidth="1"/>
    <col min="10781" max="10781" width="2.42578125" style="436" hidden="1" customWidth="1"/>
    <col min="10782" max="10785" width="2.5703125" style="436" hidden="1" customWidth="1"/>
    <col min="10786" max="10791" width="2.42578125" style="436" hidden="1" customWidth="1"/>
    <col min="10792" max="10792" width="1.5703125" style="436" hidden="1" customWidth="1"/>
    <col min="10793" max="11008" width="2.5703125" style="436" hidden="1"/>
    <col min="11009" max="11009" width="1.5703125" style="436" hidden="1" customWidth="1"/>
    <col min="11010" max="11010" width="0.85546875" style="436" hidden="1" customWidth="1"/>
    <col min="11011" max="11026" width="2.5703125" style="436" hidden="1" customWidth="1"/>
    <col min="11027" max="11027" width="4" style="436" hidden="1" customWidth="1"/>
    <col min="11028" max="11031" width="2.5703125" style="436" hidden="1" customWidth="1"/>
    <col min="11032" max="11032" width="2.42578125" style="436" hidden="1" customWidth="1"/>
    <col min="11033" max="11036" width="2.5703125" style="436" hidden="1" customWidth="1"/>
    <col min="11037" max="11037" width="2.42578125" style="436" hidden="1" customWidth="1"/>
    <col min="11038" max="11041" width="2.5703125" style="436" hidden="1" customWidth="1"/>
    <col min="11042" max="11047" width="2.42578125" style="436" hidden="1" customWidth="1"/>
    <col min="11048" max="11048" width="1.5703125" style="436" hidden="1" customWidth="1"/>
    <col min="11049" max="11264" width="2.5703125" style="436" hidden="1"/>
    <col min="11265" max="11265" width="1.5703125" style="436" hidden="1" customWidth="1"/>
    <col min="11266" max="11266" width="0.85546875" style="436" hidden="1" customWidth="1"/>
    <col min="11267" max="11282" width="2.5703125" style="436" hidden="1" customWidth="1"/>
    <col min="11283" max="11283" width="4" style="436" hidden="1" customWidth="1"/>
    <col min="11284" max="11287" width="2.5703125" style="436" hidden="1" customWidth="1"/>
    <col min="11288" max="11288" width="2.42578125" style="436" hidden="1" customWidth="1"/>
    <col min="11289" max="11292" width="2.5703125" style="436" hidden="1" customWidth="1"/>
    <col min="11293" max="11293" width="2.42578125" style="436" hidden="1" customWidth="1"/>
    <col min="11294" max="11297" width="2.5703125" style="436" hidden="1" customWidth="1"/>
    <col min="11298" max="11303" width="2.42578125" style="436" hidden="1" customWidth="1"/>
    <col min="11304" max="11304" width="1.5703125" style="436" hidden="1" customWidth="1"/>
    <col min="11305" max="11520" width="2.5703125" style="436" hidden="1"/>
    <col min="11521" max="11521" width="1.5703125" style="436" hidden="1" customWidth="1"/>
    <col min="11522" max="11522" width="0.85546875" style="436" hidden="1" customWidth="1"/>
    <col min="11523" max="11538" width="2.5703125" style="436" hidden="1" customWidth="1"/>
    <col min="11539" max="11539" width="4" style="436" hidden="1" customWidth="1"/>
    <col min="11540" max="11543" width="2.5703125" style="436" hidden="1" customWidth="1"/>
    <col min="11544" max="11544" width="2.42578125" style="436" hidden="1" customWidth="1"/>
    <col min="11545" max="11548" width="2.5703125" style="436" hidden="1" customWidth="1"/>
    <col min="11549" max="11549" width="2.42578125" style="436" hidden="1" customWidth="1"/>
    <col min="11550" max="11553" width="2.5703125" style="436" hidden="1" customWidth="1"/>
    <col min="11554" max="11559" width="2.42578125" style="436" hidden="1" customWidth="1"/>
    <col min="11560" max="11560" width="1.5703125" style="436" hidden="1" customWidth="1"/>
    <col min="11561" max="11776" width="2.5703125" style="436" hidden="1"/>
    <col min="11777" max="11777" width="1.5703125" style="436" hidden="1" customWidth="1"/>
    <col min="11778" max="11778" width="0.85546875" style="436" hidden="1" customWidth="1"/>
    <col min="11779" max="11794" width="2.5703125" style="436" hidden="1" customWidth="1"/>
    <col min="11795" max="11795" width="4" style="436" hidden="1" customWidth="1"/>
    <col min="11796" max="11799" width="2.5703125" style="436" hidden="1" customWidth="1"/>
    <col min="11800" max="11800" width="2.42578125" style="436" hidden="1" customWidth="1"/>
    <col min="11801" max="11804" width="2.5703125" style="436" hidden="1" customWidth="1"/>
    <col min="11805" max="11805" width="2.42578125" style="436" hidden="1" customWidth="1"/>
    <col min="11806" max="11809" width="2.5703125" style="436" hidden="1" customWidth="1"/>
    <col min="11810" max="11815" width="2.42578125" style="436" hidden="1" customWidth="1"/>
    <col min="11816" max="11816" width="1.5703125" style="436" hidden="1" customWidth="1"/>
    <col min="11817" max="12032" width="2.5703125" style="436" hidden="1"/>
    <col min="12033" max="12033" width="1.5703125" style="436" hidden="1" customWidth="1"/>
    <col min="12034" max="12034" width="0.85546875" style="436" hidden="1" customWidth="1"/>
    <col min="12035" max="12050" width="2.5703125" style="436" hidden="1" customWidth="1"/>
    <col min="12051" max="12051" width="4" style="436" hidden="1" customWidth="1"/>
    <col min="12052" max="12055" width="2.5703125" style="436" hidden="1" customWidth="1"/>
    <col min="12056" max="12056" width="2.42578125" style="436" hidden="1" customWidth="1"/>
    <col min="12057" max="12060" width="2.5703125" style="436" hidden="1" customWidth="1"/>
    <col min="12061" max="12061" width="2.42578125" style="436" hidden="1" customWidth="1"/>
    <col min="12062" max="12065" width="2.5703125" style="436" hidden="1" customWidth="1"/>
    <col min="12066" max="12071" width="2.42578125" style="436" hidden="1" customWidth="1"/>
    <col min="12072" max="12072" width="1.5703125" style="436" hidden="1" customWidth="1"/>
    <col min="12073" max="12288" width="2.5703125" style="436" hidden="1"/>
    <col min="12289" max="12289" width="1.5703125" style="436" hidden="1" customWidth="1"/>
    <col min="12290" max="12290" width="0.85546875" style="436" hidden="1" customWidth="1"/>
    <col min="12291" max="12306" width="2.5703125" style="436" hidden="1" customWidth="1"/>
    <col min="12307" max="12307" width="4" style="436" hidden="1" customWidth="1"/>
    <col min="12308" max="12311" width="2.5703125" style="436" hidden="1" customWidth="1"/>
    <col min="12312" max="12312" width="2.42578125" style="436" hidden="1" customWidth="1"/>
    <col min="12313" max="12316" width="2.5703125" style="436" hidden="1" customWidth="1"/>
    <col min="12317" max="12317" width="2.42578125" style="436" hidden="1" customWidth="1"/>
    <col min="12318" max="12321" width="2.5703125" style="436" hidden="1" customWidth="1"/>
    <col min="12322" max="12327" width="2.42578125" style="436" hidden="1" customWidth="1"/>
    <col min="12328" max="12328" width="1.5703125" style="436" hidden="1" customWidth="1"/>
    <col min="12329" max="12544" width="2.5703125" style="436" hidden="1"/>
    <col min="12545" max="12545" width="1.5703125" style="436" hidden="1" customWidth="1"/>
    <col min="12546" max="12546" width="0.85546875" style="436" hidden="1" customWidth="1"/>
    <col min="12547" max="12562" width="2.5703125" style="436" hidden="1" customWidth="1"/>
    <col min="12563" max="12563" width="4" style="436" hidden="1" customWidth="1"/>
    <col min="12564" max="12567" width="2.5703125" style="436" hidden="1" customWidth="1"/>
    <col min="12568" max="12568" width="2.42578125" style="436" hidden="1" customWidth="1"/>
    <col min="12569" max="12572" width="2.5703125" style="436" hidden="1" customWidth="1"/>
    <col min="12573" max="12573" width="2.42578125" style="436" hidden="1" customWidth="1"/>
    <col min="12574" max="12577" width="2.5703125" style="436" hidden="1" customWidth="1"/>
    <col min="12578" max="12583" width="2.42578125" style="436" hidden="1" customWidth="1"/>
    <col min="12584" max="12584" width="1.5703125" style="436" hidden="1" customWidth="1"/>
    <col min="12585" max="12800" width="2.5703125" style="436" hidden="1"/>
    <col min="12801" max="12801" width="1.5703125" style="436" hidden="1" customWidth="1"/>
    <col min="12802" max="12802" width="0.85546875" style="436" hidden="1" customWidth="1"/>
    <col min="12803" max="12818" width="2.5703125" style="436" hidden="1" customWidth="1"/>
    <col min="12819" max="12819" width="4" style="436" hidden="1" customWidth="1"/>
    <col min="12820" max="12823" width="2.5703125" style="436" hidden="1" customWidth="1"/>
    <col min="12824" max="12824" width="2.42578125" style="436" hidden="1" customWidth="1"/>
    <col min="12825" max="12828" width="2.5703125" style="436" hidden="1" customWidth="1"/>
    <col min="12829" max="12829" width="2.42578125" style="436" hidden="1" customWidth="1"/>
    <col min="12830" max="12833" width="2.5703125" style="436" hidden="1" customWidth="1"/>
    <col min="12834" max="12839" width="2.42578125" style="436" hidden="1" customWidth="1"/>
    <col min="12840" max="12840" width="1.5703125" style="436" hidden="1" customWidth="1"/>
    <col min="12841" max="13056" width="2.5703125" style="436" hidden="1"/>
    <col min="13057" max="13057" width="1.5703125" style="436" hidden="1" customWidth="1"/>
    <col min="13058" max="13058" width="0.85546875" style="436" hidden="1" customWidth="1"/>
    <col min="13059" max="13074" width="2.5703125" style="436" hidden="1" customWidth="1"/>
    <col min="13075" max="13075" width="4" style="436" hidden="1" customWidth="1"/>
    <col min="13076" max="13079" width="2.5703125" style="436" hidden="1" customWidth="1"/>
    <col min="13080" max="13080" width="2.42578125" style="436" hidden="1" customWidth="1"/>
    <col min="13081" max="13084" width="2.5703125" style="436" hidden="1" customWidth="1"/>
    <col min="13085" max="13085" width="2.42578125" style="436" hidden="1" customWidth="1"/>
    <col min="13086" max="13089" width="2.5703125" style="436" hidden="1" customWidth="1"/>
    <col min="13090" max="13095" width="2.42578125" style="436" hidden="1" customWidth="1"/>
    <col min="13096" max="13096" width="1.5703125" style="436" hidden="1" customWidth="1"/>
    <col min="13097" max="13312" width="2.5703125" style="436" hidden="1"/>
    <col min="13313" max="13313" width="1.5703125" style="436" hidden="1" customWidth="1"/>
    <col min="13314" max="13314" width="0.85546875" style="436" hidden="1" customWidth="1"/>
    <col min="13315" max="13330" width="2.5703125" style="436" hidden="1" customWidth="1"/>
    <col min="13331" max="13331" width="4" style="436" hidden="1" customWidth="1"/>
    <col min="13332" max="13335" width="2.5703125" style="436" hidden="1" customWidth="1"/>
    <col min="13336" max="13336" width="2.42578125" style="436" hidden="1" customWidth="1"/>
    <col min="13337" max="13340" width="2.5703125" style="436" hidden="1" customWidth="1"/>
    <col min="13341" max="13341" width="2.42578125" style="436" hidden="1" customWidth="1"/>
    <col min="13342" max="13345" width="2.5703125" style="436" hidden="1" customWidth="1"/>
    <col min="13346" max="13351" width="2.42578125" style="436" hidden="1" customWidth="1"/>
    <col min="13352" max="13352" width="1.5703125" style="436" hidden="1" customWidth="1"/>
    <col min="13353" max="13568" width="2.5703125" style="436" hidden="1"/>
    <col min="13569" max="13569" width="1.5703125" style="436" hidden="1" customWidth="1"/>
    <col min="13570" max="13570" width="0.85546875" style="436" hidden="1" customWidth="1"/>
    <col min="13571" max="13586" width="2.5703125" style="436" hidden="1" customWidth="1"/>
    <col min="13587" max="13587" width="4" style="436" hidden="1" customWidth="1"/>
    <col min="13588" max="13591" width="2.5703125" style="436" hidden="1" customWidth="1"/>
    <col min="13592" max="13592" width="2.42578125" style="436" hidden="1" customWidth="1"/>
    <col min="13593" max="13596" width="2.5703125" style="436" hidden="1" customWidth="1"/>
    <col min="13597" max="13597" width="2.42578125" style="436" hidden="1" customWidth="1"/>
    <col min="13598" max="13601" width="2.5703125" style="436" hidden="1" customWidth="1"/>
    <col min="13602" max="13607" width="2.42578125" style="436" hidden="1" customWidth="1"/>
    <col min="13608" max="13608" width="1.5703125" style="436" hidden="1" customWidth="1"/>
    <col min="13609" max="13824" width="2.5703125" style="436" hidden="1"/>
    <col min="13825" max="13825" width="1.5703125" style="436" hidden="1" customWidth="1"/>
    <col min="13826" max="13826" width="0.85546875" style="436" hidden="1" customWidth="1"/>
    <col min="13827" max="13842" width="2.5703125" style="436" hidden="1" customWidth="1"/>
    <col min="13843" max="13843" width="4" style="436" hidden="1" customWidth="1"/>
    <col min="13844" max="13847" width="2.5703125" style="436" hidden="1" customWidth="1"/>
    <col min="13848" max="13848" width="2.42578125" style="436" hidden="1" customWidth="1"/>
    <col min="13849" max="13852" width="2.5703125" style="436" hidden="1" customWidth="1"/>
    <col min="13853" max="13853" width="2.42578125" style="436" hidden="1" customWidth="1"/>
    <col min="13854" max="13857" width="2.5703125" style="436" hidden="1" customWidth="1"/>
    <col min="13858" max="13863" width="2.42578125" style="436" hidden="1" customWidth="1"/>
    <col min="13864" max="13864" width="1.5703125" style="436" hidden="1" customWidth="1"/>
    <col min="13865" max="14080" width="2.5703125" style="436" hidden="1"/>
    <col min="14081" max="14081" width="1.5703125" style="436" hidden="1" customWidth="1"/>
    <col min="14082" max="14082" width="0.85546875" style="436" hidden="1" customWidth="1"/>
    <col min="14083" max="14098" width="2.5703125" style="436" hidden="1" customWidth="1"/>
    <col min="14099" max="14099" width="4" style="436" hidden="1" customWidth="1"/>
    <col min="14100" max="14103" width="2.5703125" style="436" hidden="1" customWidth="1"/>
    <col min="14104" max="14104" width="2.42578125" style="436" hidden="1" customWidth="1"/>
    <col min="14105" max="14108" width="2.5703125" style="436" hidden="1" customWidth="1"/>
    <col min="14109" max="14109" width="2.42578125" style="436" hidden="1" customWidth="1"/>
    <col min="14110" max="14113" width="2.5703125" style="436" hidden="1" customWidth="1"/>
    <col min="14114" max="14119" width="2.42578125" style="436" hidden="1" customWidth="1"/>
    <col min="14120" max="14120" width="1.5703125" style="436" hidden="1" customWidth="1"/>
    <col min="14121" max="14336" width="2.5703125" style="436" hidden="1"/>
    <col min="14337" max="14337" width="1.5703125" style="436" hidden="1" customWidth="1"/>
    <col min="14338" max="14338" width="0.85546875" style="436" hidden="1" customWidth="1"/>
    <col min="14339" max="14354" width="2.5703125" style="436" hidden="1" customWidth="1"/>
    <col min="14355" max="14355" width="4" style="436" hidden="1" customWidth="1"/>
    <col min="14356" max="14359" width="2.5703125" style="436" hidden="1" customWidth="1"/>
    <col min="14360" max="14360" width="2.42578125" style="436" hidden="1" customWidth="1"/>
    <col min="14361" max="14364" width="2.5703125" style="436" hidden="1" customWidth="1"/>
    <col min="14365" max="14365" width="2.42578125" style="436" hidden="1" customWidth="1"/>
    <col min="14366" max="14369" width="2.5703125" style="436" hidden="1" customWidth="1"/>
    <col min="14370" max="14375" width="2.42578125" style="436" hidden="1" customWidth="1"/>
    <col min="14376" max="14376" width="1.5703125" style="436" hidden="1" customWidth="1"/>
    <col min="14377" max="14592" width="2.5703125" style="436" hidden="1"/>
    <col min="14593" max="14593" width="1.5703125" style="436" hidden="1" customWidth="1"/>
    <col min="14594" max="14594" width="0.85546875" style="436" hidden="1" customWidth="1"/>
    <col min="14595" max="14610" width="2.5703125" style="436" hidden="1" customWidth="1"/>
    <col min="14611" max="14611" width="4" style="436" hidden="1" customWidth="1"/>
    <col min="14612" max="14615" width="2.5703125" style="436" hidden="1" customWidth="1"/>
    <col min="14616" max="14616" width="2.42578125" style="436" hidden="1" customWidth="1"/>
    <col min="14617" max="14620" width="2.5703125" style="436" hidden="1" customWidth="1"/>
    <col min="14621" max="14621" width="2.42578125" style="436" hidden="1" customWidth="1"/>
    <col min="14622" max="14625" width="2.5703125" style="436" hidden="1" customWidth="1"/>
    <col min="14626" max="14631" width="2.42578125" style="436" hidden="1" customWidth="1"/>
    <col min="14632" max="14632" width="1.5703125" style="436" hidden="1" customWidth="1"/>
    <col min="14633" max="14848" width="2.5703125" style="436" hidden="1"/>
    <col min="14849" max="14849" width="1.5703125" style="436" hidden="1" customWidth="1"/>
    <col min="14850" max="14850" width="0.85546875" style="436" hidden="1" customWidth="1"/>
    <col min="14851" max="14866" width="2.5703125" style="436" hidden="1" customWidth="1"/>
    <col min="14867" max="14867" width="4" style="436" hidden="1" customWidth="1"/>
    <col min="14868" max="14871" width="2.5703125" style="436" hidden="1" customWidth="1"/>
    <col min="14872" max="14872" width="2.42578125" style="436" hidden="1" customWidth="1"/>
    <col min="14873" max="14876" width="2.5703125" style="436" hidden="1" customWidth="1"/>
    <col min="14877" max="14877" width="2.42578125" style="436" hidden="1" customWidth="1"/>
    <col min="14878" max="14881" width="2.5703125" style="436" hidden="1" customWidth="1"/>
    <col min="14882" max="14887" width="2.42578125" style="436" hidden="1" customWidth="1"/>
    <col min="14888" max="14888" width="1.5703125" style="436" hidden="1" customWidth="1"/>
    <col min="14889" max="15104" width="2.5703125" style="436" hidden="1"/>
    <col min="15105" max="15105" width="1.5703125" style="436" hidden="1" customWidth="1"/>
    <col min="15106" max="15106" width="0.85546875" style="436" hidden="1" customWidth="1"/>
    <col min="15107" max="15122" width="2.5703125" style="436" hidden="1" customWidth="1"/>
    <col min="15123" max="15123" width="4" style="436" hidden="1" customWidth="1"/>
    <col min="15124" max="15127" width="2.5703125" style="436" hidden="1" customWidth="1"/>
    <col min="15128" max="15128" width="2.42578125" style="436" hidden="1" customWidth="1"/>
    <col min="15129" max="15132" width="2.5703125" style="436" hidden="1" customWidth="1"/>
    <col min="15133" max="15133" width="2.42578125" style="436" hidden="1" customWidth="1"/>
    <col min="15134" max="15137" width="2.5703125" style="436" hidden="1" customWidth="1"/>
    <col min="15138" max="15143" width="2.42578125" style="436" hidden="1" customWidth="1"/>
    <col min="15144" max="15144" width="1.5703125" style="436" hidden="1" customWidth="1"/>
    <col min="15145" max="15360" width="2.5703125" style="436" hidden="1"/>
    <col min="15361" max="15361" width="1.5703125" style="436" hidden="1" customWidth="1"/>
    <col min="15362" max="15362" width="0.85546875" style="436" hidden="1" customWidth="1"/>
    <col min="15363" max="15378" width="2.5703125" style="436" hidden="1" customWidth="1"/>
    <col min="15379" max="15379" width="4" style="436" hidden="1" customWidth="1"/>
    <col min="15380" max="15383" width="2.5703125" style="436" hidden="1" customWidth="1"/>
    <col min="15384" max="15384" width="2.42578125" style="436" hidden="1" customWidth="1"/>
    <col min="15385" max="15388" width="2.5703125" style="436" hidden="1" customWidth="1"/>
    <col min="15389" max="15389" width="2.42578125" style="436" hidden="1" customWidth="1"/>
    <col min="15390" max="15393" width="2.5703125" style="436" hidden="1" customWidth="1"/>
    <col min="15394" max="15399" width="2.42578125" style="436" hidden="1" customWidth="1"/>
    <col min="15400" max="15400" width="1.5703125" style="436" hidden="1" customWidth="1"/>
    <col min="15401" max="15616" width="2.5703125" style="436" hidden="1"/>
    <col min="15617" max="15617" width="1.5703125" style="436" hidden="1" customWidth="1"/>
    <col min="15618" max="15618" width="0.85546875" style="436" hidden="1" customWidth="1"/>
    <col min="15619" max="15634" width="2.5703125" style="436" hidden="1" customWidth="1"/>
    <col min="15635" max="15635" width="4" style="436" hidden="1" customWidth="1"/>
    <col min="15636" max="15639" width="2.5703125" style="436" hidden="1" customWidth="1"/>
    <col min="15640" max="15640" width="2.42578125" style="436" hidden="1" customWidth="1"/>
    <col min="15641" max="15644" width="2.5703125" style="436" hidden="1" customWidth="1"/>
    <col min="15645" max="15645" width="2.42578125" style="436" hidden="1" customWidth="1"/>
    <col min="15646" max="15649" width="2.5703125" style="436" hidden="1" customWidth="1"/>
    <col min="15650" max="15655" width="2.42578125" style="436" hidden="1" customWidth="1"/>
    <col min="15656" max="15656" width="1.5703125" style="436" hidden="1" customWidth="1"/>
    <col min="15657" max="15872" width="2.5703125" style="436" hidden="1"/>
    <col min="15873" max="15873" width="1.5703125" style="436" hidden="1" customWidth="1"/>
    <col min="15874" max="15874" width="0.85546875" style="436" hidden="1" customWidth="1"/>
    <col min="15875" max="15890" width="2.5703125" style="436" hidden="1" customWidth="1"/>
    <col min="15891" max="15891" width="4" style="436" hidden="1" customWidth="1"/>
    <col min="15892" max="15895" width="2.5703125" style="436" hidden="1" customWidth="1"/>
    <col min="15896" max="15896" width="2.42578125" style="436" hidden="1" customWidth="1"/>
    <col min="15897" max="15900" width="2.5703125" style="436" hidden="1" customWidth="1"/>
    <col min="15901" max="15901" width="2.42578125" style="436" hidden="1" customWidth="1"/>
    <col min="15902" max="15905" width="2.5703125" style="436" hidden="1" customWidth="1"/>
    <col min="15906" max="15911" width="2.42578125" style="436" hidden="1" customWidth="1"/>
    <col min="15912" max="15912" width="1.5703125" style="436" hidden="1" customWidth="1"/>
    <col min="15913" max="16128" width="2.5703125" style="436" hidden="1"/>
    <col min="16129" max="16129" width="1.5703125" style="436" hidden="1" customWidth="1"/>
    <col min="16130" max="16130" width="0.85546875" style="436" hidden="1" customWidth="1"/>
    <col min="16131" max="16146" width="2.5703125" style="436" hidden="1" customWidth="1"/>
    <col min="16147" max="16147" width="4" style="436" hidden="1" customWidth="1"/>
    <col min="16148" max="16151" width="2.5703125" style="436" hidden="1" customWidth="1"/>
    <col min="16152" max="16152" width="2.42578125" style="436" hidden="1" customWidth="1"/>
    <col min="16153" max="16156" width="2.5703125" style="436" hidden="1" customWidth="1"/>
    <col min="16157" max="16157" width="2.42578125" style="436" hidden="1" customWidth="1"/>
    <col min="16158" max="16161" width="2.5703125" style="436" hidden="1" customWidth="1"/>
    <col min="16162" max="16167" width="2.42578125" style="436" hidden="1" customWidth="1"/>
    <col min="16168" max="16168" width="1.5703125" style="436" hidden="1" customWidth="1"/>
    <col min="16169" max="16384" width="2.5703125" style="436" hidden="1"/>
  </cols>
  <sheetData>
    <row r="1" spans="1:40" ht="12.75" customHeight="1">
      <c r="A1" s="2646" t="s">
        <v>1468</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row>
    <row r="2" spans="1:40" ht="13.5" thickBo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1408</v>
      </c>
    </row>
    <row r="7" spans="1:40" ht="13.15" customHeight="1">
      <c r="B7" s="439"/>
      <c r="C7" s="440"/>
      <c r="D7" s="440"/>
      <c r="E7" s="440"/>
      <c r="F7" s="440"/>
      <c r="G7" s="440"/>
      <c r="H7" s="440"/>
      <c r="I7" s="440"/>
      <c r="J7" s="440"/>
      <c r="K7" s="440"/>
      <c r="L7" s="440"/>
      <c r="M7" s="440"/>
      <c r="N7" s="440"/>
      <c r="O7" s="440"/>
      <c r="P7" s="440"/>
      <c r="Q7" s="440"/>
      <c r="R7" s="440"/>
      <c r="S7" s="440"/>
      <c r="T7" s="2626" t="str">
        <f xml:space="preserve"> IF(T25=100%,'Sources and Basis Breakdown'!G2,'Sources and Basis Breakdown'!F2)</f>
        <v>30% PVC for New Const/
Rehabilitation
DDA/QCT
Building(s)</v>
      </c>
      <c r="U7" s="2626"/>
      <c r="V7" s="2626"/>
      <c r="W7" s="2626"/>
      <c r="X7" s="2626"/>
      <c r="Y7" s="2626" t="str">
        <f>IF(T25=100%," ",'Sources and Basis Breakdown'!G2)</f>
        <v>30% PVC for New Const/
Rehabilitation
NON-DDA/
NON-QCT Building(s)</v>
      </c>
      <c r="Z7" s="2626"/>
      <c r="AA7" s="2626"/>
      <c r="AB7" s="2626"/>
      <c r="AC7" s="2626"/>
      <c r="AD7" s="2626" t="str">
        <f xml:space="preserve"> IF(T25=100%, 'Sources and Basis Breakdown'!J2,'Sources and Basis Breakdown'!I2)</f>
        <v>30% PVC for Acquisition
DDA/QCT Building(s)</v>
      </c>
      <c r="AE7" s="2626"/>
      <c r="AF7" s="2626"/>
      <c r="AG7" s="2626"/>
      <c r="AH7" s="2626"/>
      <c r="AI7" s="2626" t="str">
        <f>IF(T25=100%," ",'Sources and Basis Breakdown'!J2)</f>
        <v>30% PVC for Acquisition
NON-DDA/
NON-QCT Building(s)</v>
      </c>
      <c r="AJ7" s="2626"/>
      <c r="AK7" s="2626"/>
      <c r="AL7" s="2626"/>
      <c r="AM7" s="2626"/>
    </row>
    <row r="8" spans="1:40" ht="12.75" customHeight="1">
      <c r="B8" s="441"/>
      <c r="T8" s="2626"/>
      <c r="U8" s="2626"/>
      <c r="V8" s="2626"/>
      <c r="W8" s="2626"/>
      <c r="X8" s="2626"/>
      <c r="Y8" s="2626"/>
      <c r="Z8" s="2626"/>
      <c r="AA8" s="2626"/>
      <c r="AB8" s="2626"/>
      <c r="AC8" s="2626"/>
      <c r="AD8" s="2626"/>
      <c r="AE8" s="2626"/>
      <c r="AF8" s="2626"/>
      <c r="AG8" s="2626"/>
      <c r="AH8" s="2626"/>
      <c r="AI8" s="2626"/>
      <c r="AJ8" s="2626"/>
      <c r="AK8" s="2626"/>
      <c r="AL8" s="2626"/>
      <c r="AM8" s="2626"/>
    </row>
    <row r="9" spans="1:40" ht="12.75">
      <c r="B9" s="441"/>
      <c r="T9" s="2626"/>
      <c r="U9" s="2626"/>
      <c r="V9" s="2626"/>
      <c r="W9" s="2626"/>
      <c r="X9" s="2626"/>
      <c r="Y9" s="2626"/>
      <c r="Z9" s="2626"/>
      <c r="AA9" s="2626"/>
      <c r="AB9" s="2626"/>
      <c r="AC9" s="2626"/>
      <c r="AD9" s="2626"/>
      <c r="AE9" s="2626"/>
      <c r="AF9" s="2626"/>
      <c r="AG9" s="2626"/>
      <c r="AH9" s="2626"/>
      <c r="AI9" s="2626"/>
      <c r="AJ9" s="2626"/>
      <c r="AK9" s="2626"/>
      <c r="AL9" s="2626"/>
      <c r="AM9" s="2626"/>
    </row>
    <row r="10" spans="1:40" ht="44.65" customHeight="1">
      <c r="B10" s="442"/>
      <c r="C10" s="443"/>
      <c r="D10" s="443"/>
      <c r="E10" s="443"/>
      <c r="F10" s="443"/>
      <c r="G10" s="443"/>
      <c r="H10" s="443"/>
      <c r="I10" s="443"/>
      <c r="J10" s="443"/>
      <c r="K10" s="443"/>
      <c r="L10" s="443"/>
      <c r="M10" s="443"/>
      <c r="N10" s="443"/>
      <c r="O10" s="443"/>
      <c r="P10" s="443"/>
      <c r="Q10" s="443"/>
      <c r="R10" s="443"/>
      <c r="S10" s="443"/>
      <c r="T10" s="2626"/>
      <c r="U10" s="2626"/>
      <c r="V10" s="2626"/>
      <c r="W10" s="2626"/>
      <c r="X10" s="2626"/>
      <c r="Y10" s="2626"/>
      <c r="Z10" s="2626"/>
      <c r="AA10" s="2626"/>
      <c r="AB10" s="2626"/>
      <c r="AC10" s="2626"/>
      <c r="AD10" s="2626"/>
      <c r="AE10" s="2626"/>
      <c r="AF10" s="2626"/>
      <c r="AG10" s="2626"/>
      <c r="AH10" s="2626"/>
      <c r="AI10" s="2626"/>
      <c r="AJ10" s="2626"/>
      <c r="AK10" s="2626"/>
      <c r="AL10" s="2626"/>
      <c r="AM10" s="2626"/>
    </row>
    <row r="11" spans="1:40" ht="12.75">
      <c r="B11" s="2609" t="s">
        <v>390</v>
      </c>
      <c r="C11" s="2610"/>
      <c r="D11" s="2610"/>
      <c r="E11" s="2610"/>
      <c r="F11" s="2610"/>
      <c r="G11" s="2610"/>
      <c r="H11" s="2610"/>
      <c r="I11" s="2610"/>
      <c r="J11" s="2610"/>
      <c r="K11" s="2610"/>
      <c r="L11" s="2610"/>
      <c r="M11" s="2610"/>
      <c r="N11" s="2610"/>
      <c r="O11" s="2610"/>
      <c r="P11" s="2610"/>
      <c r="Q11" s="2610"/>
      <c r="R11" s="2610"/>
      <c r="S11" s="2611"/>
      <c r="T11" s="2648">
        <f>IF('Sources and Basis Breakdown'!F107=0,'Sources and Basis Breakdown'!E107,'Sources and Basis Breakdown'!F107)</f>
        <v>44869622</v>
      </c>
      <c r="U11" s="2649"/>
      <c r="V11" s="2649"/>
      <c r="W11" s="2649"/>
      <c r="X11" s="2649"/>
      <c r="Y11" s="2648">
        <f>IF(Y7=" ",0,IF('Sources and Basis Breakdown'!G107+'Sources and Basis Breakdown'!F107='Sources and Basis Breakdown'!E107,'Sources and Basis Breakdown'!G107,0))</f>
        <v>0</v>
      </c>
      <c r="Z11" s="2649"/>
      <c r="AA11" s="2649"/>
      <c r="AB11" s="2649"/>
      <c r="AC11" s="2649"/>
      <c r="AD11" s="2649">
        <f>IF('Sources and Basis Breakdown'!I107=0,'Sources and Basis Breakdown'!H107,'Sources and Basis Breakdown'!I107)</f>
        <v>0</v>
      </c>
      <c r="AE11" s="2649"/>
      <c r="AF11" s="2649"/>
      <c r="AG11" s="2649"/>
      <c r="AH11" s="2649"/>
      <c r="AI11" s="2649">
        <f>IF(Y7=" ",0,IF('Sources and Basis Breakdown'!I107+'Sources and Basis Breakdown'!J107='Sources and Basis Breakdown'!H107,'Sources and Basis Breakdown'!J107,0))</f>
        <v>0</v>
      </c>
      <c r="AJ11" s="2649"/>
      <c r="AK11" s="2649"/>
      <c r="AL11" s="2649"/>
      <c r="AM11" s="2649"/>
    </row>
    <row r="12" spans="1:40" ht="12.75">
      <c r="B12" s="2652" t="s">
        <v>523</v>
      </c>
      <c r="C12" s="1260"/>
      <c r="D12" s="1260"/>
      <c r="E12" s="1260"/>
      <c r="F12" s="1260"/>
      <c r="G12" s="1260"/>
      <c r="H12" s="1260"/>
      <c r="I12" s="1260"/>
      <c r="J12" s="1260"/>
      <c r="K12" s="1260"/>
      <c r="L12" s="1260"/>
      <c r="M12" s="1260"/>
      <c r="N12" s="1260"/>
      <c r="O12" s="1260"/>
      <c r="P12" s="1260"/>
      <c r="Q12" s="1260"/>
      <c r="R12" s="1260"/>
      <c r="S12" s="2653"/>
      <c r="T12" s="2641"/>
      <c r="U12" s="2642"/>
      <c r="V12" s="2642"/>
      <c r="W12" s="2642"/>
      <c r="X12" s="2643"/>
      <c r="Y12" s="2641"/>
      <c r="Z12" s="2642"/>
      <c r="AA12" s="2642"/>
      <c r="AB12" s="2642"/>
      <c r="AC12" s="2643"/>
      <c r="AD12" s="2641"/>
      <c r="AE12" s="2642"/>
      <c r="AF12" s="2642"/>
      <c r="AG12" s="2642"/>
      <c r="AH12" s="2643"/>
      <c r="AI12" s="2641"/>
      <c r="AJ12" s="2642"/>
      <c r="AK12" s="2642"/>
      <c r="AL12" s="2642"/>
      <c r="AM12" s="2643"/>
    </row>
    <row r="13" spans="1:40" ht="12.75">
      <c r="B13" s="470"/>
      <c r="C13" s="2654" t="s">
        <v>524</v>
      </c>
      <c r="D13" s="2654"/>
      <c r="E13" s="2654"/>
      <c r="F13" s="2654"/>
      <c r="G13" s="2654"/>
      <c r="H13" s="2654"/>
      <c r="I13" s="2654"/>
      <c r="J13" s="2654"/>
      <c r="K13" s="2654"/>
      <c r="L13" s="2654"/>
      <c r="M13" s="2654"/>
      <c r="N13" s="2654"/>
      <c r="O13" s="2654"/>
      <c r="P13" s="2654"/>
      <c r="Q13" s="2654"/>
      <c r="R13" s="2654"/>
      <c r="S13" s="2655"/>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2.75">
      <c r="B14" s="470"/>
      <c r="C14" s="2654" t="s">
        <v>525</v>
      </c>
      <c r="D14" s="2654"/>
      <c r="E14" s="2654"/>
      <c r="F14" s="2654"/>
      <c r="G14" s="2654"/>
      <c r="H14" s="2654"/>
      <c r="I14" s="2654"/>
      <c r="J14" s="2654"/>
      <c r="K14" s="2654"/>
      <c r="L14" s="2654"/>
      <c r="M14" s="2654"/>
      <c r="N14" s="2654"/>
      <c r="O14" s="2654"/>
      <c r="P14" s="2654"/>
      <c r="Q14" s="2654"/>
      <c r="R14" s="2654"/>
      <c r="S14" s="2655"/>
      <c r="T14" s="2634"/>
      <c r="U14" s="2635"/>
      <c r="V14" s="2635"/>
      <c r="W14" s="2635"/>
      <c r="X14" s="2635"/>
      <c r="Y14" s="2634"/>
      <c r="Z14" s="2635"/>
      <c r="AA14" s="2635"/>
      <c r="AB14" s="2635"/>
      <c r="AC14" s="2635"/>
      <c r="AD14" s="2635"/>
      <c r="AE14" s="2635"/>
      <c r="AF14" s="2635"/>
      <c r="AG14" s="2635"/>
      <c r="AH14" s="2635"/>
      <c r="AI14" s="2635"/>
      <c r="AJ14" s="2635"/>
      <c r="AK14" s="2635"/>
      <c r="AL14" s="2635"/>
      <c r="AM14" s="2635"/>
    </row>
    <row r="15" spans="1:40" ht="12.75">
      <c r="B15" s="470"/>
      <c r="C15" s="2654" t="s">
        <v>526</v>
      </c>
      <c r="D15" s="2654"/>
      <c r="E15" s="2654"/>
      <c r="F15" s="2654"/>
      <c r="G15" s="2654"/>
      <c r="H15" s="2654"/>
      <c r="I15" s="2654"/>
      <c r="J15" s="2654"/>
      <c r="K15" s="2654"/>
      <c r="L15" s="2654"/>
      <c r="M15" s="2654"/>
      <c r="N15" s="2654"/>
      <c r="O15" s="2654"/>
      <c r="P15" s="2654"/>
      <c r="Q15" s="2654"/>
      <c r="R15" s="2654"/>
      <c r="S15" s="2655"/>
      <c r="T15" s="2634"/>
      <c r="U15" s="2635"/>
      <c r="V15" s="2635"/>
      <c r="W15" s="2635"/>
      <c r="X15" s="2635"/>
      <c r="Y15" s="2634"/>
      <c r="Z15" s="2635"/>
      <c r="AA15" s="2635"/>
      <c r="AB15" s="2635"/>
      <c r="AC15" s="2635"/>
      <c r="AD15" s="2635"/>
      <c r="AE15" s="2635"/>
      <c r="AF15" s="2635"/>
      <c r="AG15" s="2635"/>
      <c r="AH15" s="2635"/>
      <c r="AI15" s="2635"/>
      <c r="AJ15" s="2635"/>
      <c r="AK15" s="2635"/>
      <c r="AL15" s="2635"/>
      <c r="AM15" s="2635"/>
    </row>
    <row r="16" spans="1:40" ht="12.75">
      <c r="B16" s="470"/>
      <c r="C16" s="2654" t="s">
        <v>849</v>
      </c>
      <c r="D16" s="2654"/>
      <c r="E16" s="2654"/>
      <c r="F16" s="2654"/>
      <c r="G16" s="2654"/>
      <c r="H16" s="2654"/>
      <c r="I16" s="2654"/>
      <c r="J16" s="2654"/>
      <c r="K16" s="2654"/>
      <c r="L16" s="2654"/>
      <c r="M16" s="2654"/>
      <c r="N16" s="2654"/>
      <c r="O16" s="2654"/>
      <c r="P16" s="2654"/>
      <c r="Q16" s="2654"/>
      <c r="R16" s="2654"/>
      <c r="S16" s="2655"/>
      <c r="T16" s="2634">
        <v>173485</v>
      </c>
      <c r="U16" s="2635"/>
      <c r="V16" s="2635"/>
      <c r="W16" s="2635"/>
      <c r="X16" s="2635"/>
      <c r="Y16" s="2634"/>
      <c r="Z16" s="2635"/>
      <c r="AA16" s="2635"/>
      <c r="AB16" s="2635"/>
      <c r="AC16" s="2635"/>
      <c r="AD16" s="2635"/>
      <c r="AE16" s="2635"/>
      <c r="AF16" s="2635"/>
      <c r="AG16" s="2635"/>
      <c r="AH16" s="2635"/>
      <c r="AI16" s="2635"/>
      <c r="AJ16" s="2635"/>
      <c r="AK16" s="2635"/>
      <c r="AL16" s="2635"/>
      <c r="AM16" s="2635"/>
    </row>
    <row r="17" spans="1:40" ht="12.75">
      <c r="B17" s="470"/>
      <c r="C17" s="2654" t="s">
        <v>527</v>
      </c>
      <c r="D17" s="2654"/>
      <c r="E17" s="2654"/>
      <c r="F17" s="2654"/>
      <c r="G17" s="2654"/>
      <c r="H17" s="2654"/>
      <c r="I17" s="2654"/>
      <c r="J17" s="2654"/>
      <c r="K17" s="2654"/>
      <c r="L17" s="2654"/>
      <c r="M17" s="2654"/>
      <c r="N17" s="2654"/>
      <c r="O17" s="2654"/>
      <c r="P17" s="2654"/>
      <c r="Q17" s="2654"/>
      <c r="R17" s="2654"/>
      <c r="S17" s="2655"/>
      <c r="T17" s="2634"/>
      <c r="U17" s="2635"/>
      <c r="V17" s="2635"/>
      <c r="W17" s="2635"/>
      <c r="X17" s="2635"/>
      <c r="Y17" s="2634"/>
      <c r="Z17" s="2635"/>
      <c r="AA17" s="2635"/>
      <c r="AB17" s="2635"/>
      <c r="AC17" s="2635"/>
      <c r="AD17" s="2635"/>
      <c r="AE17" s="2635"/>
      <c r="AF17" s="2635"/>
      <c r="AG17" s="2635"/>
      <c r="AH17" s="2635"/>
      <c r="AI17" s="2635"/>
      <c r="AJ17" s="2635"/>
      <c r="AK17" s="2635"/>
      <c r="AL17" s="2635"/>
      <c r="AM17" s="2635"/>
    </row>
    <row r="18" spans="1:40" ht="12.75">
      <c r="B18" s="471"/>
      <c r="C18" s="2650" t="s">
        <v>1020</v>
      </c>
      <c r="D18" s="2650"/>
      <c r="E18" s="2650"/>
      <c r="F18" s="2650"/>
      <c r="G18" s="2650"/>
      <c r="H18" s="2650"/>
      <c r="I18" s="2650"/>
      <c r="J18" s="2650"/>
      <c r="K18" s="2650"/>
      <c r="L18" s="2650"/>
      <c r="M18" s="2650"/>
      <c r="N18" s="2650"/>
      <c r="O18" s="2650"/>
      <c r="P18" s="2650"/>
      <c r="Q18" s="2650"/>
      <c r="R18" s="2650"/>
      <c r="S18" s="2651"/>
      <c r="T18" s="2634"/>
      <c r="U18" s="2635"/>
      <c r="V18" s="2635"/>
      <c r="W18" s="2635"/>
      <c r="X18" s="2635"/>
      <c r="Y18" s="2634"/>
      <c r="Z18" s="2635"/>
      <c r="AA18" s="2635"/>
      <c r="AB18" s="2635"/>
      <c r="AC18" s="2635"/>
      <c r="AD18" s="2635"/>
      <c r="AE18" s="2635"/>
      <c r="AF18" s="2635"/>
      <c r="AG18" s="2635"/>
      <c r="AH18" s="2635"/>
      <c r="AI18" s="2635"/>
      <c r="AJ18" s="2635"/>
      <c r="AK18" s="2635"/>
      <c r="AL18" s="2635"/>
      <c r="AM18" s="2635"/>
    </row>
    <row r="19" spans="1:40" ht="12.75">
      <c r="B19" s="471"/>
      <c r="C19" s="2650" t="s">
        <v>1020</v>
      </c>
      <c r="D19" s="2650"/>
      <c r="E19" s="2650"/>
      <c r="F19" s="2650"/>
      <c r="G19" s="2650"/>
      <c r="H19" s="2650"/>
      <c r="I19" s="2650"/>
      <c r="J19" s="2650"/>
      <c r="K19" s="2650"/>
      <c r="L19" s="2650"/>
      <c r="M19" s="2650"/>
      <c r="N19" s="2650"/>
      <c r="O19" s="2650"/>
      <c r="P19" s="2650"/>
      <c r="Q19" s="2650"/>
      <c r="R19" s="2650"/>
      <c r="S19" s="2651"/>
      <c r="T19" s="2634"/>
      <c r="U19" s="2635"/>
      <c r="V19" s="2635"/>
      <c r="W19" s="2635"/>
      <c r="X19" s="2635"/>
      <c r="Y19" s="2634"/>
      <c r="Z19" s="2635"/>
      <c r="AA19" s="2635"/>
      <c r="AB19" s="2635"/>
      <c r="AC19" s="2635"/>
      <c r="AD19" s="2635"/>
      <c r="AE19" s="2635"/>
      <c r="AF19" s="2635"/>
      <c r="AG19" s="2635"/>
      <c r="AH19" s="2635"/>
      <c r="AI19" s="2635"/>
      <c r="AJ19" s="2635"/>
      <c r="AK19" s="2635"/>
      <c r="AL19" s="2635"/>
      <c r="AM19" s="2635"/>
    </row>
    <row r="20" spans="1:40" ht="12.75">
      <c r="B20" s="2609" t="s">
        <v>528</v>
      </c>
      <c r="C20" s="2610"/>
      <c r="D20" s="2610"/>
      <c r="E20" s="2610"/>
      <c r="F20" s="2610"/>
      <c r="G20" s="2610"/>
      <c r="H20" s="2610"/>
      <c r="I20" s="2610"/>
      <c r="J20" s="2610"/>
      <c r="K20" s="2610"/>
      <c r="L20" s="2610"/>
      <c r="M20" s="2610"/>
      <c r="N20" s="2610"/>
      <c r="O20" s="2610"/>
      <c r="P20" s="2610"/>
      <c r="Q20" s="2610"/>
      <c r="R20" s="2610"/>
      <c r="S20" s="2611"/>
      <c r="T20" s="2625">
        <f>SUM(T13:X19)</f>
        <v>173485</v>
      </c>
      <c r="U20" s="2603"/>
      <c r="V20" s="2603"/>
      <c r="W20" s="2603"/>
      <c r="X20" s="2603"/>
      <c r="Y20" s="2625">
        <f>SUM(Y13:AC19)</f>
        <v>0</v>
      </c>
      <c r="Z20" s="2603"/>
      <c r="AA20" s="2603"/>
      <c r="AB20" s="2603"/>
      <c r="AC20" s="2603"/>
      <c r="AD20" s="2613">
        <f>SUM(AD13:AH19)</f>
        <v>0</v>
      </c>
      <c r="AE20" s="2624"/>
      <c r="AF20" s="2624"/>
      <c r="AG20" s="2624"/>
      <c r="AH20" s="2625"/>
      <c r="AI20" s="2613">
        <f>SUM(AI13:AM19)</f>
        <v>0</v>
      </c>
      <c r="AJ20" s="2624"/>
      <c r="AK20" s="2624"/>
      <c r="AL20" s="2624"/>
      <c r="AM20" s="2625"/>
    </row>
    <row r="21" spans="1:40" ht="12.75">
      <c r="B21" s="2609" t="s">
        <v>1444</v>
      </c>
      <c r="C21" s="2610"/>
      <c r="D21" s="2610"/>
      <c r="E21" s="2610"/>
      <c r="F21" s="2610"/>
      <c r="G21" s="2610"/>
      <c r="H21" s="2610"/>
      <c r="I21" s="2610"/>
      <c r="J21" s="2610"/>
      <c r="K21" s="2610"/>
      <c r="L21" s="2610"/>
      <c r="M21" s="2610"/>
      <c r="N21" s="2610"/>
      <c r="O21" s="2610"/>
      <c r="P21" s="2610"/>
      <c r="Q21" s="2610"/>
      <c r="R21" s="2610"/>
      <c r="S21" s="2611"/>
      <c r="T21" s="2634"/>
      <c r="U21" s="2635"/>
      <c r="V21" s="2635"/>
      <c r="W21" s="2635"/>
      <c r="X21" s="2635"/>
      <c r="Y21" s="2634"/>
      <c r="Z21" s="2635"/>
      <c r="AA21" s="2635"/>
      <c r="AB21" s="2635"/>
      <c r="AC21" s="2635"/>
      <c r="AD21" s="2641"/>
      <c r="AE21" s="2642"/>
      <c r="AF21" s="2642"/>
      <c r="AG21" s="2642"/>
      <c r="AH21" s="2643"/>
      <c r="AI21" s="2641"/>
      <c r="AJ21" s="2642"/>
      <c r="AK21" s="2642"/>
      <c r="AL21" s="2642"/>
      <c r="AM21" s="2643"/>
    </row>
    <row r="22" spans="1:40" ht="12.75">
      <c r="B22" s="2609" t="s">
        <v>529</v>
      </c>
      <c r="C22" s="2610"/>
      <c r="D22" s="2610"/>
      <c r="E22" s="2610"/>
      <c r="F22" s="2610"/>
      <c r="G22" s="2610"/>
      <c r="H22" s="2610"/>
      <c r="I22" s="2610"/>
      <c r="J22" s="2610"/>
      <c r="K22" s="2610"/>
      <c r="L22" s="2610"/>
      <c r="M22" s="2610"/>
      <c r="N22" s="2610"/>
      <c r="O22" s="2610"/>
      <c r="P22" s="2610"/>
      <c r="Q22" s="2610"/>
      <c r="R22" s="2610"/>
      <c r="S22" s="2611"/>
      <c r="T22" s="2630">
        <f>(T20+T21)*-1</f>
        <v>-173485</v>
      </c>
      <c r="U22" s="2631"/>
      <c r="V22" s="2631"/>
      <c r="W22" s="2631"/>
      <c r="X22" s="2631"/>
      <c r="Y22" s="2630">
        <f>(Y20+Y21)*-1</f>
        <v>0</v>
      </c>
      <c r="Z22" s="2631"/>
      <c r="AA22" s="2631"/>
      <c r="AB22" s="2631"/>
      <c r="AC22" s="2631"/>
      <c r="AD22" s="2632">
        <f>(AD20)*-1</f>
        <v>0</v>
      </c>
      <c r="AE22" s="2633"/>
      <c r="AF22" s="2633"/>
      <c r="AG22" s="2633"/>
      <c r="AH22" s="2630"/>
      <c r="AI22" s="2632">
        <f>(AI20)*-1</f>
        <v>0</v>
      </c>
      <c r="AJ22" s="2633"/>
      <c r="AK22" s="2633"/>
      <c r="AL22" s="2633"/>
      <c r="AM22" s="2630"/>
    </row>
    <row r="23" spans="1:40" ht="12.75">
      <c r="B23" s="2609" t="s">
        <v>530</v>
      </c>
      <c r="C23" s="2610"/>
      <c r="D23" s="2610"/>
      <c r="E23" s="2610"/>
      <c r="F23" s="2610"/>
      <c r="G23" s="2610"/>
      <c r="H23" s="2610"/>
      <c r="I23" s="2610"/>
      <c r="J23" s="2610"/>
      <c r="K23" s="2610"/>
      <c r="L23" s="2610"/>
      <c r="M23" s="2610"/>
      <c r="N23" s="2610"/>
      <c r="O23" s="2610"/>
      <c r="P23" s="2610"/>
      <c r="Q23" s="2610"/>
      <c r="R23" s="2610"/>
      <c r="S23" s="2611"/>
      <c r="T23" s="2625">
        <f>T11+T22</f>
        <v>44696137</v>
      </c>
      <c r="U23" s="2603"/>
      <c r="V23" s="2603"/>
      <c r="W23" s="2603"/>
      <c r="X23" s="2603"/>
      <c r="Y23" s="2625">
        <f>Y11+Y22</f>
        <v>0</v>
      </c>
      <c r="Z23" s="2603"/>
      <c r="AA23" s="2603"/>
      <c r="AB23" s="2603"/>
      <c r="AC23" s="2603"/>
      <c r="AD23" s="2625">
        <f>AD11+AD22</f>
        <v>0</v>
      </c>
      <c r="AE23" s="2603"/>
      <c r="AF23" s="2603"/>
      <c r="AG23" s="2603"/>
      <c r="AH23" s="2603"/>
      <c r="AI23" s="2625">
        <f>AI11+AI22</f>
        <v>0</v>
      </c>
      <c r="AJ23" s="2603"/>
      <c r="AK23" s="2603"/>
      <c r="AL23" s="2603"/>
      <c r="AM23" s="2603"/>
    </row>
    <row r="24" spans="1:40" ht="12.75">
      <c r="B24" s="2609" t="s">
        <v>1021</v>
      </c>
      <c r="C24" s="2610"/>
      <c r="D24" s="2610"/>
      <c r="E24" s="2610"/>
      <c r="F24" s="2610"/>
      <c r="G24" s="2610"/>
      <c r="H24" s="2610"/>
      <c r="I24" s="2610"/>
      <c r="J24" s="2610"/>
      <c r="K24" s="2610"/>
      <c r="L24" s="2610"/>
      <c r="M24" s="2610"/>
      <c r="N24" s="2610"/>
      <c r="O24" s="2610"/>
      <c r="P24" s="2610"/>
      <c r="Q24" s="2610"/>
      <c r="R24" s="2610"/>
      <c r="S24" s="2611"/>
      <c r="T24" s="2613">
        <f>Application!AJ1032</f>
        <v>77153193.120000005</v>
      </c>
      <c r="U24" s="2624"/>
      <c r="V24" s="2624"/>
      <c r="W24" s="2624"/>
      <c r="X24" s="2624"/>
      <c r="Y24" s="2624"/>
      <c r="Z24" s="2624"/>
      <c r="AA24" s="2624"/>
      <c r="AB24" s="2624"/>
      <c r="AC24" s="2624"/>
      <c r="AD24" s="2624"/>
      <c r="AE24" s="2624"/>
      <c r="AF24" s="2624"/>
      <c r="AG24" s="2624"/>
      <c r="AH24" s="2624"/>
      <c r="AI24" s="2624"/>
      <c r="AJ24" s="2624"/>
      <c r="AK24" s="2624"/>
      <c r="AL24" s="2624"/>
      <c r="AM24" s="2625"/>
    </row>
    <row r="25" spans="1:40" ht="12.75">
      <c r="B25" s="2658" t="s">
        <v>1445</v>
      </c>
      <c r="C25" s="2659"/>
      <c r="D25" s="2659"/>
      <c r="E25" s="2659"/>
      <c r="F25" s="2659"/>
      <c r="G25" s="2659"/>
      <c r="H25" s="2659"/>
      <c r="I25" s="2659"/>
      <c r="J25" s="2659"/>
      <c r="K25" s="2659"/>
      <c r="L25" s="2659"/>
      <c r="M25" s="2659"/>
      <c r="N25" s="2659"/>
      <c r="O25" s="2659"/>
      <c r="P25" s="2659"/>
      <c r="Q25" s="2659"/>
      <c r="R25" s="2659"/>
      <c r="S25" s="2660"/>
      <c r="T25" s="2638">
        <f>IF(OR(Application!T195="yes",Application!T194="yes"),1.3,1)</f>
        <v>1.3</v>
      </c>
      <c r="U25" s="2639"/>
      <c r="V25" s="2639"/>
      <c r="W25" s="2639"/>
      <c r="X25" s="2639"/>
      <c r="Y25" s="2638">
        <v>1</v>
      </c>
      <c r="Z25" s="2639"/>
      <c r="AA25" s="2639"/>
      <c r="AB25" s="2639"/>
      <c r="AC25" s="2639"/>
      <c r="AD25" s="2638">
        <v>1</v>
      </c>
      <c r="AE25" s="2639"/>
      <c r="AF25" s="2639"/>
      <c r="AG25" s="2639"/>
      <c r="AH25" s="2640"/>
      <c r="AI25" s="2638">
        <v>1</v>
      </c>
      <c r="AJ25" s="2639"/>
      <c r="AK25" s="2639"/>
      <c r="AL25" s="2639"/>
      <c r="AM25" s="2640"/>
    </row>
    <row r="26" spans="1:40" ht="12.75">
      <c r="B26" s="2609" t="s">
        <v>531</v>
      </c>
      <c r="C26" s="2610"/>
      <c r="D26" s="2610"/>
      <c r="E26" s="2610"/>
      <c r="F26" s="2610"/>
      <c r="G26" s="2610"/>
      <c r="H26" s="2610"/>
      <c r="I26" s="2610"/>
      <c r="J26" s="2610"/>
      <c r="K26" s="2610"/>
      <c r="L26" s="2610"/>
      <c r="M26" s="2610"/>
      <c r="N26" s="2610"/>
      <c r="O26" s="2610"/>
      <c r="P26" s="2610"/>
      <c r="Q26" s="2610"/>
      <c r="R26" s="2610"/>
      <c r="S26" s="2611"/>
      <c r="T26" s="2625">
        <f>T23*T25</f>
        <v>58104978.100000001</v>
      </c>
      <c r="U26" s="2603"/>
      <c r="V26" s="2603"/>
      <c r="W26" s="2603"/>
      <c r="X26" s="2603"/>
      <c r="Y26" s="2625">
        <f>Y23*Y25</f>
        <v>0</v>
      </c>
      <c r="Z26" s="2603"/>
      <c r="AA26" s="2603"/>
      <c r="AB26" s="2603"/>
      <c r="AC26" s="2603"/>
      <c r="AD26" s="2625">
        <f>AD23*AD25</f>
        <v>0</v>
      </c>
      <c r="AE26" s="2603"/>
      <c r="AF26" s="2603"/>
      <c r="AG26" s="2603"/>
      <c r="AH26" s="2603"/>
      <c r="AI26" s="2625">
        <f>AI23*AI25</f>
        <v>0</v>
      </c>
      <c r="AJ26" s="2603"/>
      <c r="AK26" s="2603"/>
      <c r="AL26" s="2603"/>
      <c r="AM26" s="2603"/>
    </row>
    <row r="27" spans="1:40" ht="12.75">
      <c r="A27" s="444"/>
      <c r="B27" s="2661" t="s">
        <v>443</v>
      </c>
      <c r="C27" s="2662"/>
      <c r="D27" s="2662"/>
      <c r="E27" s="2662"/>
      <c r="F27" s="2662"/>
      <c r="G27" s="2662"/>
      <c r="H27" s="2662"/>
      <c r="I27" s="2662"/>
      <c r="J27" s="2662"/>
      <c r="K27" s="2662"/>
      <c r="L27" s="2662"/>
      <c r="M27" s="2662"/>
      <c r="N27" s="2662"/>
      <c r="O27" s="2662"/>
      <c r="P27" s="2662"/>
      <c r="Q27" s="2662"/>
      <c r="R27" s="2662"/>
      <c r="S27" s="2663"/>
      <c r="T27" s="2636">
        <f>Application!$AG$444</f>
        <v>1</v>
      </c>
      <c r="U27" s="2637"/>
      <c r="V27" s="2637"/>
      <c r="W27" s="2637"/>
      <c r="X27" s="2637"/>
      <c r="Y27" s="2636">
        <f>Application!$AG$444</f>
        <v>1</v>
      </c>
      <c r="Z27" s="2637"/>
      <c r="AA27" s="2637"/>
      <c r="AB27" s="2637"/>
      <c r="AC27" s="2637"/>
      <c r="AD27" s="2636">
        <f>Application!$AG$444</f>
        <v>1</v>
      </c>
      <c r="AE27" s="2637"/>
      <c r="AF27" s="2637"/>
      <c r="AG27" s="2637"/>
      <c r="AH27" s="2637"/>
      <c r="AI27" s="2636">
        <f>Application!$AG$444</f>
        <v>1</v>
      </c>
      <c r="AJ27" s="2637"/>
      <c r="AK27" s="2637"/>
      <c r="AL27" s="2637"/>
      <c r="AM27" s="2637"/>
    </row>
    <row r="28" spans="1:40" ht="12.75" customHeight="1">
      <c r="A28" s="438"/>
      <c r="B28" s="2609" t="s">
        <v>532</v>
      </c>
      <c r="C28" s="2610"/>
      <c r="D28" s="2610"/>
      <c r="E28" s="2610"/>
      <c r="F28" s="2610"/>
      <c r="G28" s="2610"/>
      <c r="H28" s="2610"/>
      <c r="I28" s="2610"/>
      <c r="J28" s="2610"/>
      <c r="K28" s="2610"/>
      <c r="L28" s="2610"/>
      <c r="M28" s="2610"/>
      <c r="N28" s="2610"/>
      <c r="O28" s="2610"/>
      <c r="P28" s="2610"/>
      <c r="Q28" s="2610"/>
      <c r="R28" s="2610"/>
      <c r="S28" s="2611"/>
      <c r="T28" s="2625">
        <f>IF(ISERROR((T26*T27)),0,(T26*T27))</f>
        <v>58104978.100000001</v>
      </c>
      <c r="U28" s="2603"/>
      <c r="V28" s="2603"/>
      <c r="W28" s="2603"/>
      <c r="X28" s="2603"/>
      <c r="Y28" s="2625">
        <f>IF(ISERROR((Y26*Y27)),0,(Y26*Y27))</f>
        <v>0</v>
      </c>
      <c r="Z28" s="2603"/>
      <c r="AA28" s="2603"/>
      <c r="AB28" s="2603"/>
      <c r="AC28" s="2603"/>
      <c r="AD28" s="2625">
        <f>IF(ISERROR((AD26*AD27)),0,(AD26*AD27))</f>
        <v>0</v>
      </c>
      <c r="AE28" s="2603"/>
      <c r="AF28" s="2603"/>
      <c r="AG28" s="2603"/>
      <c r="AH28" s="2603"/>
      <c r="AI28" s="2625">
        <f>IF(ISERROR((AI26*AI27)),0,(AI26*AI27))</f>
        <v>0</v>
      </c>
      <c r="AJ28" s="2603"/>
      <c r="AK28" s="2603"/>
      <c r="AL28" s="2603"/>
      <c r="AM28" s="2603"/>
    </row>
    <row r="29" spans="1:40" ht="12.75">
      <c r="B29" s="2609" t="s">
        <v>549</v>
      </c>
      <c r="C29" s="2610"/>
      <c r="D29" s="2610"/>
      <c r="E29" s="2610"/>
      <c r="F29" s="2610"/>
      <c r="G29" s="2610"/>
      <c r="H29" s="2610"/>
      <c r="I29" s="2610"/>
      <c r="J29" s="2610"/>
      <c r="K29" s="2610"/>
      <c r="L29" s="2610"/>
      <c r="M29" s="2610"/>
      <c r="N29" s="2610"/>
      <c r="O29" s="2610"/>
      <c r="P29" s="2610"/>
      <c r="Q29" s="2610"/>
      <c r="R29" s="2610"/>
      <c r="S29" s="2611"/>
      <c r="T29" s="2613">
        <f>T28+Y28+AD28+AI28</f>
        <v>58104978.100000001</v>
      </c>
      <c r="U29" s="2624"/>
      <c r="V29" s="2624"/>
      <c r="W29" s="2624"/>
      <c r="X29" s="2624"/>
      <c r="Y29" s="2624"/>
      <c r="Z29" s="2624"/>
      <c r="AA29" s="2624"/>
      <c r="AB29" s="2624"/>
      <c r="AC29" s="2624"/>
      <c r="AD29" s="2624"/>
      <c r="AE29" s="2624"/>
      <c r="AF29" s="2624"/>
      <c r="AG29" s="2624"/>
      <c r="AH29" s="2624"/>
      <c r="AI29" s="2624"/>
      <c r="AJ29" s="2624"/>
      <c r="AK29" s="2624"/>
      <c r="AL29" s="2624"/>
      <c r="AM29" s="2625"/>
    </row>
    <row r="30" spans="1:40" ht="12.75" customHeight="1">
      <c r="B30" s="2629" t="s">
        <v>1447</v>
      </c>
      <c r="C30" s="2629"/>
      <c r="D30" s="2629"/>
      <c r="E30" s="2629"/>
      <c r="F30" s="2629"/>
      <c r="G30" s="2629"/>
      <c r="H30" s="2629"/>
      <c r="I30" s="2629"/>
      <c r="J30" s="2629"/>
      <c r="K30" s="2629"/>
      <c r="L30" s="2629"/>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row>
    <row r="31" spans="1:40" ht="12.75" customHeight="1">
      <c r="B31" s="2629" t="s">
        <v>1446</v>
      </c>
      <c r="C31" s="2629"/>
      <c r="D31" s="2629"/>
      <c r="E31" s="2629"/>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26" t="s">
        <v>1315</v>
      </c>
      <c r="Z35" s="2626"/>
      <c r="AA35" s="2626"/>
      <c r="AB35" s="2626"/>
      <c r="AC35" s="2626"/>
      <c r="AD35" s="2627" t="s">
        <v>377</v>
      </c>
      <c r="AE35" s="2627"/>
      <c r="AF35" s="2627"/>
      <c r="AG35" s="2627"/>
      <c r="AH35" s="2627"/>
    </row>
    <row r="36" spans="1:76" ht="12.75" customHeight="1">
      <c r="B36" s="441"/>
      <c r="X36" s="446"/>
      <c r="Y36" s="2626"/>
      <c r="Z36" s="2626"/>
      <c r="AA36" s="2626"/>
      <c r="AB36" s="2626"/>
      <c r="AC36" s="2626"/>
      <c r="AD36" s="2627"/>
      <c r="AE36" s="2627"/>
      <c r="AF36" s="2627"/>
      <c r="AG36" s="2627"/>
      <c r="AH36" s="2627"/>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26"/>
      <c r="Z37" s="2626"/>
      <c r="AA37" s="2626"/>
      <c r="AB37" s="2626"/>
      <c r="AC37" s="2626"/>
      <c r="AD37" s="2627"/>
      <c r="AE37" s="2627"/>
      <c r="AF37" s="2627"/>
      <c r="AG37" s="2627"/>
      <c r="AH37" s="2627"/>
    </row>
    <row r="38" spans="1:76" ht="12.75" customHeight="1">
      <c r="A38" s="438"/>
      <c r="B38" s="2609" t="s">
        <v>532</v>
      </c>
      <c r="C38" s="2610"/>
      <c r="D38" s="2610"/>
      <c r="E38" s="2610"/>
      <c r="F38" s="2610"/>
      <c r="G38" s="2610"/>
      <c r="H38" s="2610"/>
      <c r="I38" s="2610"/>
      <c r="J38" s="2610"/>
      <c r="K38" s="2610"/>
      <c r="L38" s="2610"/>
      <c r="M38" s="2610"/>
      <c r="N38" s="2610"/>
      <c r="O38" s="2610"/>
      <c r="P38" s="2610"/>
      <c r="Q38" s="2610"/>
      <c r="R38" s="2610"/>
      <c r="S38" s="2610"/>
      <c r="T38" s="2610"/>
      <c r="U38" s="2610"/>
      <c r="V38" s="2610"/>
      <c r="W38" s="2610"/>
      <c r="X38" s="2611"/>
      <c r="Y38" s="2603">
        <f>IF(T24&gt;=(T23+Y23+AD23+AI23),T28+Y28,0)</f>
        <v>58104978.100000001</v>
      </c>
      <c r="Z38" s="2603"/>
      <c r="AA38" s="2603"/>
      <c r="AB38" s="2603"/>
      <c r="AC38" s="2603"/>
      <c r="AD38" s="2603">
        <f>IF(T24&gt;=(T23+Y23+AD23+AI23),AD28+AI28,0)</f>
        <v>0</v>
      </c>
      <c r="AE38" s="2603"/>
      <c r="AF38" s="2603"/>
      <c r="AG38" s="2603"/>
      <c r="AH38" s="2603"/>
    </row>
    <row r="39" spans="1:76" ht="12.75">
      <c r="B39" s="2609" t="s">
        <v>2005</v>
      </c>
      <c r="C39" s="2610"/>
      <c r="D39" s="2610"/>
      <c r="E39" s="2610"/>
      <c r="F39" s="2610"/>
      <c r="G39" s="2610"/>
      <c r="H39" s="2610"/>
      <c r="I39" s="2610"/>
      <c r="J39" s="2610"/>
      <c r="K39" s="2610"/>
      <c r="L39" s="2610"/>
      <c r="M39" s="2610"/>
      <c r="N39" s="2610"/>
      <c r="O39" s="2610"/>
      <c r="P39" s="2610"/>
      <c r="Q39" s="2610"/>
      <c r="R39" s="2610"/>
      <c r="S39" s="2610"/>
      <c r="T39" s="2610"/>
      <c r="U39" s="2610"/>
      <c r="V39" s="2610"/>
      <c r="W39" s="2610"/>
      <c r="X39" s="2611"/>
      <c r="Y39" s="2628">
        <v>0.04</v>
      </c>
      <c r="Z39" s="2628"/>
      <c r="AA39" s="2628"/>
      <c r="AB39" s="2628"/>
      <c r="AC39" s="2628"/>
      <c r="AD39" s="2628">
        <v>0.04</v>
      </c>
      <c r="AE39" s="2628"/>
      <c r="AF39" s="2628"/>
      <c r="AG39" s="2628"/>
      <c r="AH39" s="2628"/>
    </row>
    <row r="40" spans="1:76" ht="12.75" customHeight="1">
      <c r="A40" s="438"/>
      <c r="B40" s="2609" t="s">
        <v>669</v>
      </c>
      <c r="C40" s="2610"/>
      <c r="D40" s="2610"/>
      <c r="E40" s="2610"/>
      <c r="F40" s="2610"/>
      <c r="G40" s="2610"/>
      <c r="H40" s="2610"/>
      <c r="I40" s="2610"/>
      <c r="J40" s="2610"/>
      <c r="K40" s="2610"/>
      <c r="L40" s="2610"/>
      <c r="M40" s="2610"/>
      <c r="N40" s="2610"/>
      <c r="O40" s="2610"/>
      <c r="P40" s="2610"/>
      <c r="Q40" s="2610"/>
      <c r="R40" s="2610"/>
      <c r="S40" s="2610"/>
      <c r="T40" s="2610"/>
      <c r="U40" s="2610"/>
      <c r="V40" s="2610"/>
      <c r="W40" s="2610"/>
      <c r="X40" s="2611"/>
      <c r="Y40" s="2603">
        <f>ROUND(Y38*Y39,0)</f>
        <v>2324199</v>
      </c>
      <c r="Z40" s="2603"/>
      <c r="AA40" s="2603"/>
      <c r="AB40" s="2603"/>
      <c r="AC40" s="2603"/>
      <c r="AD40" s="2625">
        <f>ROUND(AD38*AD39,0)</f>
        <v>0</v>
      </c>
      <c r="AE40" s="2603"/>
      <c r="AF40" s="2603"/>
      <c r="AG40" s="2603"/>
      <c r="AH40" s="2603"/>
    </row>
    <row r="41" spans="1:76" ht="12.75">
      <c r="B41" s="2609" t="s">
        <v>670</v>
      </c>
      <c r="C41" s="2610"/>
      <c r="D41" s="2610"/>
      <c r="E41" s="2610"/>
      <c r="F41" s="2610"/>
      <c r="G41" s="2610"/>
      <c r="H41" s="2610"/>
      <c r="I41" s="2610"/>
      <c r="J41" s="2610"/>
      <c r="K41" s="2610"/>
      <c r="L41" s="2610"/>
      <c r="M41" s="2610"/>
      <c r="N41" s="2610"/>
      <c r="O41" s="2610"/>
      <c r="P41" s="2610"/>
      <c r="Q41" s="2610"/>
      <c r="R41" s="2610"/>
      <c r="S41" s="2610"/>
      <c r="T41" s="2610"/>
      <c r="U41" s="2610"/>
      <c r="V41" s="2610"/>
      <c r="W41" s="2610"/>
      <c r="X41" s="2611"/>
      <c r="Y41" s="2613">
        <f>Y40+AD40</f>
        <v>2324199</v>
      </c>
      <c r="Z41" s="2624"/>
      <c r="AA41" s="2624"/>
      <c r="AB41" s="2624"/>
      <c r="AC41" s="2624"/>
      <c r="AD41" s="2624"/>
      <c r="AE41" s="2624"/>
      <c r="AF41" s="2624"/>
      <c r="AG41" s="2624"/>
      <c r="AH41" s="2625"/>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23" t="s">
        <v>1458</v>
      </c>
      <c r="B44" s="2623"/>
      <c r="C44" s="2623"/>
      <c r="D44" s="2623"/>
      <c r="E44" s="2623"/>
      <c r="F44" s="2623"/>
      <c r="G44" s="2623"/>
      <c r="H44" s="2623"/>
      <c r="I44" s="2623"/>
      <c r="J44" s="2623"/>
      <c r="K44" s="2623"/>
      <c r="L44" s="2623"/>
      <c r="M44" s="2623"/>
      <c r="N44" s="2623"/>
      <c r="O44" s="2623"/>
      <c r="P44" s="2623"/>
      <c r="Q44" s="2623"/>
      <c r="R44" s="2623"/>
      <c r="S44" s="2623"/>
      <c r="T44" s="2623"/>
      <c r="U44" s="2623"/>
      <c r="V44" s="2623"/>
      <c r="W44" s="2623"/>
      <c r="X44" s="2623"/>
      <c r="Y44" s="2623"/>
      <c r="Z44" s="2623"/>
      <c r="AA44" s="2623"/>
      <c r="AB44" s="2623"/>
      <c r="AC44" s="2623"/>
      <c r="AD44" s="2623"/>
      <c r="AE44" s="2623"/>
      <c r="AF44" s="2623"/>
      <c r="AG44" s="2623"/>
      <c r="AH44" s="2623"/>
      <c r="AI44" s="2623"/>
      <c r="AJ44" s="2623"/>
      <c r="AK44" s="2623"/>
      <c r="AL44" s="2623"/>
      <c r="AM44" s="2623"/>
      <c r="AN44" s="2623"/>
      <c r="AO44" s="2623"/>
      <c r="AP44" s="2623"/>
      <c r="AQ44" s="2623"/>
      <c r="AR44" s="2623"/>
      <c r="AS44" s="2623"/>
      <c r="AT44" s="2623"/>
      <c r="AU44" s="2623"/>
      <c r="AV44" s="2623"/>
      <c r="AW44" s="2623"/>
      <c r="AX44" s="2623"/>
      <c r="AY44" s="2623"/>
      <c r="AZ44" s="2623"/>
      <c r="BA44" s="2623"/>
      <c r="BB44" s="2623"/>
      <c r="BC44" s="2623"/>
      <c r="BD44" s="2623"/>
      <c r="BE44" s="2623"/>
      <c r="BF44" s="2623"/>
      <c r="BG44" s="2623"/>
      <c r="BH44" s="2623"/>
      <c r="BI44" s="2623"/>
      <c r="BJ44" s="2623"/>
      <c r="BK44" s="2623"/>
      <c r="BL44" s="2623"/>
      <c r="BM44" s="2623"/>
      <c r="BN44" s="2623"/>
      <c r="BO44" s="2623"/>
      <c r="BP44" s="2623"/>
      <c r="BQ44" s="2623"/>
      <c r="BR44" s="2623"/>
      <c r="BS44" s="2623"/>
      <c r="BT44" s="2623"/>
      <c r="BU44" s="2623"/>
      <c r="BV44" s="2623"/>
      <c r="BW44" s="2623"/>
      <c r="BX44" s="2623"/>
    </row>
    <row r="45" spans="1:76" s="219" customFormat="1" ht="12.75" customHeight="1" thickTop="1"/>
    <row r="46" spans="1:76" ht="12.75">
      <c r="A46" s="438" t="s">
        <v>613</v>
      </c>
      <c r="C46" s="438" t="s">
        <v>288</v>
      </c>
    </row>
    <row r="47" spans="1:76" ht="12.75">
      <c r="D47" s="438" t="s">
        <v>289</v>
      </c>
      <c r="AB47" s="2617">
        <f>'Sources and Uses Budget'!B105-MAX(IF('Sources and Uses Budget'!B15="",0,'Sources and Uses Budget'!B15),IF(Application!AG393="",0,Application!AG393))</f>
        <v>48393257</v>
      </c>
      <c r="AC47" s="2618"/>
      <c r="AD47" s="2618"/>
      <c r="AE47" s="2618"/>
      <c r="AF47" s="2619"/>
    </row>
    <row r="48" spans="1:76" ht="12.75" customHeight="1">
      <c r="D48" s="438" t="s">
        <v>21</v>
      </c>
      <c r="AB48" s="2617">
        <f>Application!AO649-MAX(IF('Sources and Uses Budget'!B15="",0,'Sources and Uses Budget'!B15),IF(Application!AG393="",0,Application!AG393))</f>
        <v>20438545</v>
      </c>
      <c r="AC48" s="2618"/>
      <c r="AD48" s="2618"/>
      <c r="AE48" s="2618"/>
      <c r="AF48" s="2619"/>
    </row>
    <row r="49" spans="1:76" ht="12.75">
      <c r="D49" s="438" t="s">
        <v>96</v>
      </c>
      <c r="AB49" s="2617">
        <f>AB47-AB48</f>
        <v>27954712</v>
      </c>
      <c r="AC49" s="2618"/>
      <c r="AD49" s="2618"/>
      <c r="AE49" s="2618"/>
      <c r="AF49" s="2619"/>
    </row>
    <row r="50" spans="1:76" ht="12.75">
      <c r="D50" s="438" t="s">
        <v>708</v>
      </c>
      <c r="AA50" s="449"/>
      <c r="AB50" s="2605">
        <v>0.84</v>
      </c>
      <c r="AC50" s="2606"/>
      <c r="AD50" s="2606"/>
      <c r="AE50" s="2606"/>
      <c r="AF50" s="2607"/>
    </row>
    <row r="51" spans="1:76" s="451" customFormat="1" ht="15" customHeight="1">
      <c r="A51" s="436"/>
      <c r="B51" s="436"/>
      <c r="C51" s="436"/>
      <c r="D51" s="436"/>
      <c r="E51" s="2616" t="s">
        <v>2168</v>
      </c>
      <c r="F51" s="2616"/>
      <c r="G51" s="2616"/>
      <c r="H51" s="2616"/>
      <c r="I51" s="2616"/>
      <c r="J51" s="2616"/>
      <c r="K51" s="2616"/>
      <c r="L51" s="2616"/>
      <c r="M51" s="2616"/>
      <c r="N51" s="2616"/>
      <c r="O51" s="2616"/>
      <c r="P51" s="2616"/>
      <c r="Q51" s="2616"/>
      <c r="R51" s="2616"/>
      <c r="S51" s="2616"/>
      <c r="T51" s="2616"/>
      <c r="U51" s="2616"/>
      <c r="V51" s="2616"/>
      <c r="W51" s="2616"/>
      <c r="X51" s="2616"/>
      <c r="Y51" s="2616"/>
      <c r="Z51" s="2616"/>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16"/>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17">
        <f>ROUND(IF(ISERROR((AB49/AB50)),0,(AB49/AB50)),0)</f>
        <v>33279419</v>
      </c>
      <c r="AC54" s="2618"/>
      <c r="AD54" s="2618"/>
      <c r="AE54" s="2618"/>
      <c r="AF54" s="2619"/>
    </row>
    <row r="55" spans="1:76" ht="12.75" customHeight="1">
      <c r="D55" s="438" t="s">
        <v>339</v>
      </c>
      <c r="AB55" s="2617">
        <f>(AB54/10)</f>
        <v>3327941.9</v>
      </c>
      <c r="AC55" s="2618"/>
      <c r="AD55" s="2618"/>
      <c r="AE55" s="2618"/>
      <c r="AF55" s="2619"/>
    </row>
    <row r="56" spans="1:76" ht="12.75">
      <c r="D56" s="438" t="s">
        <v>787</v>
      </c>
      <c r="AB56" s="2620">
        <f>(IF((Y41&lt;AB55),Y41,AB55))</f>
        <v>2324199</v>
      </c>
      <c r="AC56" s="2621"/>
      <c r="AD56" s="2621"/>
      <c r="AE56" s="2621"/>
      <c r="AF56" s="2622"/>
    </row>
    <row r="57" spans="1:76" ht="12.75">
      <c r="D57" s="438" t="s">
        <v>786</v>
      </c>
      <c r="AB57" s="2617">
        <f>ROUND((10*AB56*AB50),0)</f>
        <v>19523272</v>
      </c>
      <c r="AC57" s="2618"/>
      <c r="AD57" s="2618"/>
      <c r="AE57" s="2618"/>
      <c r="AF57" s="2619"/>
    </row>
    <row r="58" spans="1:76" ht="12.75">
      <c r="D58" s="438"/>
      <c r="AB58" s="457"/>
      <c r="AC58" s="457"/>
      <c r="AD58" s="457"/>
      <c r="AE58" s="457"/>
      <c r="AF58" s="457"/>
    </row>
    <row r="59" spans="1:76" ht="12.75" customHeight="1">
      <c r="D59" s="438" t="s">
        <v>785</v>
      </c>
      <c r="AB59" s="2601">
        <f>AB49-AB57</f>
        <v>8431440</v>
      </c>
      <c r="AC59" s="2601"/>
      <c r="AD59" s="2601"/>
      <c r="AE59" s="2601"/>
      <c r="AF59" s="2601"/>
    </row>
    <row r="60" spans="1:76" ht="12.75" customHeight="1">
      <c r="D60" s="438"/>
      <c r="AB60" s="457"/>
      <c r="AC60" s="457"/>
      <c r="AD60" s="457"/>
      <c r="AE60" s="457"/>
      <c r="AF60" s="457"/>
    </row>
    <row r="61" spans="1:76" s="219" customFormat="1" ht="13.5" thickBot="1">
      <c r="A61" s="2623" t="str">
        <f>IF(Application!AP204="yes","Farmworker State Credit", "State Credit" )</f>
        <v>State Credit</v>
      </c>
      <c r="B61" s="2623"/>
      <c r="C61" s="2623"/>
      <c r="D61" s="2623"/>
      <c r="E61" s="2623"/>
      <c r="F61" s="2623"/>
      <c r="G61" s="2623"/>
      <c r="H61" s="2623"/>
      <c r="I61" s="2623"/>
      <c r="J61" s="2623"/>
      <c r="K61" s="2623"/>
      <c r="L61" s="2623"/>
      <c r="M61" s="2623"/>
      <c r="N61" s="2623"/>
      <c r="O61" s="2623"/>
      <c r="P61" s="2623"/>
      <c r="Q61" s="2623"/>
      <c r="R61" s="2623"/>
      <c r="S61" s="2623"/>
      <c r="T61" s="2623"/>
      <c r="U61" s="2623"/>
      <c r="V61" s="2623"/>
      <c r="W61" s="2623"/>
      <c r="X61" s="2623"/>
      <c r="Y61" s="2623"/>
      <c r="Z61" s="2623"/>
      <c r="AA61" s="2623"/>
      <c r="AB61" s="2623"/>
      <c r="AC61" s="2623"/>
      <c r="AD61" s="2623"/>
      <c r="AE61" s="2623"/>
      <c r="AF61" s="2623"/>
      <c r="AG61" s="2623"/>
      <c r="AH61" s="2623"/>
      <c r="AI61" s="2623"/>
      <c r="AJ61" s="2623"/>
      <c r="AK61" s="2623"/>
      <c r="AL61" s="2623"/>
      <c r="AM61" s="2623"/>
      <c r="AN61" s="2623"/>
      <c r="AO61" s="2623"/>
      <c r="AP61" s="2623"/>
      <c r="AQ61" s="2623"/>
      <c r="AR61" s="2623"/>
      <c r="AS61" s="2623"/>
      <c r="AT61" s="2623"/>
      <c r="AU61" s="2623"/>
      <c r="AV61" s="2623"/>
      <c r="AW61" s="2623"/>
      <c r="AX61" s="2623"/>
      <c r="AY61" s="2623"/>
      <c r="AZ61" s="2623"/>
      <c r="BA61" s="2623"/>
      <c r="BB61" s="2623"/>
      <c r="BC61" s="2623"/>
      <c r="BD61" s="2623"/>
      <c r="BE61" s="2623"/>
      <c r="BF61" s="2623"/>
      <c r="BG61" s="2623"/>
      <c r="BH61" s="2623"/>
      <c r="BI61" s="2623"/>
      <c r="BJ61" s="2623"/>
      <c r="BK61" s="2623"/>
      <c r="BL61" s="2623"/>
      <c r="BM61" s="2623"/>
      <c r="BN61" s="2623"/>
      <c r="BO61" s="2623"/>
      <c r="BP61" s="2623"/>
      <c r="BQ61" s="2623"/>
      <c r="BR61" s="2623"/>
      <c r="BS61" s="2623"/>
      <c r="BT61" s="2623"/>
      <c r="BU61" s="2623"/>
      <c r="BV61" s="2623"/>
      <c r="BW61" s="2623"/>
      <c r="BX61" s="2623"/>
    </row>
    <row r="62" spans="1:76" s="219" customFormat="1" ht="12.75" customHeight="1" thickTop="1"/>
    <row r="63" spans="1:76" ht="12.75">
      <c r="A63" s="438" t="s">
        <v>616</v>
      </c>
      <c r="C63" s="220" t="s">
        <v>1428</v>
      </c>
      <c r="Y63" s="2612" t="s">
        <v>1044</v>
      </c>
      <c r="Z63" s="2612"/>
      <c r="AA63" s="2612"/>
      <c r="AB63" s="2612"/>
      <c r="AC63" s="2612"/>
      <c r="AD63" s="2612" t="s">
        <v>377</v>
      </c>
      <c r="AE63" s="2612"/>
      <c r="AF63" s="2612"/>
      <c r="AG63" s="2612"/>
      <c r="AH63" s="2612"/>
    </row>
    <row r="64" spans="1:76" ht="12.75">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613">
        <f>IF(Application!Z204="(select)",0,((T23*T27)+Y28))</f>
        <v>44696137</v>
      </c>
      <c r="Z64" s="2614"/>
      <c r="AA64" s="2614"/>
      <c r="AB64" s="2614"/>
      <c r="AC64" s="2615"/>
      <c r="AD64" s="2613">
        <f>IF(AND(OR(Application!D210="At-Risk",Application!D210="At-Risk and Special Needs"),Application!M357="yes"),AD28+AI28,0)</f>
        <v>0</v>
      </c>
      <c r="AE64" s="2614"/>
      <c r="AF64" s="2614"/>
      <c r="AG64" s="2614"/>
      <c r="AH64" s="2615"/>
    </row>
    <row r="65" spans="1:36" ht="15" customHeight="1">
      <c r="C65" s="438"/>
      <c r="E65" s="1057" t="s">
        <v>2166</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2167</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602">
        <f>IF(Application!AP204="yes",0.75,IF(Application!Z203="15% set-aside",0.13,IF(Application!Z203="15% set-aside with qualifying low value rehab",0.95,0.3)))</f>
        <v>0.3</v>
      </c>
      <c r="Z67" s="2602"/>
      <c r="AA67" s="2602"/>
      <c r="AB67" s="2602"/>
      <c r="AC67" s="2602"/>
      <c r="AD67" s="2602">
        <f>IF(Application!Z203="15% set-aside with qualifying low value rehab", 0.95,0.13)</f>
        <v>0.13</v>
      </c>
      <c r="AE67" s="2602"/>
      <c r="AF67" s="2602"/>
      <c r="AG67" s="2602"/>
      <c r="AH67" s="2602"/>
    </row>
    <row r="68" spans="1:36" ht="12.75">
      <c r="C68" s="438"/>
      <c r="D68" s="220" t="s">
        <v>1430</v>
      </c>
      <c r="Y68" s="2603">
        <f>ROUND(Y64*Y67,0)</f>
        <v>13408841</v>
      </c>
      <c r="Z68" s="2604"/>
      <c r="AA68" s="2604"/>
      <c r="AB68" s="2604"/>
      <c r="AC68" s="2604"/>
      <c r="AD68" s="2603">
        <f>ROUND(AD64*AD67,0)</f>
        <v>0</v>
      </c>
      <c r="AE68" s="2604"/>
      <c r="AF68" s="2604"/>
      <c r="AG68" s="2604"/>
      <c r="AH68" s="2604"/>
    </row>
    <row r="69" spans="1:36" ht="12.75">
      <c r="C69" s="438"/>
      <c r="E69" s="438"/>
      <c r="AB69" s="456"/>
      <c r="AC69" s="456"/>
      <c r="AD69" s="456"/>
      <c r="AE69" s="456"/>
      <c r="AF69" s="456"/>
    </row>
    <row r="70" spans="1:36" ht="12.75">
      <c r="A70" s="438" t="s">
        <v>617</v>
      </c>
      <c r="C70" s="220" t="s">
        <v>290</v>
      </c>
    </row>
    <row r="71" spans="1:36" ht="12.75">
      <c r="A71" s="438"/>
      <c r="C71" s="438"/>
      <c r="D71" s="220" t="s">
        <v>1431</v>
      </c>
      <c r="AB71" s="2605">
        <v>0.8</v>
      </c>
      <c r="AC71" s="2606"/>
      <c r="AD71" s="2606"/>
      <c r="AE71" s="2606"/>
      <c r="AF71" s="2607"/>
    </row>
    <row r="72" spans="1:36" ht="12.75" customHeight="1">
      <c r="A72" s="438"/>
      <c r="C72" s="438"/>
      <c r="D72" s="438"/>
      <c r="E72" s="2608" t="s">
        <v>1432</v>
      </c>
      <c r="F72" s="2608"/>
      <c r="G72" s="2608"/>
      <c r="H72" s="2608"/>
      <c r="I72" s="2608"/>
      <c r="J72" s="2608"/>
      <c r="K72" s="2608"/>
      <c r="L72" s="2608"/>
      <c r="M72" s="2608"/>
      <c r="N72" s="2608"/>
      <c r="O72" s="2608"/>
      <c r="P72" s="2608"/>
      <c r="Q72" s="2608"/>
      <c r="R72" s="2608"/>
      <c r="S72" s="2608"/>
      <c r="T72" s="2608"/>
      <c r="U72" s="2608"/>
      <c r="V72" s="2608"/>
      <c r="W72" s="2608"/>
      <c r="X72" s="2608"/>
      <c r="Y72" s="2608"/>
      <c r="Z72" s="2608"/>
      <c r="AA72" s="2608"/>
      <c r="AB72" s="475"/>
      <c r="AC72" s="475"/>
    </row>
    <row r="73" spans="1:36" ht="12.75" customHeight="1">
      <c r="A73" s="438"/>
      <c r="C73" s="438"/>
      <c r="D73" s="438"/>
      <c r="E73" s="2608"/>
      <c r="F73" s="2608"/>
      <c r="G73" s="2608"/>
      <c r="H73" s="2608"/>
      <c r="I73" s="2608"/>
      <c r="J73" s="2608"/>
      <c r="K73" s="2608"/>
      <c r="L73" s="2608"/>
      <c r="M73" s="2608"/>
      <c r="N73" s="2608"/>
      <c r="O73" s="2608"/>
      <c r="P73" s="2608"/>
      <c r="Q73" s="2608"/>
      <c r="R73" s="2608"/>
      <c r="S73" s="2608"/>
      <c r="T73" s="2608"/>
      <c r="U73" s="2608"/>
      <c r="V73" s="2608"/>
      <c r="W73" s="2608"/>
      <c r="X73" s="2608"/>
      <c r="Y73" s="2608"/>
      <c r="Z73" s="2608"/>
      <c r="AA73" s="2608"/>
      <c r="AB73" s="475"/>
      <c r="AC73" s="475"/>
    </row>
    <row r="74" spans="1:36" ht="12" customHeight="1">
      <c r="A74" s="438"/>
      <c r="C74" s="438"/>
      <c r="D74" s="438"/>
      <c r="E74" s="2608"/>
      <c r="F74" s="2608"/>
      <c r="G74" s="2608"/>
      <c r="H74" s="2608"/>
      <c r="I74" s="2608"/>
      <c r="J74" s="2608"/>
      <c r="K74" s="2608"/>
      <c r="L74" s="2608"/>
      <c r="M74" s="2608"/>
      <c r="N74" s="2608"/>
      <c r="O74" s="2608"/>
      <c r="P74" s="2608"/>
      <c r="Q74" s="2608"/>
      <c r="R74" s="2608"/>
      <c r="S74" s="2608"/>
      <c r="T74" s="2608"/>
      <c r="U74" s="2608"/>
      <c r="V74" s="2608"/>
      <c r="W74" s="2608"/>
      <c r="X74" s="2608"/>
      <c r="Y74" s="2608"/>
      <c r="Z74" s="2608"/>
      <c r="AA74" s="2608"/>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596">
        <f>ROUND(IF(ISERROR((AB59/AB71)),0,(AB59/AB71)),0)</f>
        <v>10539300</v>
      </c>
      <c r="AC76" s="2596"/>
      <c r="AD76" s="2596"/>
      <c r="AE76" s="2596"/>
      <c r="AF76" s="2596"/>
    </row>
    <row r="77" spans="1:36" ht="12.75" customHeight="1">
      <c r="C77" s="438"/>
      <c r="D77" s="220" t="s">
        <v>1434</v>
      </c>
      <c r="AB77" s="2597">
        <f>IF((Y68+AD68&lt;AB76),Y68+AD68,AB76)</f>
        <v>10539300</v>
      </c>
      <c r="AC77" s="2598"/>
      <c r="AD77" s="2598"/>
      <c r="AE77" s="2598"/>
      <c r="AF77" s="2599"/>
    </row>
    <row r="78" spans="1:36" ht="12.75" customHeight="1">
      <c r="C78" s="438"/>
      <c r="D78" s="220" t="s">
        <v>1435</v>
      </c>
      <c r="AB78" s="2600">
        <f>AB77*AB71</f>
        <v>8431440</v>
      </c>
      <c r="AC78" s="2600"/>
      <c r="AD78" s="2600"/>
      <c r="AE78" s="2600"/>
      <c r="AF78" s="2600"/>
    </row>
    <row r="79" spans="1:36" ht="12.75" customHeight="1">
      <c r="C79" s="438"/>
      <c r="D79" s="438"/>
      <c r="AB79" s="459"/>
      <c r="AC79" s="459"/>
      <c r="AD79" s="459"/>
      <c r="AE79" s="459"/>
      <c r="AF79" s="459"/>
    </row>
    <row r="80" spans="1:36" ht="12.75" customHeight="1">
      <c r="D80" s="438" t="s">
        <v>785</v>
      </c>
      <c r="AB80" s="2601">
        <f>AB49-(AB57+AB78)</f>
        <v>0</v>
      </c>
      <c r="AC80" s="2601"/>
      <c r="AD80" s="2601"/>
      <c r="AE80" s="2601"/>
      <c r="AF80" s="2601"/>
    </row>
    <row r="81" spans="1:78" ht="12.75" customHeight="1">
      <c r="F81" s="560"/>
      <c r="J81" s="560" t="str">
        <f>IF(AB80&gt;0,"FUNDING GAP MUST NOT EXCEED ZERO","")</f>
        <v/>
      </c>
    </row>
    <row r="82" spans="1:78" ht="12.75" customHeight="1">
      <c r="D82" s="561"/>
    </row>
    <row r="83" spans="1:78" ht="13.5" thickBot="1">
      <c r="A83" s="2623"/>
      <c r="B83" s="2623"/>
      <c r="C83" s="2623"/>
      <c r="D83" s="2623"/>
      <c r="E83" s="2623"/>
      <c r="F83" s="2623"/>
      <c r="G83" s="2623"/>
      <c r="H83" s="2623"/>
      <c r="I83" s="2623"/>
      <c r="J83" s="2623"/>
      <c r="K83" s="2623"/>
      <c r="L83" s="2623"/>
      <c r="M83" s="2623"/>
      <c r="N83" s="2623"/>
      <c r="O83" s="2623"/>
      <c r="P83" s="2623"/>
      <c r="Q83" s="2623"/>
      <c r="R83" s="2623"/>
      <c r="S83" s="2623"/>
      <c r="T83" s="2623"/>
      <c r="U83" s="2623"/>
      <c r="V83" s="2623"/>
      <c r="W83" s="2623"/>
      <c r="X83" s="2623"/>
      <c r="Y83" s="2623"/>
      <c r="Z83" s="2623"/>
      <c r="AA83" s="2623"/>
      <c r="AB83" s="2623"/>
      <c r="AC83" s="2623"/>
      <c r="AD83" s="2623"/>
      <c r="AE83" s="2623"/>
      <c r="AF83" s="2623"/>
      <c r="AG83" s="2623"/>
      <c r="AH83" s="2623"/>
      <c r="AI83" s="2623"/>
      <c r="AJ83" s="2623"/>
      <c r="AK83" s="2623"/>
      <c r="AL83" s="2623"/>
      <c r="AM83" s="2623"/>
      <c r="AN83" s="2623"/>
      <c r="AO83" s="2623"/>
      <c r="AP83" s="2623"/>
      <c r="AQ83" s="2623"/>
      <c r="AR83" s="2623"/>
      <c r="AS83" s="2623"/>
      <c r="AT83" s="2623"/>
      <c r="AU83" s="2623"/>
      <c r="AV83" s="2623"/>
      <c r="AW83" s="2623"/>
      <c r="AX83" s="2623"/>
      <c r="AY83" s="2623"/>
      <c r="AZ83" s="2623"/>
      <c r="BA83" s="2623"/>
      <c r="BB83" s="2623"/>
      <c r="BC83" s="2623"/>
      <c r="BD83" s="2623"/>
      <c r="BE83" s="2623"/>
      <c r="BF83" s="2623"/>
      <c r="BG83" s="2623"/>
      <c r="BH83" s="2623"/>
      <c r="BI83" s="2623"/>
      <c r="BJ83" s="2623"/>
      <c r="BK83" s="2623"/>
      <c r="BL83" s="2623"/>
      <c r="BM83" s="2623"/>
      <c r="BN83" s="2623"/>
      <c r="BO83" s="2623"/>
      <c r="BP83" s="2623"/>
      <c r="BQ83" s="2623"/>
      <c r="BR83" s="2623"/>
      <c r="BS83" s="2623"/>
      <c r="BT83" s="2623"/>
      <c r="BU83" s="2623"/>
      <c r="BV83" s="2623"/>
      <c r="BW83" s="2623"/>
      <c r="BX83" s="2623"/>
    </row>
    <row r="84" spans="1:78" ht="13.5" thickTop="1"/>
    <row r="85" spans="1:78" ht="12.75">
      <c r="A85" s="438"/>
      <c r="C85" s="220"/>
    </row>
    <row r="86" spans="1:78" ht="12.75">
      <c r="D86" s="220"/>
      <c r="AB86" s="2657"/>
      <c r="AC86" s="2657"/>
      <c r="AD86" s="2657"/>
      <c r="AE86" s="2657"/>
      <c r="AF86" s="2657"/>
    </row>
    <row r="87" spans="1:78" ht="13.5" thickBot="1">
      <c r="D87" s="220"/>
      <c r="AB87" s="2656"/>
      <c r="AC87" s="2656"/>
      <c r="AD87" s="2656"/>
      <c r="AE87" s="2656"/>
      <c r="AF87" s="2656"/>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I50" sqref="I50"/>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2593</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676992</v>
      </c>
      <c r="G4" s="236">
        <f>E4*$C$4</f>
        <v>693916.79999999993</v>
      </c>
      <c r="I4" s="236">
        <f>G4*$C$4</f>
        <v>711264.71999999986</v>
      </c>
      <c r="K4" s="236">
        <f>I4*$C$4</f>
        <v>729046.33799999976</v>
      </c>
      <c r="M4" s="236">
        <f>K4*$C$4</f>
        <v>747272.49644999963</v>
      </c>
      <c r="O4" s="236">
        <f>M4*$C$4</f>
        <v>765954.30886124959</v>
      </c>
      <c r="Q4" s="236">
        <f>O4*$C$4</f>
        <v>785103.16658278077</v>
      </c>
      <c r="S4" s="236">
        <f>Q4*$C$4</f>
        <v>804730.74574735027</v>
      </c>
      <c r="U4" s="236">
        <f>S4*$C$4</f>
        <v>824849.01439103391</v>
      </c>
      <c r="W4" s="236">
        <f>U4*$C$4</f>
        <v>845470.23975080973</v>
      </c>
      <c r="Y4" s="236">
        <f>W4*$C$4</f>
        <v>866606.99574457994</v>
      </c>
      <c r="AA4" s="236">
        <f>Y4*$C$4</f>
        <v>888272.17063819431</v>
      </c>
      <c r="AC4" s="236">
        <f>AA4*$C$4</f>
        <v>910478.97490414907</v>
      </c>
      <c r="AE4" s="236">
        <f>AC4*$C$4</f>
        <v>933240.94927675277</v>
      </c>
      <c r="AG4" s="236">
        <f>AE4*$C$4</f>
        <v>956571.97300867154</v>
      </c>
    </row>
    <row r="5" spans="1:34" s="226" customFormat="1" ht="14.25">
      <c r="B5" s="226" t="s">
        <v>886</v>
      </c>
      <c r="C5" s="256">
        <f>IF(Application!$D$210="Special Needs",0.1,0.05)</f>
        <v>0.05</v>
      </c>
      <c r="E5" s="238">
        <f>-E4*$C$5</f>
        <v>-33849.599999999999</v>
      </c>
      <c r="F5" s="238"/>
      <c r="G5" s="238">
        <f>-G4*$C$5</f>
        <v>-34695.839999999997</v>
      </c>
      <c r="H5" s="238"/>
      <c r="I5" s="238">
        <f>-I4*$C$5</f>
        <v>-35563.235999999997</v>
      </c>
      <c r="J5" s="238"/>
      <c r="K5" s="238">
        <f>-K4*$C$5</f>
        <v>-36452.316899999991</v>
      </c>
      <c r="L5" s="238"/>
      <c r="M5" s="238">
        <f>-M4*$C$5</f>
        <v>-37363.62482249998</v>
      </c>
      <c r="N5" s="238"/>
      <c r="O5" s="238">
        <f>-O4*$C$5</f>
        <v>-38297.71544306248</v>
      </c>
      <c r="P5" s="238"/>
      <c r="Q5" s="238">
        <f>-Q4*$C$5</f>
        <v>-39255.158329139042</v>
      </c>
      <c r="R5" s="238"/>
      <c r="S5" s="238">
        <f>-S4*$C$5</f>
        <v>-40236.537287367515</v>
      </c>
      <c r="T5" s="238"/>
      <c r="U5" s="238">
        <f>-U4*$C$5</f>
        <v>-41242.4507195517</v>
      </c>
      <c r="V5" s="238"/>
      <c r="W5" s="238">
        <f>-W4*$C$5</f>
        <v>-42273.511987540493</v>
      </c>
      <c r="X5" s="238"/>
      <c r="Y5" s="238">
        <f>-Y4*$C$5</f>
        <v>-43330.349787229003</v>
      </c>
      <c r="Z5" s="238"/>
      <c r="AA5" s="238">
        <f>-AA4*$C$5</f>
        <v>-44413.608531909718</v>
      </c>
      <c r="AB5" s="238"/>
      <c r="AC5" s="238">
        <f>-AC4*$C$5</f>
        <v>-45523.948745207454</v>
      </c>
      <c r="AD5" s="238"/>
      <c r="AE5" s="238">
        <f>-AE4*$C$5</f>
        <v>-46662.04746383764</v>
      </c>
      <c r="AF5" s="238"/>
      <c r="AG5" s="238">
        <f>-AG4*$C$5</f>
        <v>-47828.598650433581</v>
      </c>
    </row>
    <row r="6" spans="1:34" s="226" customFormat="1" ht="14.25">
      <c r="A6" s="226" t="s">
        <v>884</v>
      </c>
      <c r="C6" s="255">
        <v>1.0249999999999999</v>
      </c>
      <c r="E6" s="239">
        <f>Application!Z807</f>
        <v>0</v>
      </c>
      <c r="F6" s="239"/>
      <c r="G6" s="239">
        <f>E6*$C$6</f>
        <v>0</v>
      </c>
      <c r="H6" s="239"/>
      <c r="I6" s="239">
        <f>G6*$C$6</f>
        <v>0</v>
      </c>
      <c r="J6" s="239"/>
      <c r="K6" s="239">
        <f>I6*$C$6</f>
        <v>0</v>
      </c>
      <c r="L6" s="239"/>
      <c r="M6" s="239">
        <f>K6*$C$6</f>
        <v>0</v>
      </c>
      <c r="N6" s="239"/>
      <c r="O6" s="239">
        <f>M6*$C$6</f>
        <v>0</v>
      </c>
      <c r="P6" s="239"/>
      <c r="Q6" s="239">
        <f>O6*$C$6</f>
        <v>0</v>
      </c>
      <c r="R6" s="239"/>
      <c r="S6" s="239">
        <f>Q6*$C$6</f>
        <v>0</v>
      </c>
      <c r="T6" s="239"/>
      <c r="U6" s="239">
        <f>S6*$C$6</f>
        <v>0</v>
      </c>
      <c r="V6" s="239"/>
      <c r="W6" s="239">
        <f>U6*$C$6</f>
        <v>0</v>
      </c>
      <c r="X6" s="239"/>
      <c r="Y6" s="239">
        <f>W6*$C$6</f>
        <v>0</v>
      </c>
      <c r="Z6" s="239"/>
      <c r="AA6" s="239">
        <f>Y6*$C$6</f>
        <v>0</v>
      </c>
      <c r="AB6" s="239"/>
      <c r="AC6" s="239">
        <f>AA6*$C$6</f>
        <v>0</v>
      </c>
      <c r="AD6" s="239"/>
      <c r="AE6" s="239">
        <f>AC6*$C$6</f>
        <v>0</v>
      </c>
      <c r="AF6" s="239"/>
      <c r="AG6" s="239">
        <f>AE6*$C$6</f>
        <v>0</v>
      </c>
    </row>
    <row r="7" spans="1:34" s="226" customFormat="1" ht="14.25">
      <c r="B7" s="226" t="s">
        <v>886</v>
      </c>
      <c r="C7" s="256">
        <f>IF(Application!$D$210="Special Needs",0.1,0.05)</f>
        <v>0.05</v>
      </c>
      <c r="E7" s="238">
        <f>-E6*$C$7</f>
        <v>0</v>
      </c>
      <c r="F7" s="238"/>
      <c r="G7" s="238">
        <f>-G6*$C$7</f>
        <v>0</v>
      </c>
      <c r="H7" s="238"/>
      <c r="I7" s="238">
        <f>-I6*$C$7</f>
        <v>0</v>
      </c>
      <c r="J7" s="238"/>
      <c r="K7" s="238">
        <f>-K6*$C$7</f>
        <v>0</v>
      </c>
      <c r="L7" s="238"/>
      <c r="M7" s="238">
        <f>-M6*$C$7</f>
        <v>0</v>
      </c>
      <c r="N7" s="238"/>
      <c r="O7" s="238">
        <f>-O6*$C$7</f>
        <v>0</v>
      </c>
      <c r="P7" s="238"/>
      <c r="Q7" s="238">
        <f>-Q6*$C$7</f>
        <v>0</v>
      </c>
      <c r="R7" s="238"/>
      <c r="S7" s="238">
        <f>-S6*$C$7</f>
        <v>0</v>
      </c>
      <c r="T7" s="238"/>
      <c r="U7" s="238">
        <f>-U6*$C$7</f>
        <v>0</v>
      </c>
      <c r="V7" s="238"/>
      <c r="W7" s="238">
        <f>-W6*$C$7</f>
        <v>0</v>
      </c>
      <c r="X7" s="238"/>
      <c r="Y7" s="238">
        <f>-Y6*$C$7</f>
        <v>0</v>
      </c>
      <c r="Z7" s="238"/>
      <c r="AA7" s="238">
        <f>-AA6*$C$7</f>
        <v>0</v>
      </c>
      <c r="AB7" s="238"/>
      <c r="AC7" s="238">
        <f>-AC6*$C$7</f>
        <v>0</v>
      </c>
      <c r="AD7" s="238"/>
      <c r="AE7" s="238">
        <f>-AE6*$C$7</f>
        <v>0</v>
      </c>
      <c r="AF7" s="238"/>
      <c r="AG7" s="238">
        <f>-AG6*$C$7</f>
        <v>0</v>
      </c>
    </row>
    <row r="8" spans="1:34" s="226" customFormat="1" ht="14.25">
      <c r="A8" s="226" t="s">
        <v>294</v>
      </c>
      <c r="C8" s="255">
        <v>1.0249999999999999</v>
      </c>
      <c r="E8" s="239">
        <f>Application!Z815</f>
        <v>18000</v>
      </c>
      <c r="F8" s="239"/>
      <c r="G8" s="239">
        <f>E8*$C$8</f>
        <v>18450</v>
      </c>
      <c r="H8" s="239"/>
      <c r="I8" s="239">
        <f>G8*$C$8</f>
        <v>18911.25</v>
      </c>
      <c r="J8" s="239"/>
      <c r="K8" s="239">
        <f>I8*$C$8</f>
        <v>19384.03125</v>
      </c>
      <c r="L8" s="239"/>
      <c r="M8" s="239">
        <f>K8*$C$8</f>
        <v>19868.632031249999</v>
      </c>
      <c r="N8" s="239"/>
      <c r="O8" s="239">
        <f>M8*$C$8</f>
        <v>20365.347832031246</v>
      </c>
      <c r="P8" s="239"/>
      <c r="Q8" s="239">
        <f>O8*$C$8</f>
        <v>20874.481527832024</v>
      </c>
      <c r="R8" s="239"/>
      <c r="S8" s="239">
        <f>Q8*$C$8</f>
        <v>21396.343566027823</v>
      </c>
      <c r="T8" s="239"/>
      <c r="U8" s="239">
        <f>S8*$C$8</f>
        <v>21931.252155178518</v>
      </c>
      <c r="V8" s="239"/>
      <c r="W8" s="239">
        <f>U8*$C$8</f>
        <v>22479.533459057977</v>
      </c>
      <c r="X8" s="239"/>
      <c r="Y8" s="239">
        <f>W8*$C$8</f>
        <v>23041.521795534423</v>
      </c>
      <c r="Z8" s="239"/>
      <c r="AA8" s="239">
        <f>Y8*$C$8</f>
        <v>23617.559840422782</v>
      </c>
      <c r="AB8" s="239"/>
      <c r="AC8" s="239">
        <f>AA8*$C$8</f>
        <v>24207.998836433351</v>
      </c>
      <c r="AD8" s="239"/>
      <c r="AE8" s="239">
        <f>AC8*$C$8</f>
        <v>24813.198807344183</v>
      </c>
      <c r="AF8" s="239"/>
      <c r="AG8" s="239">
        <f>AE8*$C$8</f>
        <v>25433.528777527787</v>
      </c>
    </row>
    <row r="9" spans="1:34" s="226" customFormat="1" ht="14.25">
      <c r="B9" s="226" t="s">
        <v>886</v>
      </c>
      <c r="C9" s="256">
        <f>IF(Application!$D$210="Special Needs",0.1,0.05)</f>
        <v>0.05</v>
      </c>
      <c r="E9" s="254">
        <f>-E8*$C$9</f>
        <v>-900</v>
      </c>
      <c r="F9" s="238"/>
      <c r="G9" s="254">
        <f>-G8*$C$9</f>
        <v>-922.5</v>
      </c>
      <c r="H9" s="238"/>
      <c r="I9" s="254">
        <f>-I8*$C$9</f>
        <v>-945.5625</v>
      </c>
      <c r="J9" s="238"/>
      <c r="K9" s="254">
        <f>-K8*$C$9</f>
        <v>-969.20156250000002</v>
      </c>
      <c r="L9" s="238"/>
      <c r="M9" s="254">
        <f>-M8*$C$9</f>
        <v>-993.43160156249996</v>
      </c>
      <c r="N9" s="238"/>
      <c r="O9" s="254">
        <f>-O8*$C$9</f>
        <v>-1018.2673916015624</v>
      </c>
      <c r="P9" s="238"/>
      <c r="Q9" s="254">
        <f>-Q8*$C$9</f>
        <v>-1043.7240763916013</v>
      </c>
      <c r="R9" s="238"/>
      <c r="S9" s="254">
        <f>-S8*$C$9</f>
        <v>-1069.8171783013911</v>
      </c>
      <c r="T9" s="238"/>
      <c r="U9" s="254">
        <f>-U8*$C$9</f>
        <v>-1096.5626077589259</v>
      </c>
      <c r="V9" s="238"/>
      <c r="W9" s="254">
        <f>-W8*$C$9</f>
        <v>-1123.976672952899</v>
      </c>
      <c r="X9" s="238"/>
      <c r="Y9" s="254">
        <f>-Y8*$C$9</f>
        <v>-1152.0760897767211</v>
      </c>
      <c r="Z9" s="238"/>
      <c r="AA9" s="254">
        <f>-AA8*$C$9</f>
        <v>-1180.8779920211391</v>
      </c>
      <c r="AB9" s="238"/>
      <c r="AC9" s="254">
        <f>-AC8*$C$9</f>
        <v>-1210.3999418216677</v>
      </c>
      <c r="AD9" s="238"/>
      <c r="AE9" s="254">
        <f>-AE8*$C$9</f>
        <v>-1240.6599403672092</v>
      </c>
      <c r="AF9" s="238"/>
      <c r="AG9" s="254">
        <f>-AG8*$C$9</f>
        <v>-1271.6764388763895</v>
      </c>
    </row>
    <row r="10" spans="1:34" s="240" customFormat="1" ht="15">
      <c r="A10" s="240" t="s">
        <v>907</v>
      </c>
      <c r="C10" s="232"/>
      <c r="E10" s="240">
        <f>SUM(E4:E9)</f>
        <v>660242.4</v>
      </c>
      <c r="G10" s="240">
        <f>SUM(G4:G9)</f>
        <v>676748.46</v>
      </c>
      <c r="I10" s="240">
        <f>SUM(I4:I9)</f>
        <v>693667.17149999982</v>
      </c>
      <c r="K10" s="240">
        <f>SUM(K4:K9)</f>
        <v>711008.8507874998</v>
      </c>
      <c r="M10" s="240">
        <f>SUM(M4:M9)</f>
        <v>728784.07205718721</v>
      </c>
      <c r="O10" s="240">
        <f>SUM(O4:O9)</f>
        <v>747003.67385861673</v>
      </c>
      <c r="Q10" s="240">
        <f>SUM(Q4:Q9)</f>
        <v>765678.76570508222</v>
      </c>
      <c r="S10" s="240">
        <f>SUM(S4:S9)</f>
        <v>784820.73484770919</v>
      </c>
      <c r="U10" s="240">
        <f>SUM(U4:U9)</f>
        <v>804441.25321890181</v>
      </c>
      <c r="W10" s="240">
        <f>SUM(W4:W9)</f>
        <v>824552.28454937437</v>
      </c>
      <c r="Y10" s="240">
        <f>SUM(Y4:Y9)</f>
        <v>845166.09166310867</v>
      </c>
      <c r="AA10" s="240">
        <f>SUM(AA4:AA9)</f>
        <v>866295.24395468622</v>
      </c>
      <c r="AC10" s="240">
        <f>SUM(AC4:AC9)</f>
        <v>887952.62505355338</v>
      </c>
      <c r="AE10" s="240">
        <f>SUM(AE4:AE9)</f>
        <v>910151.44067989208</v>
      </c>
      <c r="AG10" s="240">
        <f>SUM(AG4:AG9)</f>
        <v>932905.22669688927</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18938</v>
      </c>
      <c r="G14" s="236">
        <f>E14*$C$13</f>
        <v>19600.829999999998</v>
      </c>
      <c r="I14" s="236">
        <f>G14*$C$13</f>
        <v>20286.859049999995</v>
      </c>
      <c r="K14" s="236">
        <f>I14*$C$13</f>
        <v>20996.899116749995</v>
      </c>
      <c r="M14" s="236">
        <f>K14*$C$13</f>
        <v>21731.790585836243</v>
      </c>
      <c r="O14" s="236">
        <f>M14*$C$13</f>
        <v>22492.403256340509</v>
      </c>
      <c r="Q14" s="236">
        <f>O14*$C$13</f>
        <v>23279.637370312426</v>
      </c>
      <c r="S14" s="236">
        <f>Q14*$C$13</f>
        <v>24094.424678273361</v>
      </c>
      <c r="U14" s="236">
        <f>S14*$C$13</f>
        <v>24937.729542012927</v>
      </c>
      <c r="W14" s="236">
        <f>U14*$C$13</f>
        <v>25810.550075983378</v>
      </c>
      <c r="Y14" s="236">
        <f>W14*$C$13</f>
        <v>26713.919328642794</v>
      </c>
      <c r="AA14" s="236">
        <f>Y14*$C$13</f>
        <v>27648.906505145289</v>
      </c>
      <c r="AC14" s="236">
        <f>AA14*$C$13</f>
        <v>28616.618232825371</v>
      </c>
      <c r="AE14" s="236">
        <f>AC14*$C$13</f>
        <v>29618.199870974255</v>
      </c>
      <c r="AG14" s="236">
        <f>AE14*$C$13</f>
        <v>30654.83686645835</v>
      </c>
    </row>
    <row r="15" spans="1:34" s="226" customFormat="1" ht="14.25">
      <c r="A15" s="226" t="s">
        <v>351</v>
      </c>
      <c r="C15" s="250"/>
      <c r="E15" s="239">
        <f>Application!W847</f>
        <v>49518</v>
      </c>
      <c r="F15" s="239"/>
      <c r="G15" s="239">
        <f t="shared" ref="G15:AG20" si="0">E15*$C$13</f>
        <v>51251.13</v>
      </c>
      <c r="H15" s="239"/>
      <c r="I15" s="239">
        <f t="shared" si="0"/>
        <v>53044.919549999991</v>
      </c>
      <c r="J15" s="239"/>
      <c r="K15" s="239">
        <f t="shared" si="0"/>
        <v>54901.49173424999</v>
      </c>
      <c r="L15" s="239"/>
      <c r="M15" s="239">
        <f t="shared" si="0"/>
        <v>56823.043944948738</v>
      </c>
      <c r="N15" s="239"/>
      <c r="O15" s="239">
        <f t="shared" si="0"/>
        <v>58811.850483021939</v>
      </c>
      <c r="P15" s="239"/>
      <c r="Q15" s="239">
        <f t="shared" si="0"/>
        <v>60870.265249927703</v>
      </c>
      <c r="R15" s="239"/>
      <c r="S15" s="239">
        <f t="shared" si="0"/>
        <v>63000.724533675166</v>
      </c>
      <c r="T15" s="239"/>
      <c r="U15" s="239">
        <f t="shared" si="0"/>
        <v>65205.749892353793</v>
      </c>
      <c r="V15" s="239"/>
      <c r="W15" s="239">
        <f t="shared" si="0"/>
        <v>67487.95113858617</v>
      </c>
      <c r="X15" s="239"/>
      <c r="Y15" s="239">
        <f t="shared" si="0"/>
        <v>69850.029428436683</v>
      </c>
      <c r="Z15" s="239"/>
      <c r="AA15" s="239">
        <f t="shared" si="0"/>
        <v>72294.780458431967</v>
      </c>
      <c r="AB15" s="239"/>
      <c r="AC15" s="239">
        <f t="shared" si="0"/>
        <v>74825.097774477079</v>
      </c>
      <c r="AD15" s="239"/>
      <c r="AE15" s="239">
        <f t="shared" si="0"/>
        <v>77443.976196583768</v>
      </c>
      <c r="AF15" s="239"/>
      <c r="AG15" s="239">
        <f t="shared" si="0"/>
        <v>80154.51536346419</v>
      </c>
    </row>
    <row r="16" spans="1:34" s="226" customFormat="1" ht="14.25">
      <c r="A16" s="226" t="s">
        <v>587</v>
      </c>
      <c r="C16" s="250"/>
      <c r="E16" s="239">
        <f>Application!W853</f>
        <v>75000</v>
      </c>
      <c r="F16" s="239"/>
      <c r="G16" s="239">
        <f t="shared" si="0"/>
        <v>77625</v>
      </c>
      <c r="H16" s="239"/>
      <c r="I16" s="239">
        <f t="shared" si="0"/>
        <v>80341.875</v>
      </c>
      <c r="J16" s="239"/>
      <c r="K16" s="239">
        <f t="shared" si="0"/>
        <v>83153.840624999997</v>
      </c>
      <c r="L16" s="239"/>
      <c r="M16" s="239">
        <f t="shared" si="0"/>
        <v>86064.225046874984</v>
      </c>
      <c r="N16" s="239"/>
      <c r="O16" s="239">
        <f t="shared" si="0"/>
        <v>89076.472923515597</v>
      </c>
      <c r="P16" s="239"/>
      <c r="Q16" s="239">
        <f t="shared" si="0"/>
        <v>92194.14947583864</v>
      </c>
      <c r="R16" s="239"/>
      <c r="S16" s="239">
        <f t="shared" si="0"/>
        <v>95420.944707492978</v>
      </c>
      <c r="T16" s="239"/>
      <c r="U16" s="239">
        <f t="shared" si="0"/>
        <v>98760.677772255221</v>
      </c>
      <c r="V16" s="239"/>
      <c r="W16" s="239">
        <f t="shared" si="0"/>
        <v>102217.30149428414</v>
      </c>
      <c r="X16" s="239"/>
      <c r="Y16" s="239">
        <f t="shared" si="0"/>
        <v>105794.90704658408</v>
      </c>
      <c r="Z16" s="239"/>
      <c r="AA16" s="239">
        <f t="shared" si="0"/>
        <v>109497.72879321451</v>
      </c>
      <c r="AB16" s="239"/>
      <c r="AC16" s="239">
        <f t="shared" si="0"/>
        <v>113330.14930097701</v>
      </c>
      <c r="AD16" s="239"/>
      <c r="AE16" s="239">
        <f t="shared" si="0"/>
        <v>117296.7045265112</v>
      </c>
      <c r="AF16" s="239"/>
      <c r="AG16" s="239">
        <f t="shared" si="0"/>
        <v>121402.08918493908</v>
      </c>
    </row>
    <row r="17" spans="1:33" s="226" customFormat="1" ht="14.25">
      <c r="A17" s="226" t="s">
        <v>890</v>
      </c>
      <c r="C17" s="250"/>
      <c r="E17" s="239">
        <f>Application!W860</f>
        <v>82500</v>
      </c>
      <c r="F17" s="239"/>
      <c r="G17" s="239">
        <f t="shared" si="0"/>
        <v>85387.5</v>
      </c>
      <c r="H17" s="239"/>
      <c r="I17" s="239">
        <f t="shared" si="0"/>
        <v>88376.0625</v>
      </c>
      <c r="J17" s="239"/>
      <c r="K17" s="239">
        <f t="shared" si="0"/>
        <v>91469.224687499998</v>
      </c>
      <c r="L17" s="239"/>
      <c r="M17" s="239">
        <f t="shared" si="0"/>
        <v>94670.647551562492</v>
      </c>
      <c r="N17" s="239"/>
      <c r="O17" s="239">
        <f t="shared" si="0"/>
        <v>97984.120215867166</v>
      </c>
      <c r="P17" s="239"/>
      <c r="Q17" s="239">
        <f t="shared" si="0"/>
        <v>101413.5644234225</v>
      </c>
      <c r="R17" s="239"/>
      <c r="S17" s="239">
        <f t="shared" si="0"/>
        <v>104963.03917824228</v>
      </c>
      <c r="T17" s="239"/>
      <c r="U17" s="239">
        <f t="shared" si="0"/>
        <v>108636.74554948075</v>
      </c>
      <c r="V17" s="239"/>
      <c r="W17" s="239">
        <f t="shared" si="0"/>
        <v>112439.03164371257</v>
      </c>
      <c r="X17" s="239"/>
      <c r="Y17" s="239">
        <f t="shared" si="0"/>
        <v>116374.3977512425</v>
      </c>
      <c r="Z17" s="239"/>
      <c r="AA17" s="239">
        <f t="shared" si="0"/>
        <v>120447.50167253599</v>
      </c>
      <c r="AB17" s="239"/>
      <c r="AC17" s="239">
        <f t="shared" si="0"/>
        <v>124663.16423107474</v>
      </c>
      <c r="AD17" s="239"/>
      <c r="AE17" s="239">
        <f t="shared" si="0"/>
        <v>129026.37497916234</v>
      </c>
      <c r="AF17" s="239"/>
      <c r="AG17" s="239">
        <f t="shared" si="0"/>
        <v>133542.29810343302</v>
      </c>
    </row>
    <row r="18" spans="1:33" s="226" customFormat="1" ht="14.25">
      <c r="A18" s="226" t="s">
        <v>160</v>
      </c>
      <c r="C18" s="250"/>
      <c r="E18" s="239">
        <f>Application!W861</f>
        <v>15450</v>
      </c>
      <c r="F18" s="239"/>
      <c r="G18" s="239">
        <f t="shared" si="0"/>
        <v>15990.749999999998</v>
      </c>
      <c r="H18" s="239"/>
      <c r="I18" s="239">
        <f t="shared" si="0"/>
        <v>16550.426249999997</v>
      </c>
      <c r="J18" s="239"/>
      <c r="K18" s="239">
        <f t="shared" si="0"/>
        <v>17129.691168749996</v>
      </c>
      <c r="L18" s="239"/>
      <c r="M18" s="239">
        <f t="shared" si="0"/>
        <v>17729.230359656245</v>
      </c>
      <c r="N18" s="239"/>
      <c r="O18" s="239">
        <f t="shared" si="0"/>
        <v>18349.753422244212</v>
      </c>
      <c r="P18" s="239"/>
      <c r="Q18" s="239">
        <f t="shared" si="0"/>
        <v>18991.994792022757</v>
      </c>
      <c r="R18" s="239"/>
      <c r="S18" s="239">
        <f t="shared" si="0"/>
        <v>19656.714609743551</v>
      </c>
      <c r="T18" s="239"/>
      <c r="U18" s="239">
        <f t="shared" si="0"/>
        <v>20344.699621084572</v>
      </c>
      <c r="V18" s="239"/>
      <c r="W18" s="239">
        <f t="shared" si="0"/>
        <v>21056.764107822532</v>
      </c>
      <c r="X18" s="239"/>
      <c r="Y18" s="239">
        <f t="shared" si="0"/>
        <v>21793.75085159632</v>
      </c>
      <c r="Z18" s="239"/>
      <c r="AA18" s="239">
        <f t="shared" si="0"/>
        <v>22556.532131402189</v>
      </c>
      <c r="AB18" s="239"/>
      <c r="AC18" s="239">
        <f t="shared" si="0"/>
        <v>23346.010756001266</v>
      </c>
      <c r="AD18" s="239"/>
      <c r="AE18" s="239">
        <f t="shared" si="0"/>
        <v>24163.121132461307</v>
      </c>
      <c r="AF18" s="239"/>
      <c r="AG18" s="239">
        <f t="shared" si="0"/>
        <v>25008.830372097451</v>
      </c>
    </row>
    <row r="19" spans="1:33" s="226" customFormat="1" ht="14.25">
      <c r="A19" s="226" t="s">
        <v>405</v>
      </c>
      <c r="C19" s="250"/>
      <c r="E19" s="239">
        <f>Application!W870</f>
        <v>133594</v>
      </c>
      <c r="F19" s="239"/>
      <c r="G19" s="239">
        <f t="shared" si="0"/>
        <v>138269.78999999998</v>
      </c>
      <c r="H19" s="239"/>
      <c r="I19" s="239">
        <f t="shared" si="0"/>
        <v>143109.23264999996</v>
      </c>
      <c r="J19" s="239"/>
      <c r="K19" s="239">
        <f t="shared" si="0"/>
        <v>148118.05579274995</v>
      </c>
      <c r="L19" s="239"/>
      <c r="M19" s="239">
        <f t="shared" si="0"/>
        <v>153302.18774549619</v>
      </c>
      <c r="N19" s="239"/>
      <c r="O19" s="239">
        <f t="shared" si="0"/>
        <v>158667.76431658855</v>
      </c>
      <c r="P19" s="239"/>
      <c r="Q19" s="239">
        <f t="shared" si="0"/>
        <v>164221.13606766914</v>
      </c>
      <c r="R19" s="239"/>
      <c r="S19" s="239">
        <f t="shared" si="0"/>
        <v>169968.87583003755</v>
      </c>
      <c r="T19" s="239"/>
      <c r="U19" s="239">
        <f t="shared" si="0"/>
        <v>175917.78648408884</v>
      </c>
      <c r="V19" s="239"/>
      <c r="W19" s="239">
        <f t="shared" si="0"/>
        <v>182074.90901103194</v>
      </c>
      <c r="X19" s="239"/>
      <c r="Y19" s="239">
        <f t="shared" si="0"/>
        <v>188447.53082641805</v>
      </c>
      <c r="Z19" s="239"/>
      <c r="AA19" s="239">
        <f t="shared" si="0"/>
        <v>195043.19440534266</v>
      </c>
      <c r="AB19" s="239"/>
      <c r="AC19" s="239">
        <f t="shared" si="0"/>
        <v>201869.70620952963</v>
      </c>
      <c r="AD19" s="239"/>
      <c r="AE19" s="239">
        <f t="shared" si="0"/>
        <v>208935.14592686316</v>
      </c>
      <c r="AF19" s="239"/>
      <c r="AG19" s="239">
        <f t="shared" si="0"/>
        <v>216247.87603430336</v>
      </c>
    </row>
    <row r="20" spans="1:33" s="226" customFormat="1" ht="14.25">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5">
      <c r="A21" s="240" t="s">
        <v>891</v>
      </c>
      <c r="C21" s="250"/>
      <c r="E21" s="240">
        <f>SUM(E14:E20)</f>
        <v>375000</v>
      </c>
      <c r="G21" s="240">
        <f>SUM(G14:G20)</f>
        <v>388125</v>
      </c>
      <c r="I21" s="240">
        <f>SUM(I14:I20)</f>
        <v>401709.37499999994</v>
      </c>
      <c r="K21" s="240">
        <f>SUM(K14:K20)</f>
        <v>415769.20312499988</v>
      </c>
      <c r="M21" s="240">
        <f>SUM(M14:M20)</f>
        <v>430321.12523437489</v>
      </c>
      <c r="O21" s="240">
        <f>SUM(O14:O20)</f>
        <v>445382.36461757799</v>
      </c>
      <c r="Q21" s="240">
        <f>SUM(Q14:Q20)</f>
        <v>460970.74737919314</v>
      </c>
      <c r="S21" s="240">
        <f>SUM(S14:S20)</f>
        <v>477104.72353746486</v>
      </c>
      <c r="U21" s="240">
        <f>SUM(U14:U20)</f>
        <v>493803.38886127609</v>
      </c>
      <c r="W21" s="240">
        <f>SUM(W14:W20)</f>
        <v>511086.5074714208</v>
      </c>
      <c r="Y21" s="240">
        <f>SUM(Y14:Y20)</f>
        <v>528974.53523292043</v>
      </c>
      <c r="AA21" s="240">
        <f>SUM(AA14:AA20)</f>
        <v>547488.64396607259</v>
      </c>
      <c r="AC21" s="240">
        <f>SUM(AC14:AC20)</f>
        <v>566650.74650488514</v>
      </c>
      <c r="AE21" s="240">
        <f>SUM(AE14:AE20)</f>
        <v>586483.52263255604</v>
      </c>
      <c r="AG21" s="240">
        <f>SUM(AG14:AG20)</f>
        <v>607010.44592469546</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1995</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12199</v>
      </c>
      <c r="F26" s="239"/>
      <c r="G26" s="239">
        <f>E26*$C$26</f>
        <v>12625.964999999998</v>
      </c>
      <c r="H26" s="239"/>
      <c r="I26" s="239">
        <f>G26*$C$26</f>
        <v>13067.873774999996</v>
      </c>
      <c r="J26" s="239"/>
      <c r="K26" s="239">
        <f>I26*$C$26</f>
        <v>13525.249357124996</v>
      </c>
      <c r="L26" s="239"/>
      <c r="M26" s="239">
        <f>K26*$C$26</f>
        <v>13998.633084624369</v>
      </c>
      <c r="N26" s="239"/>
      <c r="O26" s="239">
        <f>M26*$C$26</f>
        <v>14488.585242586221</v>
      </c>
      <c r="P26" s="239"/>
      <c r="Q26" s="239">
        <f>O26*$C$26</f>
        <v>14995.685726076737</v>
      </c>
      <c r="R26" s="239"/>
      <c r="S26" s="239">
        <f>Q26*$C$26</f>
        <v>15520.534726489423</v>
      </c>
      <c r="T26" s="239"/>
      <c r="U26" s="239">
        <f>S26*$C$26</f>
        <v>16063.753441916551</v>
      </c>
      <c r="V26" s="239"/>
      <c r="W26" s="239">
        <f>U26*$C$26</f>
        <v>16625.984812383631</v>
      </c>
      <c r="X26" s="239"/>
      <c r="Y26" s="239">
        <f>W26*$C$26</f>
        <v>17207.894280817058</v>
      </c>
      <c r="Z26" s="239"/>
      <c r="AA26" s="239">
        <f>Y26*$C$26</f>
        <v>17810.170580645652</v>
      </c>
      <c r="AB26" s="239"/>
      <c r="AC26" s="239">
        <f>AA26*$C$26</f>
        <v>18433.526550968247</v>
      </c>
      <c r="AD26" s="239"/>
      <c r="AE26" s="239">
        <f>AC26*$C$26</f>
        <v>19078.699980252135</v>
      </c>
      <c r="AF26" s="239"/>
      <c r="AG26" s="239">
        <f>AE26*$C$26</f>
        <v>19746.454479560958</v>
      </c>
    </row>
    <row r="27" spans="1:33" s="226" customFormat="1" ht="14.25">
      <c r="A27" s="226" t="s">
        <v>894</v>
      </c>
      <c r="C27" s="255"/>
      <c r="E27" s="239">
        <f>Application!AC887</f>
        <v>37500</v>
      </c>
      <c r="F27" s="239"/>
      <c r="G27" s="239">
        <f>$E$27</f>
        <v>37500</v>
      </c>
      <c r="H27" s="239"/>
      <c r="I27" s="239">
        <f>$E$27</f>
        <v>37500</v>
      </c>
      <c r="J27" s="239"/>
      <c r="K27" s="239">
        <f>$E$27</f>
        <v>37500</v>
      </c>
      <c r="L27" s="239"/>
      <c r="M27" s="239">
        <f>$E$27</f>
        <v>37500</v>
      </c>
      <c r="N27" s="239"/>
      <c r="O27" s="239">
        <f>$E$27</f>
        <v>37500</v>
      </c>
      <c r="P27" s="239"/>
      <c r="Q27" s="239">
        <f>$E$27</f>
        <v>37500</v>
      </c>
      <c r="R27" s="239"/>
      <c r="S27" s="239">
        <f>$E$27</f>
        <v>37500</v>
      </c>
      <c r="T27" s="239"/>
      <c r="U27" s="239">
        <f>$E$27</f>
        <v>37500</v>
      </c>
      <c r="V27" s="239"/>
      <c r="W27" s="239">
        <f>$E$27</f>
        <v>37500</v>
      </c>
      <c r="X27" s="239"/>
      <c r="Y27" s="239">
        <f>$E$27</f>
        <v>37500</v>
      </c>
      <c r="Z27" s="239"/>
      <c r="AA27" s="239">
        <f>$E$27</f>
        <v>37500</v>
      </c>
      <c r="AB27" s="239"/>
      <c r="AC27" s="239">
        <f>$E$27</f>
        <v>37500</v>
      </c>
      <c r="AD27" s="239"/>
      <c r="AE27" s="239">
        <f>$E$27</f>
        <v>37500</v>
      </c>
      <c r="AF27" s="239"/>
      <c r="AG27" s="239">
        <f>$E$27</f>
        <v>37500</v>
      </c>
    </row>
    <row r="28" spans="1:33" s="226" customFormat="1" ht="14.25">
      <c r="A28" s="226" t="s">
        <v>1993</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25">
      <c r="A29" s="226" t="s">
        <v>892</v>
      </c>
      <c r="C29" s="255">
        <v>1.02</v>
      </c>
      <c r="E29" s="239">
        <f>Application!AC889</f>
        <v>0</v>
      </c>
      <c r="F29" s="239"/>
      <c r="G29" s="239">
        <f>E29*$C$29</f>
        <v>0</v>
      </c>
      <c r="H29" s="239"/>
      <c r="I29" s="239">
        <f>G29*$C$29</f>
        <v>0</v>
      </c>
      <c r="J29" s="239"/>
      <c r="K29" s="239">
        <f>I29*$C$29</f>
        <v>0</v>
      </c>
      <c r="L29" s="239"/>
      <c r="M29" s="239">
        <f>K29*$C$29</f>
        <v>0</v>
      </c>
      <c r="N29" s="239"/>
      <c r="O29" s="239">
        <f>M29*$C$29</f>
        <v>0</v>
      </c>
      <c r="P29" s="239"/>
      <c r="Q29" s="239">
        <f>O29*$C$29</f>
        <v>0</v>
      </c>
      <c r="R29" s="239"/>
      <c r="S29" s="239">
        <f>Q29*$C$29</f>
        <v>0</v>
      </c>
      <c r="T29" s="239"/>
      <c r="U29" s="239">
        <f>S29*$C$29</f>
        <v>0</v>
      </c>
      <c r="V29" s="239"/>
      <c r="W29" s="239">
        <f>U29*$C$29</f>
        <v>0</v>
      </c>
      <c r="X29" s="239"/>
      <c r="Y29" s="239">
        <f>W29*$C$29</f>
        <v>0</v>
      </c>
      <c r="Z29" s="239"/>
      <c r="AA29" s="239">
        <f>Y29*$C$29</f>
        <v>0</v>
      </c>
      <c r="AB29" s="239"/>
      <c r="AC29" s="239">
        <f>AA29*$C$29</f>
        <v>0</v>
      </c>
      <c r="AD29" s="239"/>
      <c r="AE29" s="239">
        <f>AC29*$C$29</f>
        <v>0</v>
      </c>
      <c r="AF29" s="239"/>
      <c r="AG29" s="239">
        <f>AE29*$C$29</f>
        <v>0</v>
      </c>
    </row>
    <row r="30" spans="1:33" s="226" customFormat="1" ht="14.25">
      <c r="A30" s="226" t="s">
        <v>1994</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424699</v>
      </c>
      <c r="G34" s="240">
        <f>SUM(G21:G32)</f>
        <v>438250.96500000003</v>
      </c>
      <c r="I34" s="240">
        <f>SUM(I21:I32)</f>
        <v>452277.24877499993</v>
      </c>
      <c r="K34" s="240">
        <f>SUM(K21:K32)</f>
        <v>466794.45248212491</v>
      </c>
      <c r="M34" s="240">
        <f>SUM(M21:M32)</f>
        <v>481819.75831899926</v>
      </c>
      <c r="O34" s="240">
        <f>SUM(O21:O32)</f>
        <v>497370.9498601642</v>
      </c>
      <c r="Q34" s="240">
        <f>SUM(Q21:Q32)</f>
        <v>513466.43310526985</v>
      </c>
      <c r="S34" s="240">
        <f>SUM(S21:S32)</f>
        <v>530125.25826395431</v>
      </c>
      <c r="U34" s="240">
        <f>SUM(U21:U32)</f>
        <v>547367.14230319264</v>
      </c>
      <c r="W34" s="240">
        <f>SUM(W21:W32)</f>
        <v>565212.49228380446</v>
      </c>
      <c r="Y34" s="240">
        <f>SUM(Y21:Y32)</f>
        <v>583682.42951373744</v>
      </c>
      <c r="AA34" s="240">
        <f>SUM(AA21:AA32)</f>
        <v>602798.81454671826</v>
      </c>
      <c r="AC34" s="240">
        <f>SUM(AC21:AC32)</f>
        <v>622584.27305585344</v>
      </c>
      <c r="AE34" s="240">
        <f>SUM(AE21:AE32)</f>
        <v>643062.22261280823</v>
      </c>
      <c r="AG34" s="240">
        <f>SUM(AG21:AG32)</f>
        <v>664256.90040425642</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235543.40000000002</v>
      </c>
      <c r="G36" s="240">
        <f>G10-G34</f>
        <v>238497.49499999994</v>
      </c>
      <c r="I36" s="240">
        <f>I10-I34</f>
        <v>241389.92272499989</v>
      </c>
      <c r="K36" s="240">
        <f>K10-K34</f>
        <v>244214.3983053749</v>
      </c>
      <c r="M36" s="240">
        <f>M10-M34</f>
        <v>246964.31373818795</v>
      </c>
      <c r="O36" s="240">
        <f>O10-O34</f>
        <v>249632.72399845254</v>
      </c>
      <c r="Q36" s="240">
        <f>Q10-Q34</f>
        <v>252212.33259981236</v>
      </c>
      <c r="S36" s="240">
        <f>S10-S34</f>
        <v>254695.47658375488</v>
      </c>
      <c r="U36" s="240">
        <f>U10-U34</f>
        <v>257074.11091570917</v>
      </c>
      <c r="W36" s="240">
        <f>W10-W34</f>
        <v>259339.79226556991</v>
      </c>
      <c r="Y36" s="240">
        <f>Y10-Y34</f>
        <v>261483.66214937123</v>
      </c>
      <c r="AA36" s="240">
        <f>AA10-AA34</f>
        <v>263496.42940796795</v>
      </c>
      <c r="AC36" s="240">
        <f>AC10-AC34</f>
        <v>265368.35199769994</v>
      </c>
      <c r="AE36" s="240">
        <f>AE10-AE34</f>
        <v>267089.21806708386</v>
      </c>
      <c r="AG36" s="240">
        <f>AG10-AG34</f>
        <v>268648.32629263285</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Pacific Western Bank Perm Loan</v>
      </c>
      <c r="B39" s="243"/>
      <c r="C39" s="237"/>
      <c r="E39" s="239">
        <f>Application!AF637</f>
        <v>204885</v>
      </c>
      <c r="F39" s="239"/>
      <c r="G39" s="239">
        <f>$E$39</f>
        <v>204885</v>
      </c>
      <c r="H39" s="239"/>
      <c r="I39" s="239">
        <f>$E$39</f>
        <v>204885</v>
      </c>
      <c r="J39" s="239"/>
      <c r="K39" s="239">
        <f>$E$39</f>
        <v>204885</v>
      </c>
      <c r="L39" s="239"/>
      <c r="M39" s="239">
        <f>$E$39</f>
        <v>204885</v>
      </c>
      <c r="N39" s="239"/>
      <c r="O39" s="239">
        <f>$E$39</f>
        <v>204885</v>
      </c>
      <c r="P39" s="239"/>
      <c r="Q39" s="239">
        <f>$E$39</f>
        <v>204885</v>
      </c>
      <c r="R39" s="239"/>
      <c r="S39" s="239">
        <f>$E$39</f>
        <v>204885</v>
      </c>
      <c r="T39" s="239"/>
      <c r="U39" s="239">
        <f>$E$39</f>
        <v>204885</v>
      </c>
      <c r="V39" s="239"/>
      <c r="W39" s="239">
        <f>$E$39</f>
        <v>204885</v>
      </c>
      <c r="X39" s="239"/>
      <c r="Y39" s="239">
        <f>$E$39</f>
        <v>204885</v>
      </c>
      <c r="Z39" s="239"/>
      <c r="AA39" s="239">
        <f>$E$39</f>
        <v>204885</v>
      </c>
      <c r="AB39" s="239"/>
      <c r="AC39" s="239">
        <f>$E$39</f>
        <v>204885</v>
      </c>
      <c r="AD39" s="239"/>
      <c r="AE39" s="239">
        <f>$E$39</f>
        <v>204885</v>
      </c>
      <c r="AF39" s="239"/>
      <c r="AG39" s="239">
        <f>$E$39</f>
        <v>204885</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204885</v>
      </c>
      <c r="G42" s="240">
        <f>SUM(G39:G41)</f>
        <v>204885</v>
      </c>
      <c r="I42" s="240">
        <f>SUM(I39:I41)</f>
        <v>204885</v>
      </c>
      <c r="K42" s="240">
        <f>SUM(K39:K41)</f>
        <v>204885</v>
      </c>
      <c r="M42" s="240">
        <f>SUM(M39:M41)</f>
        <v>204885</v>
      </c>
      <c r="O42" s="240">
        <f>SUM(O39:O41)</f>
        <v>204885</v>
      </c>
      <c r="Q42" s="240">
        <f>SUM(Q39:Q41)</f>
        <v>204885</v>
      </c>
      <c r="S42" s="240">
        <f>SUM(S39:S41)</f>
        <v>204885</v>
      </c>
      <c r="U42" s="240">
        <f>SUM(U39:U41)</f>
        <v>204885</v>
      </c>
      <c r="W42" s="240">
        <f>SUM(W39:W41)</f>
        <v>204885</v>
      </c>
      <c r="Y42" s="240">
        <f>SUM(Y39:Y41)</f>
        <v>204885</v>
      </c>
      <c r="AA42" s="240">
        <f>SUM(AA39:AA41)</f>
        <v>204885</v>
      </c>
      <c r="AC42" s="240">
        <f>SUM(AC39:AC41)</f>
        <v>204885</v>
      </c>
      <c r="AE42" s="240">
        <f>SUM(AE39:AE41)</f>
        <v>204885</v>
      </c>
      <c r="AG42" s="240">
        <f>SUM(AG39:AG41)</f>
        <v>204885</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30658.400000000023</v>
      </c>
      <c r="G44" s="240">
        <f>G36-G42</f>
        <v>33612.494999999937</v>
      </c>
      <c r="I44" s="240">
        <f>I36-I42</f>
        <v>36504.922724999895</v>
      </c>
      <c r="K44" s="240">
        <f>K36-K42</f>
        <v>39329.398305374896</v>
      </c>
      <c r="M44" s="240">
        <f>M36-M42</f>
        <v>42079.31373818795</v>
      </c>
      <c r="O44" s="240">
        <f>O36-O42</f>
        <v>44747.723998452537</v>
      </c>
      <c r="Q44" s="240">
        <f>Q36-Q42</f>
        <v>47327.332599812362</v>
      </c>
      <c r="S44" s="240">
        <f>S36-S42</f>
        <v>49810.476583754877</v>
      </c>
      <c r="U44" s="240">
        <f>U36-U42</f>
        <v>52189.110915709171</v>
      </c>
      <c r="W44" s="240">
        <f>W36-W42</f>
        <v>54454.792265569908</v>
      </c>
      <c r="Y44" s="240">
        <f>Y36-Y42</f>
        <v>56598.66214937123</v>
      </c>
      <c r="AA44" s="240">
        <f>AA36-AA42</f>
        <v>58611.429407967953</v>
      </c>
      <c r="AC44" s="240">
        <f>AC36-AC42</f>
        <v>60483.351997699938</v>
      </c>
      <c r="AE44" s="240">
        <f>AE36-AE42</f>
        <v>62204.218067083857</v>
      </c>
      <c r="AG44" s="240">
        <f>AG36-AG42</f>
        <v>63763.326292632846</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4.4113313534544313E-2</v>
      </c>
      <c r="G46" s="244">
        <f>G44/(G4+G6+G8)</f>
        <v>4.7184252550792567E-2</v>
      </c>
      <c r="I46" s="244">
        <f>I44/(I4+I6+I8)</f>
        <v>4.9994691998697112E-2</v>
      </c>
      <c r="K46" s="244">
        <f>K44/(K4+K6+K8)</f>
        <v>5.2549174808054343E-2</v>
      </c>
      <c r="M46" s="244">
        <f>M44/(M4+M6+M8)</f>
        <v>5.4852115439951207E-2</v>
      </c>
      <c r="O46" s="244">
        <f>O44/(O4+O6+O8)</f>
        <v>5.6907802847801954E-2</v>
      </c>
      <c r="Q46" s="244">
        <f>Q44/(Q4+Q6+Q8)</f>
        <v>5.8720403364482802E-2</v>
      </c>
      <c r="S46" s="244">
        <f>S44/(S4+S6+S8)</f>
        <v>6.0293963517349412E-2</v>
      </c>
      <c r="U46" s="244">
        <f>U44/(U4+U6+U8)</f>
        <v>6.1632412772884324E-2</v>
      </c>
      <c r="W46" s="244">
        <f>W44/(W4+W6+W8)</f>
        <v>6.2739566212667117E-2</v>
      </c>
      <c r="Y46" s="244">
        <f>Y44/(Y4+Y6+Y8)</f>
        <v>6.361912714233145E-2</v>
      </c>
      <c r="AA46" s="244">
        <f>AA44/(AA4+AA6+AA8)</f>
        <v>6.4274689635121771E-2</v>
      </c>
      <c r="AC46" s="244">
        <f>AC44/(AC4+AC6+AC8)</f>
        <v>6.4709741011632821E-2</v>
      </c>
      <c r="AE46" s="244">
        <f>AE44/(AE4+AE6+AE8)</f>
        <v>6.4927664257264553E-2</v>
      </c>
      <c r="AG46" s="244">
        <f>AG44/(AG4+AG6+AG8)</f>
        <v>6.4931740378899927E-2</v>
      </c>
    </row>
    <row r="47" spans="1:33" s="244" customFormat="1" ht="14.25">
      <c r="A47" s="244" t="s">
        <v>900</v>
      </c>
      <c r="C47" s="237"/>
      <c r="E47" s="244">
        <f>E44/E42</f>
        <v>0.14963711350269676</v>
      </c>
      <c r="G47" s="244">
        <f>G44/G42</f>
        <v>0.16405542133391873</v>
      </c>
      <c r="I47" s="244">
        <f>I44/I42</f>
        <v>0.17817274434438779</v>
      </c>
      <c r="K47" s="244">
        <f>K44/K42</f>
        <v>0.19195840742550649</v>
      </c>
      <c r="M47" s="244">
        <f>M44/M42</f>
        <v>0.20538015832387901</v>
      </c>
      <c r="O47" s="244">
        <f>O44/O42</f>
        <v>0.21840409985334475</v>
      </c>
      <c r="Q47" s="244">
        <f>Q44/Q42</f>
        <v>0.23099461941973479</v>
      </c>
      <c r="S47" s="244">
        <f>S44/S42</f>
        <v>0.24311431575642373</v>
      </c>
      <c r="U47" s="244">
        <f>U44/U42</f>
        <v>0.25472392276501049</v>
      </c>
      <c r="W47" s="244">
        <f>W44/W42</f>
        <v>0.26578223035151383</v>
      </c>
      <c r="Y47" s="244">
        <f>Y44/Y42</f>
        <v>0.27624600214447731</v>
      </c>
      <c r="AA47" s="244">
        <f>AA44/AA42</f>
        <v>0.28606988997714794</v>
      </c>
      <c r="AC47" s="244">
        <f>AC44/AC42</f>
        <v>0.29520634501159154</v>
      </c>
      <c r="AE47" s="244">
        <f>AE44/AE42</f>
        <v>0.30360552537806018</v>
      </c>
      <c r="AG47" s="244">
        <f>AG44/AG42</f>
        <v>0.31121520019832027</v>
      </c>
    </row>
    <row r="48" spans="1:33" s="245" customFormat="1" ht="14.25">
      <c r="A48" s="245" t="s">
        <v>898</v>
      </c>
      <c r="C48" s="246"/>
      <c r="E48" s="245">
        <f>E36/E42</f>
        <v>1.1496371135026968</v>
      </c>
      <c r="G48" s="245">
        <f>G36/G42</f>
        <v>1.1640554213339187</v>
      </c>
      <c r="I48" s="245">
        <f>I36/I42</f>
        <v>1.1781727443443879</v>
      </c>
      <c r="K48" s="245">
        <f>K36/K42</f>
        <v>1.1919584074255065</v>
      </c>
      <c r="M48" s="245">
        <f>M36/M42</f>
        <v>1.205380158323879</v>
      </c>
      <c r="O48" s="245">
        <f>O36/O42</f>
        <v>1.2184040998533447</v>
      </c>
      <c r="Q48" s="245">
        <f>Q36/Q42</f>
        <v>1.2309946194197348</v>
      </c>
      <c r="S48" s="245">
        <f>S36/S42</f>
        <v>1.2431143157564237</v>
      </c>
      <c r="U48" s="245">
        <f>U36/U42</f>
        <v>1.2547239227650104</v>
      </c>
      <c r="W48" s="245">
        <f>W36/W42</f>
        <v>1.2657822303515138</v>
      </c>
      <c r="Y48" s="245">
        <f>Y36/Y42</f>
        <v>1.2762460021444773</v>
      </c>
      <c r="AA48" s="245">
        <f>AA36/AA42</f>
        <v>1.2860698899771479</v>
      </c>
      <c r="AC48" s="245">
        <f>AC36/AC42</f>
        <v>1.2952063450115916</v>
      </c>
      <c r="AE48" s="245">
        <f>AE36/AE42</f>
        <v>1.3036055253780601</v>
      </c>
      <c r="AG48" s="245">
        <f>AG36/AG42</f>
        <v>1.3112152001983202</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66" t="s">
        <v>1349</v>
      </c>
      <c r="B51" s="2666"/>
      <c r="C51" s="2666"/>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3" customFormat="1">
      <c r="A53" s="3" t="s">
        <v>903</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30658.400000000023</v>
      </c>
      <c r="G59" s="1002">
        <f>G44-G57</f>
        <v>33612.494999999937</v>
      </c>
      <c r="I59" s="1002">
        <f>I44-I57</f>
        <v>36504.922724999895</v>
      </c>
      <c r="K59" s="1002">
        <f>K44-K57</f>
        <v>39329.398305374896</v>
      </c>
      <c r="M59" s="1002">
        <f>M44-M57</f>
        <v>42079.31373818795</v>
      </c>
      <c r="O59" s="1002">
        <f>O44-O57</f>
        <v>44747.723998452537</v>
      </c>
      <c r="Q59" s="1002">
        <f>Q44-Q57</f>
        <v>47327.332599812362</v>
      </c>
      <c r="S59" s="1002">
        <f>S44-S57</f>
        <v>49810.476583754877</v>
      </c>
      <c r="U59" s="1002">
        <f>U44-U57</f>
        <v>52189.110915709171</v>
      </c>
      <c r="W59" s="1002">
        <f>W44-W57</f>
        <v>54454.792265569908</v>
      </c>
      <c r="Y59" s="1002">
        <f>Y44-Y57</f>
        <v>56598.66214937123</v>
      </c>
      <c r="AA59" s="1002">
        <f>AA44-AA57</f>
        <v>58611.429407967953</v>
      </c>
      <c r="AC59" s="1002">
        <f>AC44-AC57</f>
        <v>60483.351997699938</v>
      </c>
      <c r="AE59" s="1002">
        <f>AE44-AE57</f>
        <v>62204.218067083857</v>
      </c>
      <c r="AG59" s="1002">
        <f>AG44-AG57</f>
        <v>63763.326292632846</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0.5</v>
      </c>
      <c r="E61" s="1004">
        <f>E59*$C$61</f>
        <v>15329.200000000012</v>
      </c>
      <c r="G61" s="1002">
        <f>G59*$C$61</f>
        <v>16806.247499999969</v>
      </c>
      <c r="I61" s="1002">
        <f>I59*$C$61</f>
        <v>18252.461362499947</v>
      </c>
      <c r="K61" s="1002">
        <f>K59*$C$61</f>
        <v>19664.699152687448</v>
      </c>
      <c r="M61" s="1002">
        <f>M59*$C$61</f>
        <v>21039.656869093975</v>
      </c>
      <c r="O61" s="1002">
        <f>O59*$C$61</f>
        <v>22373.861999226268</v>
      </c>
      <c r="Q61" s="1002">
        <f>Q59*$C$61</f>
        <v>23663.666299906181</v>
      </c>
      <c r="S61" s="1002">
        <f>S59*$C$61</f>
        <v>24905.238291877438</v>
      </c>
      <c r="U61" s="1002">
        <f>U59*$C$61</f>
        <v>26094.555457854585</v>
      </c>
      <c r="W61" s="1002">
        <f>W59*$C$61</f>
        <v>27227.396132784954</v>
      </c>
      <c r="Y61" s="1002">
        <f>Y59*$C$61</f>
        <v>28299.331074685615</v>
      </c>
      <c r="AA61" s="1002">
        <f>AA59*$C$61</f>
        <v>29305.714703983977</v>
      </c>
      <c r="AC61" s="1002">
        <f>AC59*$C$61</f>
        <v>30241.675998849969</v>
      </c>
      <c r="AE61" s="1002">
        <f>AE59*$C$61</f>
        <v>31102.109033541929</v>
      </c>
      <c r="AG61" s="1002">
        <f>AG59*$C$61</f>
        <v>31881.663146316423</v>
      </c>
    </row>
    <row r="62" spans="1:35" s="1002" customFormat="1">
      <c r="A62" s="2666" t="s">
        <v>1349</v>
      </c>
      <c r="B62" s="2666"/>
      <c r="C62" s="2666"/>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7664.6000000000058</v>
      </c>
      <c r="G65" s="1000">
        <f>G59*$C$64</f>
        <v>8403.1237499999843</v>
      </c>
      <c r="I65" s="1000">
        <f>I59*$C$64</f>
        <v>9126.2306812499737</v>
      </c>
      <c r="K65" s="1000">
        <f>K59*$C$64</f>
        <v>9832.349576343724</v>
      </c>
      <c r="M65" s="1000">
        <f>M59*$C$64</f>
        <v>10519.828434546987</v>
      </c>
      <c r="O65" s="1000">
        <f>O59*$C$64</f>
        <v>11186.930999613134</v>
      </c>
      <c r="Q65" s="1000">
        <f>Q59*$C$64</f>
        <v>11831.83314995309</v>
      </c>
      <c r="S65" s="1000">
        <f>S59*$C$64</f>
        <v>12452.619145938719</v>
      </c>
      <c r="U65" s="1000">
        <f>U59*$C$64</f>
        <v>13047.277728927293</v>
      </c>
      <c r="W65" s="1000">
        <f>W59*$C$64</f>
        <v>13613.698066392477</v>
      </c>
      <c r="Y65" s="1000">
        <f>Y59*$C$64</f>
        <v>14149.665537342808</v>
      </c>
      <c r="AA65" s="1000">
        <f>AA59*$C$64</f>
        <v>14652.857351991988</v>
      </c>
      <c r="AC65" s="1000">
        <f>AC59*$C$64</f>
        <v>15120.837999424984</v>
      </c>
      <c r="AE65" s="1000">
        <f>AE59*$C$64</f>
        <v>15551.054516770964</v>
      </c>
      <c r="AG65" s="1000">
        <f>AG59*$C$64</f>
        <v>15940.831573158212</v>
      </c>
    </row>
    <row r="66" spans="1:33" s="1000" customFormat="1">
      <c r="A66" s="1005"/>
      <c r="B66" s="1005"/>
      <c r="C66" s="1010"/>
      <c r="E66" s="1004">
        <f>$E59*$C$64</f>
        <v>7664.6000000000058</v>
      </c>
      <c r="G66" s="1000">
        <f>G59*$C$64</f>
        <v>8403.1237499999843</v>
      </c>
      <c r="I66" s="1000">
        <f>I59*$C$64</f>
        <v>9126.2306812499737</v>
      </c>
      <c r="K66" s="1000">
        <f>K59*$C$64</f>
        <v>9832.349576343724</v>
      </c>
      <c r="M66" s="1000">
        <f>M59*$C$64</f>
        <v>10519.828434546987</v>
      </c>
      <c r="O66" s="1000">
        <f>O59*$C$64</f>
        <v>11186.930999613134</v>
      </c>
      <c r="Q66" s="1000">
        <f>Q59*$C$64</f>
        <v>11831.83314995309</v>
      </c>
      <c r="S66" s="1000">
        <f>S59*$C$64</f>
        <v>12452.619145938719</v>
      </c>
      <c r="U66" s="1000">
        <f>U59*$C$64</f>
        <v>13047.277728927293</v>
      </c>
      <c r="W66" s="1000">
        <f>W59*$C$64</f>
        <v>13613.698066392477</v>
      </c>
      <c r="Y66" s="1000">
        <f>Y59*$C$64</f>
        <v>14149.665537342808</v>
      </c>
      <c r="AA66" s="1000">
        <f>AA59*$C$64</f>
        <v>14652.857351991988</v>
      </c>
      <c r="AC66" s="1000">
        <f>AC59*$C$64</f>
        <v>15120.837999424984</v>
      </c>
      <c r="AE66" s="1000">
        <f>AE59*$C$64</f>
        <v>15551.054516770964</v>
      </c>
      <c r="AG66" s="1000">
        <f>AG59*$C$64</f>
        <v>15940.831573158212</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15329.200000000012</v>
      </c>
      <c r="G69" s="1000">
        <f>SUM(G65:G68)</f>
        <v>16806.247499999969</v>
      </c>
      <c r="I69" s="1000">
        <f>SUM(I65:I68)</f>
        <v>18252.461362499947</v>
      </c>
      <c r="K69" s="1000">
        <f>SUM(K65:K68)</f>
        <v>19664.699152687448</v>
      </c>
      <c r="M69" s="1000">
        <f>SUM(M65:M68)</f>
        <v>21039.656869093975</v>
      </c>
      <c r="O69" s="1000">
        <f>SUM(O65:O68)</f>
        <v>22373.861999226268</v>
      </c>
      <c r="Q69" s="1000">
        <f>SUM(Q65:Q68)</f>
        <v>23663.666299906181</v>
      </c>
      <c r="S69" s="1000">
        <f>SUM(S65:S68)</f>
        <v>24905.238291877438</v>
      </c>
      <c r="U69" s="1000">
        <f>SUM(U65:U68)</f>
        <v>26094.555457854585</v>
      </c>
      <c r="W69" s="1000">
        <f>SUM(W65:W68)</f>
        <v>27227.396132784954</v>
      </c>
      <c r="Y69" s="1000">
        <f>SUM(Y65:Y68)</f>
        <v>28299.331074685615</v>
      </c>
      <c r="AA69" s="1000">
        <f>SUM(AA65:AA68)</f>
        <v>29305.714703983977</v>
      </c>
      <c r="AC69" s="1000">
        <f>SUM(AC65:AC68)</f>
        <v>30241.675998849969</v>
      </c>
      <c r="AE69" s="1000">
        <f>SUM(AE65:AE68)</f>
        <v>31102.109033541929</v>
      </c>
      <c r="AG69" s="1000">
        <f>SUM(AG65:AG68)</f>
        <v>31881.663146316423</v>
      </c>
    </row>
    <row r="70" spans="1:33" s="1000" customFormat="1">
      <c r="A70" s="1002"/>
      <c r="C70" s="1010"/>
    </row>
    <row r="71" spans="1:33" s="1000" customFormat="1">
      <c r="A71" s="1002" t="s">
        <v>2039</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567"/>
      <c r="C72" s="1010"/>
    </row>
    <row r="73" spans="1:33" s="234" customFormat="1">
      <c r="A73" s="567"/>
      <c r="C73" s="193"/>
    </row>
    <row r="74" spans="1:33" s="234" customFormat="1">
      <c r="A74" s="1000" t="s">
        <v>2038</v>
      </c>
      <c r="C74" s="193"/>
    </row>
    <row r="75" spans="1:33" s="234" customFormat="1">
      <c r="C75" s="193"/>
    </row>
    <row r="76" spans="1:33" s="251" customFormat="1" ht="30" customHeight="1">
      <c r="A76" s="2664" t="s">
        <v>2037</v>
      </c>
      <c r="B76" s="2665"/>
      <c r="C76" s="2665"/>
      <c r="D76" s="2665"/>
      <c r="E76" s="2665"/>
      <c r="F76" s="2665"/>
      <c r="G76" s="2665"/>
      <c r="H76" s="2665"/>
      <c r="I76" s="2665"/>
      <c r="J76" s="2665"/>
      <c r="K76" s="2665"/>
      <c r="L76" s="2665"/>
      <c r="M76" s="2665"/>
      <c r="N76" s="2665"/>
      <c r="O76" s="2665"/>
      <c r="P76" s="2665"/>
      <c r="Q76" s="2665"/>
      <c r="R76" s="2665"/>
      <c r="S76" s="2665"/>
      <c r="T76" s="2665"/>
      <c r="U76" s="2665"/>
      <c r="V76" s="2665"/>
      <c r="W76" s="2665"/>
      <c r="X76" s="2665"/>
      <c r="Y76" s="2665"/>
      <c r="Z76" s="2665"/>
      <c r="AA76" s="2665"/>
      <c r="AB76" s="2665"/>
      <c r="AC76" s="2665"/>
      <c r="AD76" s="2665"/>
      <c r="AE76" s="2665"/>
      <c r="AF76" s="2665"/>
      <c r="AG76" s="2665"/>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67" t="s">
        <v>962</v>
      </c>
      <c r="B1" s="2667"/>
      <c r="C1" s="2667"/>
      <c r="D1" s="2667"/>
      <c r="E1" s="2667"/>
      <c r="F1" s="2667"/>
      <c r="G1" s="2667"/>
      <c r="H1" s="2667"/>
      <c r="I1" s="2667"/>
      <c r="J1" s="2667"/>
      <c r="K1" s="219"/>
      <c r="L1" s="219"/>
    </row>
    <row r="2" spans="1:12">
      <c r="A2" s="226"/>
      <c r="B2" s="226"/>
      <c r="C2" s="226"/>
      <c r="D2" s="226"/>
      <c r="E2" s="226"/>
      <c r="F2" s="226"/>
      <c r="G2" s="226"/>
      <c r="H2" s="226"/>
      <c r="I2" s="226"/>
      <c r="J2" s="226"/>
    </row>
    <row r="3" spans="1:12" ht="99.75">
      <c r="A3" s="460" t="s">
        <v>963</v>
      </c>
      <c r="B3" s="460" t="s">
        <v>964</v>
      </c>
      <c r="C3" s="460" t="s">
        <v>2410</v>
      </c>
      <c r="D3" s="460" t="s">
        <v>965</v>
      </c>
      <c r="E3" s="219"/>
      <c r="F3" s="460" t="s">
        <v>966</v>
      </c>
      <c r="G3" s="460" t="s">
        <v>967</v>
      </c>
      <c r="H3" s="461"/>
      <c r="I3" s="460" t="s">
        <v>968</v>
      </c>
      <c r="J3" s="460" t="s">
        <v>969</v>
      </c>
      <c r="K3" s="219"/>
      <c r="L3" s="330"/>
    </row>
    <row r="4" spans="1:12">
      <c r="A4" s="462" t="str">
        <f>Application!B728</f>
        <v>1 Bedroom</v>
      </c>
      <c r="B4" s="1174">
        <f>Application!G728</f>
        <v>3</v>
      </c>
      <c r="C4" s="1175"/>
      <c r="D4" s="462">
        <f>Application!O728</f>
        <v>433</v>
      </c>
      <c r="E4" s="463"/>
      <c r="F4" s="1176"/>
      <c r="G4" s="462">
        <f>F4*B4</f>
        <v>0</v>
      </c>
      <c r="H4" s="463"/>
      <c r="I4" s="462" t="str">
        <f>IF(F4=0," ",(F4-D4))</f>
        <v xml:space="preserve"> </v>
      </c>
      <c r="J4" s="462" t="str">
        <f>IF(F4=0," ",(I4*B4))</f>
        <v xml:space="preserve"> </v>
      </c>
      <c r="K4" s="219"/>
      <c r="L4" s="330"/>
    </row>
    <row r="5" spans="1:12">
      <c r="A5" s="462" t="str">
        <f>Application!B729</f>
        <v>1 Bedroom</v>
      </c>
      <c r="B5" s="1174">
        <f>Application!G729</f>
        <v>3</v>
      </c>
      <c r="C5" s="1175"/>
      <c r="D5" s="462">
        <f>Application!O729</f>
        <v>580</v>
      </c>
      <c r="E5" s="463"/>
      <c r="F5" s="1176"/>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1 Bedroom</v>
      </c>
      <c r="B6" s="1174">
        <f>Application!G730</f>
        <v>1</v>
      </c>
      <c r="C6" s="1175"/>
      <c r="D6" s="462">
        <f>Application!O730</f>
        <v>726</v>
      </c>
      <c r="E6" s="463"/>
      <c r="F6" s="1176"/>
      <c r="G6" s="462">
        <f t="shared" si="0"/>
        <v>0</v>
      </c>
      <c r="H6" s="463"/>
      <c r="I6" s="462" t="str">
        <f t="shared" si="1"/>
        <v xml:space="preserve"> </v>
      </c>
      <c r="J6" s="462" t="str">
        <f t="shared" si="2"/>
        <v xml:space="preserve"> </v>
      </c>
      <c r="K6" s="219"/>
      <c r="L6" s="330"/>
    </row>
    <row r="7" spans="1:12">
      <c r="A7" s="462" t="str">
        <f>Application!B731</f>
        <v>1 Bedroom</v>
      </c>
      <c r="B7" s="1174">
        <f>Application!G731</f>
        <v>1</v>
      </c>
      <c r="C7" s="1175"/>
      <c r="D7" s="462">
        <f>Application!O731</f>
        <v>872</v>
      </c>
      <c r="E7" s="463"/>
      <c r="F7" s="1176"/>
      <c r="G7" s="462">
        <f t="shared" si="0"/>
        <v>0</v>
      </c>
      <c r="H7" s="463"/>
      <c r="I7" s="462" t="str">
        <f t="shared" si="1"/>
        <v xml:space="preserve"> </v>
      </c>
      <c r="J7" s="462" t="str">
        <f t="shared" si="2"/>
        <v xml:space="preserve"> </v>
      </c>
      <c r="K7" s="219"/>
      <c r="L7" s="330"/>
    </row>
    <row r="8" spans="1:12">
      <c r="A8" s="462" t="str">
        <f>Application!B732</f>
        <v>2 Bedrooms</v>
      </c>
      <c r="B8" s="1174">
        <f>Application!G732</f>
        <v>9</v>
      </c>
      <c r="C8" s="1175"/>
      <c r="D8" s="462">
        <f>Application!O732</f>
        <v>521</v>
      </c>
      <c r="E8" s="463"/>
      <c r="F8" s="1176"/>
      <c r="G8" s="462">
        <f t="shared" si="0"/>
        <v>0</v>
      </c>
      <c r="H8" s="463"/>
      <c r="I8" s="462" t="str">
        <f t="shared" si="1"/>
        <v xml:space="preserve"> </v>
      </c>
      <c r="J8" s="462" t="str">
        <f t="shared" si="2"/>
        <v xml:space="preserve"> </v>
      </c>
      <c r="K8" s="219"/>
      <c r="L8" s="330"/>
    </row>
    <row r="9" spans="1:12">
      <c r="A9" s="462" t="str">
        <f>Application!B733</f>
        <v>2 Bedrooms</v>
      </c>
      <c r="B9" s="1174">
        <f>Application!G733</f>
        <v>10</v>
      </c>
      <c r="C9" s="1175"/>
      <c r="D9" s="462">
        <f>Application!O733</f>
        <v>697</v>
      </c>
      <c r="E9" s="463"/>
      <c r="F9" s="1176"/>
      <c r="G9" s="462">
        <f t="shared" si="0"/>
        <v>0</v>
      </c>
      <c r="H9" s="463"/>
      <c r="I9" s="462" t="str">
        <f t="shared" si="1"/>
        <v xml:space="preserve"> </v>
      </c>
      <c r="J9" s="462" t="str">
        <f t="shared" si="2"/>
        <v xml:space="preserve"> </v>
      </c>
      <c r="K9" s="219"/>
      <c r="L9" s="330"/>
    </row>
    <row r="10" spans="1:12">
      <c r="A10" s="462" t="str">
        <f>Application!B734</f>
        <v>2 Bedrooms</v>
      </c>
      <c r="B10" s="1174">
        <f>Application!G734</f>
        <v>4</v>
      </c>
      <c r="C10" s="1175"/>
      <c r="D10" s="462">
        <f>Application!O734</f>
        <v>872</v>
      </c>
      <c r="E10" s="463"/>
      <c r="F10" s="1176"/>
      <c r="G10" s="462">
        <f t="shared" si="0"/>
        <v>0</v>
      </c>
      <c r="H10" s="463"/>
      <c r="I10" s="462" t="str">
        <f t="shared" si="1"/>
        <v xml:space="preserve"> </v>
      </c>
      <c r="J10" s="462" t="str">
        <f t="shared" si="2"/>
        <v xml:space="preserve"> </v>
      </c>
      <c r="K10" s="219"/>
      <c r="L10" s="330"/>
    </row>
    <row r="11" spans="1:12">
      <c r="A11" s="462" t="str">
        <f>Application!B735</f>
        <v>2 Bedrooms</v>
      </c>
      <c r="B11" s="1174">
        <f>Application!G735</f>
        <v>1</v>
      </c>
      <c r="C11" s="1175"/>
      <c r="D11" s="462">
        <f>Application!O735</f>
        <v>1048</v>
      </c>
      <c r="E11" s="463"/>
      <c r="F11" s="1176"/>
      <c r="G11" s="462">
        <f t="shared" si="0"/>
        <v>0</v>
      </c>
      <c r="H11" s="463"/>
      <c r="I11" s="462" t="str">
        <f t="shared" si="1"/>
        <v xml:space="preserve"> </v>
      </c>
      <c r="J11" s="462" t="str">
        <f t="shared" si="2"/>
        <v xml:space="preserve"> </v>
      </c>
      <c r="K11" s="219"/>
      <c r="L11" s="330"/>
    </row>
    <row r="12" spans="1:12">
      <c r="A12" s="462" t="str">
        <f>Application!B736</f>
        <v>3 Bedrooms</v>
      </c>
      <c r="B12" s="1174">
        <f>Application!G736</f>
        <v>7</v>
      </c>
      <c r="C12" s="1175"/>
      <c r="D12" s="462">
        <f>Application!O736</f>
        <v>602</v>
      </c>
      <c r="E12" s="463"/>
      <c r="F12" s="1176"/>
      <c r="G12" s="462">
        <f t="shared" si="0"/>
        <v>0</v>
      </c>
      <c r="H12" s="463"/>
      <c r="I12" s="462" t="str">
        <f t="shared" si="1"/>
        <v xml:space="preserve"> </v>
      </c>
      <c r="J12" s="462" t="str">
        <f t="shared" si="2"/>
        <v xml:space="preserve"> </v>
      </c>
      <c r="K12" s="219"/>
      <c r="L12" s="330"/>
    </row>
    <row r="13" spans="1:12">
      <c r="A13" s="462" t="str">
        <f>Application!B737</f>
        <v>3 Bedrooms</v>
      </c>
      <c r="B13" s="1174">
        <f>Application!G737</f>
        <v>16</v>
      </c>
      <c r="C13" s="1175"/>
      <c r="D13" s="462">
        <f>Application!O737</f>
        <v>805</v>
      </c>
      <c r="E13" s="463"/>
      <c r="F13" s="1176"/>
      <c r="G13" s="462">
        <f t="shared" si="0"/>
        <v>0</v>
      </c>
      <c r="H13" s="463"/>
      <c r="I13" s="462" t="str">
        <f t="shared" si="1"/>
        <v xml:space="preserve"> </v>
      </c>
      <c r="J13" s="462" t="str">
        <f t="shared" si="2"/>
        <v xml:space="preserve"> </v>
      </c>
      <c r="K13" s="219"/>
      <c r="L13" s="330"/>
    </row>
    <row r="14" spans="1:12">
      <c r="A14" s="462" t="str">
        <f>Application!B738</f>
        <v>3 Bedrooms</v>
      </c>
      <c r="B14" s="1174">
        <f>Application!G738</f>
        <v>8</v>
      </c>
      <c r="C14" s="1175"/>
      <c r="D14" s="462">
        <f>Application!O738</f>
        <v>1008</v>
      </c>
      <c r="E14" s="463"/>
      <c r="F14" s="1176"/>
      <c r="G14" s="462">
        <f t="shared" si="0"/>
        <v>0</v>
      </c>
      <c r="H14" s="463"/>
      <c r="I14" s="462" t="str">
        <f t="shared" si="1"/>
        <v xml:space="preserve"> </v>
      </c>
      <c r="J14" s="462" t="str">
        <f t="shared" si="2"/>
        <v xml:space="preserve"> </v>
      </c>
      <c r="K14" s="219"/>
      <c r="L14" s="330"/>
    </row>
    <row r="15" spans="1:12">
      <c r="A15" s="462" t="str">
        <f>Application!B739</f>
        <v>3 Bedrooms</v>
      </c>
      <c r="B15" s="1174">
        <f>Application!G739</f>
        <v>1</v>
      </c>
      <c r="C15" s="1175"/>
      <c r="D15" s="462">
        <f>Application!O739</f>
        <v>1210</v>
      </c>
      <c r="E15" s="463"/>
      <c r="F15" s="1176"/>
      <c r="G15" s="462">
        <f t="shared" si="0"/>
        <v>0</v>
      </c>
      <c r="H15" s="463"/>
      <c r="I15" s="462" t="str">
        <f t="shared" si="1"/>
        <v xml:space="preserve"> </v>
      </c>
      <c r="J15" s="462" t="str">
        <f t="shared" si="2"/>
        <v xml:space="preserve"> </v>
      </c>
      <c r="K15" s="219"/>
      <c r="L15" s="330"/>
    </row>
    <row r="16" spans="1:12">
      <c r="A16" s="462" t="str">
        <f>Application!B740</f>
        <v>4 Bedrooms</v>
      </c>
      <c r="B16" s="1174">
        <f>Application!G740</f>
        <v>2</v>
      </c>
      <c r="C16" s="1175"/>
      <c r="D16" s="462">
        <f>Application!O740</f>
        <v>673</v>
      </c>
      <c r="E16" s="463"/>
      <c r="F16" s="1176"/>
      <c r="G16" s="462">
        <f t="shared" si="0"/>
        <v>0</v>
      </c>
      <c r="H16" s="463"/>
      <c r="I16" s="462" t="str">
        <f t="shared" si="1"/>
        <v xml:space="preserve"> </v>
      </c>
      <c r="J16" s="462" t="str">
        <f t="shared" si="2"/>
        <v xml:space="preserve"> </v>
      </c>
      <c r="K16" s="219"/>
      <c r="L16" s="330"/>
    </row>
    <row r="17" spans="1:12">
      <c r="A17" s="462" t="str">
        <f>Application!B741</f>
        <v>4 Bedrooms</v>
      </c>
      <c r="B17" s="1174">
        <f>Application!G741</f>
        <v>6</v>
      </c>
      <c r="C17" s="1175"/>
      <c r="D17" s="462">
        <f>Application!O741</f>
        <v>899</v>
      </c>
      <c r="E17" s="463"/>
      <c r="F17" s="1176"/>
      <c r="G17" s="462">
        <f t="shared" si="0"/>
        <v>0</v>
      </c>
      <c r="H17" s="463"/>
      <c r="I17" s="462" t="str">
        <f t="shared" si="1"/>
        <v xml:space="preserve"> </v>
      </c>
      <c r="J17" s="462" t="str">
        <f t="shared" si="2"/>
        <v xml:space="preserve"> </v>
      </c>
      <c r="K17" s="219"/>
      <c r="L17" s="330"/>
    </row>
    <row r="18" spans="1:12">
      <c r="A18" s="462" t="str">
        <f>Application!B742</f>
        <v>4 Bedrooms</v>
      </c>
      <c r="B18" s="1174">
        <f>Application!G742</f>
        <v>1</v>
      </c>
      <c r="C18" s="1175"/>
      <c r="D18" s="462">
        <f>Application!O742</f>
        <v>1125</v>
      </c>
      <c r="E18" s="463"/>
      <c r="F18" s="1176"/>
      <c r="G18" s="462">
        <f t="shared" si="0"/>
        <v>0</v>
      </c>
      <c r="H18" s="463"/>
      <c r="I18" s="462" t="str">
        <f t="shared" si="1"/>
        <v xml:space="preserve"> </v>
      </c>
      <c r="J18" s="462" t="str">
        <f t="shared" si="2"/>
        <v xml:space="preserve"> </v>
      </c>
      <c r="K18" s="219"/>
      <c r="L18" s="330"/>
    </row>
    <row r="19" spans="1:12">
      <c r="A19" s="462" t="str">
        <f>Application!B743</f>
        <v>4 Bedrooms</v>
      </c>
      <c r="B19" s="1174">
        <f>Application!G743</f>
        <v>1</v>
      </c>
      <c r="C19" s="1175"/>
      <c r="D19" s="462">
        <f>Application!O743</f>
        <v>1351</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56416</v>
      </c>
      <c r="E30" s="463"/>
      <c r="F30" s="463"/>
      <c r="G30" s="466">
        <f>SUM(G4:G28)*12</f>
        <v>0</v>
      </c>
      <c r="H30" s="467"/>
      <c r="I30" s="465"/>
      <c r="J30" s="466">
        <f>SUM(J4:J28)*12</f>
        <v>0</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1031</v>
      </c>
    </row>
    <row r="2" spans="1:1" ht="15.75">
      <c r="A2" s="340"/>
    </row>
    <row r="3" spans="1:1" ht="15.75">
      <c r="A3" s="341" t="s">
        <v>1026</v>
      </c>
    </row>
    <row r="4" spans="1:1" ht="15.75">
      <c r="A4" s="341" t="s">
        <v>1027</v>
      </c>
    </row>
    <row r="5" spans="1:1" ht="15.75">
      <c r="A5" s="341" t="s">
        <v>1028</v>
      </c>
    </row>
    <row r="6" spans="1:1" ht="15.75">
      <c r="A6" s="341" t="s">
        <v>1030</v>
      </c>
    </row>
    <row r="7" spans="1:1" ht="15.75">
      <c r="A7" s="341" t="s">
        <v>1029</v>
      </c>
    </row>
    <row r="8" spans="1:1" ht="15.75">
      <c r="A8" s="377" t="s">
        <v>1106</v>
      </c>
    </row>
    <row r="9" spans="1:1" ht="15.7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1384</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2700000</v>
      </c>
      <c r="C5" s="288">
        <f>'Sources and Uses Budget'!$C4</f>
        <v>2700000</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10000</v>
      </c>
      <c r="C7" s="288">
        <f>'Sources and Uses Budget'!$C6</f>
        <v>10000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2710000</v>
      </c>
      <c r="C9" s="292">
        <f>SUM(C5:C8)</f>
        <v>2710000</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0</v>
      </c>
      <c r="C11" s="288">
        <f>'Sources and Uses Budget'!$C10</f>
        <v>0</v>
      </c>
      <c r="D11" s="292">
        <f t="shared" si="0"/>
        <v>0</v>
      </c>
      <c r="E11" s="290"/>
      <c r="F11" s="289"/>
      <c r="G11" s="386"/>
    </row>
    <row r="12" spans="1:7" s="383" customFormat="1">
      <c r="A12" s="399" t="s">
        <v>623</v>
      </c>
      <c r="B12" s="292">
        <f>SUM(B10:B11)</f>
        <v>0</v>
      </c>
      <c r="C12" s="292">
        <f>SUM(C10:C11)</f>
        <v>0</v>
      </c>
      <c r="D12" s="292">
        <f t="shared" si="0"/>
        <v>0</v>
      </c>
      <c r="E12" s="290"/>
      <c r="F12" s="289"/>
      <c r="G12" s="386"/>
    </row>
    <row r="13" spans="1:7" s="383" customFormat="1">
      <c r="A13" s="399" t="s">
        <v>89</v>
      </c>
      <c r="B13" s="292">
        <f>SUM(B9+B12)</f>
        <v>2710000</v>
      </c>
      <c r="C13" s="292">
        <f>SUM(C9+C12)</f>
        <v>2710000</v>
      </c>
      <c r="D13" s="292">
        <f t="shared" si="0"/>
        <v>0</v>
      </c>
      <c r="E13" s="290"/>
      <c r="F13" s="289"/>
      <c r="G13" s="386"/>
    </row>
    <row r="14" spans="1:7" s="383" customFormat="1">
      <c r="A14" s="400" t="s">
        <v>955</v>
      </c>
      <c r="B14" s="288">
        <f>'Sources and Uses Budget'!$C13</f>
        <v>0</v>
      </c>
      <c r="C14" s="288">
        <f>'Sources and Uses Budget'!$C13</f>
        <v>0</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1849</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4143063</v>
      </c>
      <c r="C30" s="288">
        <f>'Sources and Uses Budget'!$C29</f>
        <v>4143063</v>
      </c>
      <c r="D30" s="292">
        <f t="shared" si="0"/>
        <v>0</v>
      </c>
      <c r="E30" s="290"/>
      <c r="F30" s="289"/>
      <c r="G30" s="386"/>
    </row>
    <row r="31" spans="1:7" s="383" customFormat="1">
      <c r="A31" s="145" t="s">
        <v>626</v>
      </c>
      <c r="B31" s="288">
        <f>'Sources and Uses Budget'!$C30</f>
        <v>21586805</v>
      </c>
      <c r="C31" s="288">
        <f>'Sources and Uses Budget'!$C30</f>
        <v>21586805</v>
      </c>
      <c r="D31" s="292">
        <f t="shared" si="0"/>
        <v>0</v>
      </c>
      <c r="E31" s="290"/>
      <c r="F31" s="289"/>
      <c r="G31" s="386"/>
    </row>
    <row r="32" spans="1:7" s="383" customFormat="1">
      <c r="A32" s="145" t="s">
        <v>627</v>
      </c>
      <c r="B32" s="288">
        <f>'Sources and Uses Budget'!$C31</f>
        <v>1543792</v>
      </c>
      <c r="C32" s="288">
        <f>'Sources and Uses Budget'!$C31</f>
        <v>1543792</v>
      </c>
      <c r="D32" s="292">
        <f t="shared" si="0"/>
        <v>0</v>
      </c>
      <c r="E32" s="290"/>
      <c r="F32" s="289"/>
      <c r="G32" s="386"/>
    </row>
    <row r="33" spans="1:7" s="383" customFormat="1">
      <c r="A33" s="145" t="s">
        <v>142</v>
      </c>
      <c r="B33" s="288">
        <f>'Sources and Uses Budget'!$C32</f>
        <v>545473</v>
      </c>
      <c r="C33" s="288">
        <f>'Sources and Uses Budget'!$C32</f>
        <v>545473</v>
      </c>
      <c r="D33" s="292">
        <f t="shared" si="0"/>
        <v>0</v>
      </c>
      <c r="E33" s="290"/>
      <c r="F33" s="289"/>
      <c r="G33" s="386"/>
    </row>
    <row r="34" spans="1:7" s="383" customFormat="1">
      <c r="A34" s="145" t="s">
        <v>143</v>
      </c>
      <c r="B34" s="288">
        <f>'Sources and Uses Budget'!$C33</f>
        <v>1636420</v>
      </c>
      <c r="C34" s="288">
        <f>'Sources and Uses Budget'!$C33</f>
        <v>1636420</v>
      </c>
      <c r="D34" s="292">
        <f t="shared" si="0"/>
        <v>0</v>
      </c>
      <c r="E34" s="290"/>
      <c r="F34" s="289"/>
      <c r="G34" s="386"/>
    </row>
    <row r="35" spans="1:7" s="383" customFormat="1">
      <c r="A35" s="145" t="s">
        <v>144</v>
      </c>
      <c r="B35" s="288">
        <f>'Sources and Uses Budget'!$C34</f>
        <v>3000000</v>
      </c>
      <c r="C35" s="288">
        <f>'Sources and Uses Budget'!$C34</f>
        <v>3000000</v>
      </c>
      <c r="D35" s="292">
        <f t="shared" si="0"/>
        <v>0</v>
      </c>
      <c r="E35" s="290"/>
      <c r="F35" s="289"/>
      <c r="G35" s="386"/>
    </row>
    <row r="36" spans="1:7" s="383" customFormat="1">
      <c r="A36" s="145" t="s">
        <v>145</v>
      </c>
      <c r="B36" s="288">
        <f>'Sources and Uses Budget'!$C35</f>
        <v>377031</v>
      </c>
      <c r="C36" s="288">
        <f>'Sources and Uses Budget'!$C35</f>
        <v>377031</v>
      </c>
      <c r="D36" s="292">
        <f t="shared" si="0"/>
        <v>0</v>
      </c>
      <c r="E36" s="290"/>
      <c r="F36" s="289"/>
      <c r="G36" s="386"/>
    </row>
    <row r="37" spans="1:7" s="383" customFormat="1">
      <c r="A37" s="306" t="s">
        <v>1849</v>
      </c>
      <c r="B37" s="288">
        <f>'Sources and Uses Budget'!$C36</f>
        <v>0</v>
      </c>
      <c r="C37" s="288">
        <f>'Sources and Uses Budget'!$C36</f>
        <v>0</v>
      </c>
      <c r="D37" s="292"/>
      <c r="E37" s="290"/>
      <c r="F37" s="289"/>
      <c r="G37" s="386"/>
    </row>
    <row r="38" spans="1:7" s="383" customFormat="1">
      <c r="A38" s="156" t="str">
        <f>'Sources and Uses Budget'!A37</f>
        <v xml:space="preserve">Frontage Construction </v>
      </c>
      <c r="B38" s="288">
        <f>'Sources and Uses Budget'!$C37</f>
        <v>300000</v>
      </c>
      <c r="C38" s="288">
        <f>'Sources and Uses Budget'!$C37</f>
        <v>300000</v>
      </c>
      <c r="D38" s="292">
        <f t="shared" si="0"/>
        <v>0</v>
      </c>
      <c r="E38" s="290"/>
      <c r="F38" s="289"/>
      <c r="G38" s="386"/>
    </row>
    <row r="39" spans="1:7" s="383" customFormat="1">
      <c r="A39" s="293" t="s">
        <v>148</v>
      </c>
      <c r="B39" s="292">
        <f>SUM(B30:B38)</f>
        <v>33132584</v>
      </c>
      <c r="C39" s="292">
        <f>SUM(C30:C38)</f>
        <v>33132584</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589111</v>
      </c>
      <c r="C41" s="288">
        <f>'Sources and Uses Budget'!$C40</f>
        <v>589111</v>
      </c>
      <c r="D41" s="292">
        <f t="shared" si="0"/>
        <v>0</v>
      </c>
      <c r="E41" s="290"/>
      <c r="F41" s="289"/>
      <c r="G41" s="386"/>
    </row>
    <row r="42" spans="1:7" s="383" customFormat="1">
      <c r="A42" s="291" t="s">
        <v>151</v>
      </c>
      <c r="B42" s="288">
        <f>'Sources and Uses Budget'!$C41</f>
        <v>324556</v>
      </c>
      <c r="C42" s="288">
        <f>'Sources and Uses Budget'!$C41</f>
        <v>324556</v>
      </c>
      <c r="D42" s="292">
        <f t="shared" si="0"/>
        <v>0</v>
      </c>
      <c r="E42" s="290"/>
      <c r="F42" s="289"/>
      <c r="G42" s="386"/>
    </row>
    <row r="43" spans="1:7" s="383" customFormat="1">
      <c r="A43" s="293" t="s">
        <v>152</v>
      </c>
      <c r="B43" s="292">
        <f>SUM(B41:B42)</f>
        <v>913667</v>
      </c>
      <c r="C43" s="292">
        <f>SUM(C41:C42)</f>
        <v>913667</v>
      </c>
      <c r="D43" s="292">
        <f t="shared" si="0"/>
        <v>0</v>
      </c>
      <c r="E43" s="290"/>
      <c r="F43" s="289"/>
      <c r="G43" s="386"/>
    </row>
    <row r="44" spans="1:7" s="383" customFormat="1">
      <c r="A44" s="293" t="s">
        <v>153</v>
      </c>
      <c r="B44" s="288">
        <f>'Sources and Uses Budget'!$C43</f>
        <v>150000</v>
      </c>
      <c r="C44" s="288">
        <f>'Sources and Uses Budget'!$C43</f>
        <v>150000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1015863</v>
      </c>
      <c r="C46" s="288">
        <f>'Sources and Uses Budget'!$C45</f>
        <v>1015863</v>
      </c>
      <c r="D46" s="292">
        <f t="shared" si="0"/>
        <v>0</v>
      </c>
      <c r="E46" s="290"/>
      <c r="F46" s="289"/>
      <c r="G46" s="386"/>
    </row>
    <row r="47" spans="1:7" s="383" customFormat="1">
      <c r="A47" s="145" t="s">
        <v>156</v>
      </c>
      <c r="B47" s="288">
        <f>'Sources and Uses Budget'!$C46</f>
        <v>252161</v>
      </c>
      <c r="C47" s="288">
        <f>'Sources and Uses Budget'!$C46</f>
        <v>252161</v>
      </c>
      <c r="D47" s="292">
        <f t="shared" si="0"/>
        <v>0</v>
      </c>
      <c r="E47" s="290"/>
      <c r="F47" s="289"/>
      <c r="G47" s="386"/>
    </row>
    <row r="48" spans="1:7" s="383" customFormat="1" ht="12" customHeight="1">
      <c r="A48" s="199" t="s">
        <v>157</v>
      </c>
      <c r="B48" s="288">
        <f>'Sources and Uses Budget'!$C47</f>
        <v>35000</v>
      </c>
      <c r="C48" s="288">
        <f>'Sources and Uses Budget'!$C47</f>
        <v>35000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186542</v>
      </c>
      <c r="C50" s="288">
        <f>'Sources and Uses Budget'!$C49</f>
        <v>186542</v>
      </c>
      <c r="D50" s="292">
        <f t="shared" si="0"/>
        <v>0</v>
      </c>
      <c r="E50" s="290"/>
      <c r="F50" s="289"/>
      <c r="G50" s="386"/>
    </row>
    <row r="51" spans="1:7" s="383" customFormat="1">
      <c r="A51" s="145" t="s">
        <v>161</v>
      </c>
      <c r="B51" s="288">
        <f>'Sources and Uses Budget'!$C50</f>
        <v>40000</v>
      </c>
      <c r="C51" s="288">
        <f>'Sources and Uses Budget'!$C50</f>
        <v>40000</v>
      </c>
      <c r="D51" s="292">
        <f t="shared" si="0"/>
        <v>0</v>
      </c>
      <c r="E51" s="290"/>
      <c r="F51" s="289"/>
      <c r="G51" s="386"/>
    </row>
    <row r="52" spans="1:7" s="383" customFormat="1">
      <c r="A52" s="306" t="s">
        <v>159</v>
      </c>
      <c r="B52" s="288">
        <f>'Sources and Uses Budget'!$C51</f>
        <v>54000</v>
      </c>
      <c r="C52" s="288">
        <f>'Sources and Uses Budget'!$C51</f>
        <v>54000</v>
      </c>
      <c r="D52" s="292">
        <f t="shared" si="0"/>
        <v>0</v>
      </c>
      <c r="E52" s="290"/>
      <c r="F52" s="289"/>
      <c r="G52" s="386"/>
    </row>
    <row r="53" spans="1:7" s="383" customFormat="1">
      <c r="A53" s="145" t="s">
        <v>160</v>
      </c>
      <c r="B53" s="288">
        <f>'Sources and Uses Budget'!$C52</f>
        <v>20000</v>
      </c>
      <c r="C53" s="288">
        <f>'Sources and Uses Budget'!$C52</f>
        <v>20000</v>
      </c>
      <c r="D53" s="292">
        <f t="shared" si="0"/>
        <v>0</v>
      </c>
      <c r="E53" s="290"/>
      <c r="F53" s="289"/>
      <c r="G53" s="386"/>
    </row>
    <row r="54" spans="1:7" s="383" customFormat="1">
      <c r="A54" s="156" t="str">
        <f>'Sources and Uses Budget'!A53</f>
        <v>Other: (Specify)</v>
      </c>
      <c r="B54" s="288">
        <f>'Sources and Uses Budget'!$C53</f>
        <v>0</v>
      </c>
      <c r="C54" s="288">
        <f>'Sources and Uses Budget'!$C53</f>
        <v>0</v>
      </c>
      <c r="D54" s="292">
        <f t="shared" si="0"/>
        <v>0</v>
      </c>
      <c r="E54" s="290"/>
      <c r="F54" s="289"/>
      <c r="G54" s="386"/>
    </row>
    <row r="55" spans="1:7" s="384" customFormat="1">
      <c r="A55" s="293" t="s">
        <v>162</v>
      </c>
      <c r="B55" s="295">
        <f>SUM(B46:B54)</f>
        <v>1603566</v>
      </c>
      <c r="C55" s="295">
        <f>SUM(C46:C54)</f>
        <v>1603566</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0</v>
      </c>
      <c r="C57" s="288">
        <f>'Sources and Uses Budget'!$C56</f>
        <v>0</v>
      </c>
      <c r="D57" s="292">
        <f t="shared" si="0"/>
        <v>0</v>
      </c>
      <c r="E57" s="290"/>
      <c r="F57" s="289"/>
      <c r="G57" s="386"/>
    </row>
    <row r="58" spans="1:7" s="383" customFormat="1" ht="12" customHeight="1">
      <c r="A58" s="291" t="s">
        <v>157</v>
      </c>
      <c r="B58" s="288">
        <f>'Sources and Uses Budget'!$C57</f>
        <v>10000</v>
      </c>
      <c r="C58" s="288">
        <f>'Sources and Uses Budget'!$C57</f>
        <v>10000</v>
      </c>
      <c r="D58" s="292">
        <f t="shared" si="0"/>
        <v>0</v>
      </c>
      <c r="E58" s="290"/>
      <c r="F58" s="289"/>
      <c r="G58" s="386"/>
    </row>
    <row r="59" spans="1:7" s="383" customFormat="1">
      <c r="A59" s="291" t="s">
        <v>161</v>
      </c>
      <c r="B59" s="288">
        <f>'Sources and Uses Budget'!$C58</f>
        <v>5000</v>
      </c>
      <c r="C59" s="288">
        <f>'Sources and Uses Budget'!$C58</f>
        <v>5000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(Specify)</v>
      </c>
      <c r="B62" s="288">
        <f>'Sources and Uses Budget'!$C61</f>
        <v>0</v>
      </c>
      <c r="C62" s="288">
        <f>'Sources and Uses Budget'!$C61</f>
        <v>0</v>
      </c>
      <c r="D62" s="292">
        <f t="shared" si="0"/>
        <v>0</v>
      </c>
      <c r="E62" s="290"/>
      <c r="F62" s="289"/>
      <c r="G62" s="386"/>
    </row>
    <row r="63" spans="1:7" s="383" customFormat="1" ht="13.7" customHeight="1">
      <c r="A63" s="293" t="s">
        <v>307</v>
      </c>
      <c r="B63" s="292">
        <f>SUM(B57:B62)</f>
        <v>15000</v>
      </c>
      <c r="C63" s="292">
        <f>SUM(C57:C62)</f>
        <v>15000</v>
      </c>
      <c r="D63" s="292">
        <f t="shared" si="0"/>
        <v>0</v>
      </c>
      <c r="E63" s="290"/>
      <c r="F63" s="289"/>
      <c r="G63" s="386"/>
    </row>
    <row r="64" spans="1:7" s="383" customFormat="1">
      <c r="A64" s="296" t="s">
        <v>308</v>
      </c>
      <c r="B64" s="292">
        <f>SUM(B9+B12+B14+B15+B17+B26+B28+B39+B43+B44+B55+B63)</f>
        <v>38524817</v>
      </c>
      <c r="C64" s="292">
        <f>SUM(C9+C12+C14+C15+C17+C26+C28+C39+C43+C44+C55+C63)</f>
        <v>38524817</v>
      </c>
      <c r="D64" s="292">
        <f t="shared" si="0"/>
        <v>0</v>
      </c>
      <c r="E64" s="290"/>
      <c r="F64" s="289"/>
      <c r="G64" s="386"/>
    </row>
    <row r="65" spans="1:7" s="383" customFormat="1" ht="24">
      <c r="A65" s="141" t="s">
        <v>1853</v>
      </c>
      <c r="B65" s="286"/>
      <c r="C65" s="286"/>
      <c r="D65" s="286"/>
      <c r="E65" s="305"/>
      <c r="F65" s="286"/>
      <c r="G65" s="386"/>
    </row>
    <row r="66" spans="1:7" s="383" customFormat="1">
      <c r="A66" s="145" t="s">
        <v>176</v>
      </c>
      <c r="B66" s="288">
        <f>'Sources and Uses Budget'!$C65</f>
        <v>65000</v>
      </c>
      <c r="C66" s="288">
        <f>'Sources and Uses Budget'!$C65</f>
        <v>65000</v>
      </c>
      <c r="D66" s="292">
        <f t="shared" si="0"/>
        <v>0</v>
      </c>
      <c r="E66" s="290"/>
      <c r="F66" s="289"/>
      <c r="G66" s="386"/>
    </row>
    <row r="67" spans="1:7" s="383" customFormat="1" ht="24">
      <c r="A67" s="306" t="s">
        <v>1850</v>
      </c>
      <c r="B67" s="288">
        <f>'Sources and Uses Budget'!$C66</f>
        <v>0</v>
      </c>
      <c r="C67" s="288">
        <f>'Sources and Uses Budget'!$C66</f>
        <v>0</v>
      </c>
      <c r="D67" s="292"/>
      <c r="E67" s="290"/>
      <c r="F67" s="289"/>
      <c r="G67" s="386"/>
    </row>
    <row r="68" spans="1:7" s="383" customFormat="1" ht="24">
      <c r="A68" s="306" t="s">
        <v>1851</v>
      </c>
      <c r="B68" s="288">
        <f>'Sources and Uses Budget'!$C67</f>
        <v>0</v>
      </c>
      <c r="C68" s="288">
        <f>'Sources and Uses Budget'!$C67</f>
        <v>0</v>
      </c>
      <c r="D68" s="292"/>
      <c r="E68" s="290"/>
      <c r="F68" s="289"/>
      <c r="G68" s="386"/>
    </row>
    <row r="69" spans="1:7" s="383" customFormat="1">
      <c r="A69" s="306" t="s">
        <v>1857</v>
      </c>
      <c r="B69" s="288">
        <f>'Sources and Uses Budget'!$C68</f>
        <v>0</v>
      </c>
      <c r="C69" s="288">
        <f>'Sources and Uses Budget'!$C68</f>
        <v>0</v>
      </c>
      <c r="D69" s="292"/>
      <c r="E69" s="290"/>
      <c r="F69" s="289"/>
      <c r="G69" s="386"/>
    </row>
    <row r="70" spans="1:7" s="383" customFormat="1">
      <c r="A70" s="156" t="str">
        <f>'Sources and Uses Budget'!A69</f>
        <v>Borrower's Attorney</v>
      </c>
      <c r="B70" s="288">
        <f>'Sources and Uses Budget'!$C69</f>
        <v>50000</v>
      </c>
      <c r="C70" s="288">
        <f>'Sources and Uses Budget'!$C69</f>
        <v>50000</v>
      </c>
      <c r="D70" s="292">
        <f t="shared" si="0"/>
        <v>0</v>
      </c>
      <c r="E70" s="290"/>
      <c r="F70" s="289"/>
      <c r="G70" s="386"/>
    </row>
    <row r="71" spans="1:7" s="383" customFormat="1">
      <c r="A71" s="149" t="s">
        <v>1854</v>
      </c>
      <c r="B71" s="292">
        <f>SUM(B66:B70)</f>
        <v>115000</v>
      </c>
      <c r="C71" s="292">
        <f>SUM(C66:C70)</f>
        <v>115000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30000</v>
      </c>
      <c r="C73" s="288">
        <f>'Sources and Uses Budget'!$C72</f>
        <v>30000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157194</v>
      </c>
      <c r="C76" s="288">
        <f>'Sources and Uses Budget'!$C75</f>
        <v>157194</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187194</v>
      </c>
      <c r="C78" s="292">
        <f>SUM(C73:C77)</f>
        <v>187194</v>
      </c>
      <c r="D78" s="292">
        <f t="shared" ref="D78:D106" si="1">C78-B78</f>
        <v>0</v>
      </c>
      <c r="E78" s="290"/>
      <c r="F78" s="289"/>
      <c r="G78" s="386"/>
    </row>
    <row r="79" spans="1:7" s="383" customFormat="1">
      <c r="A79" s="286" t="s">
        <v>1376</v>
      </c>
      <c r="B79" s="286"/>
      <c r="C79" s="286"/>
      <c r="D79" s="286"/>
      <c r="E79" s="305"/>
      <c r="F79" s="286"/>
      <c r="G79" s="386"/>
    </row>
    <row r="80" spans="1:7" s="383" customFormat="1">
      <c r="A80" s="548" t="s">
        <v>1378</v>
      </c>
      <c r="B80" s="288">
        <f>'Sources and Uses Budget'!$C79</f>
        <v>1656629</v>
      </c>
      <c r="C80" s="288">
        <f>'Sources and Uses Budget'!$C79</f>
        <v>1656629</v>
      </c>
      <c r="D80" s="292">
        <f t="shared" si="1"/>
        <v>0</v>
      </c>
      <c r="E80" s="290"/>
      <c r="F80" s="289"/>
      <c r="G80" s="386"/>
    </row>
    <row r="81" spans="1:7" s="383" customFormat="1">
      <c r="A81" s="548" t="s">
        <v>61</v>
      </c>
      <c r="B81" s="288">
        <f>'Sources and Uses Budget'!$C80</f>
        <v>303641</v>
      </c>
      <c r="C81" s="288">
        <f>'Sources and Uses Budget'!$C80</f>
        <v>303641</v>
      </c>
      <c r="D81" s="292">
        <f>C81-B81</f>
        <v>0</v>
      </c>
      <c r="E81" s="290"/>
      <c r="F81" s="289"/>
      <c r="G81" s="386"/>
    </row>
    <row r="82" spans="1:7" s="383" customFormat="1">
      <c r="A82" s="293" t="s">
        <v>1375</v>
      </c>
      <c r="B82" s="292">
        <f>SUM(B80:B81)</f>
        <v>1960270</v>
      </c>
      <c r="C82" s="292">
        <f>SUM(C80:C81)</f>
        <v>1960270</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145735</v>
      </c>
      <c r="C84" s="288">
        <f>'Sources and Uses Budget'!$C83</f>
        <v>145735</v>
      </c>
      <c r="D84" s="292">
        <f t="shared" si="1"/>
        <v>0</v>
      </c>
      <c r="E84" s="290"/>
      <c r="F84" s="289"/>
      <c r="G84" s="386"/>
    </row>
    <row r="85" spans="1:7" s="383" customFormat="1">
      <c r="A85" s="291" t="s">
        <v>810</v>
      </c>
      <c r="B85" s="288">
        <f>'Sources and Uses Budget'!$C84</f>
        <v>7000</v>
      </c>
      <c r="C85" s="288">
        <f>'Sources and Uses Budget'!$C84</f>
        <v>7000</v>
      </c>
      <c r="D85" s="292">
        <f t="shared" si="1"/>
        <v>0</v>
      </c>
      <c r="E85" s="290"/>
      <c r="F85" s="289"/>
      <c r="G85" s="386"/>
    </row>
    <row r="86" spans="1:7" s="383" customFormat="1">
      <c r="A86" s="291" t="s">
        <v>811</v>
      </c>
      <c r="B86" s="288">
        <f>'Sources and Uses Budget'!$C85</f>
        <v>1374843</v>
      </c>
      <c r="C86" s="288">
        <f>'Sources and Uses Budget'!$C85</f>
        <v>1374843</v>
      </c>
      <c r="D86" s="292">
        <f t="shared" si="1"/>
        <v>0</v>
      </c>
      <c r="E86" s="290"/>
      <c r="F86" s="289"/>
      <c r="G86" s="386"/>
    </row>
    <row r="87" spans="1:7" s="383" customFormat="1">
      <c r="A87" s="291" t="s">
        <v>812</v>
      </c>
      <c r="B87" s="288">
        <f>'Sources and Uses Budget'!$C86</f>
        <v>2850157</v>
      </c>
      <c r="C87" s="288">
        <f>'Sources and Uses Budget'!$C86</f>
        <v>2850157</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38625</v>
      </c>
      <c r="C89" s="288">
        <f>'Sources and Uses Budget'!$C88</f>
        <v>38625</v>
      </c>
      <c r="D89" s="292">
        <f t="shared" si="1"/>
        <v>0</v>
      </c>
      <c r="E89" s="290"/>
      <c r="F89" s="289"/>
      <c r="G89" s="386"/>
    </row>
    <row r="90" spans="1:7" s="383" customFormat="1">
      <c r="A90" s="291" t="s">
        <v>815</v>
      </c>
      <c r="B90" s="288">
        <f>'Sources and Uses Budget'!$C89</f>
        <v>150000</v>
      </c>
      <c r="C90" s="288">
        <f>'Sources and Uses Budget'!$C89</f>
        <v>150000</v>
      </c>
      <c r="D90" s="292">
        <f t="shared" si="1"/>
        <v>0</v>
      </c>
      <c r="E90" s="290"/>
      <c r="F90" s="289"/>
      <c r="G90" s="386"/>
    </row>
    <row r="91" spans="1:7" s="383" customFormat="1">
      <c r="A91" s="291" t="s">
        <v>816</v>
      </c>
      <c r="B91" s="288">
        <f>'Sources and Uses Budget'!$C90</f>
        <v>10000</v>
      </c>
      <c r="C91" s="288">
        <f>'Sources and Uses Budget'!$C90</f>
        <v>10000</v>
      </c>
      <c r="D91" s="292">
        <f t="shared" si="1"/>
        <v>0</v>
      </c>
      <c r="E91" s="290"/>
      <c r="F91" s="289"/>
      <c r="G91" s="386"/>
    </row>
    <row r="92" spans="1:7" s="383" customFormat="1">
      <c r="A92" s="291" t="s">
        <v>387</v>
      </c>
      <c r="B92" s="288">
        <f>'Sources and Uses Budget'!$C91</f>
        <v>45000</v>
      </c>
      <c r="C92" s="288">
        <f>'Sources and Uses Budget'!$C91</f>
        <v>45000</v>
      </c>
      <c r="D92" s="292">
        <f t="shared" si="1"/>
        <v>0</v>
      </c>
      <c r="E92" s="290"/>
      <c r="F92" s="289"/>
      <c r="G92" s="386"/>
    </row>
    <row r="93" spans="1:7" s="383" customFormat="1">
      <c r="A93" s="548" t="s">
        <v>1377</v>
      </c>
      <c r="B93" s="288">
        <f>'Sources and Uses Budget'!$C92</f>
        <v>7500</v>
      </c>
      <c r="C93" s="288">
        <f>'Sources and Uses Budget'!$C92</f>
        <v>7500</v>
      </c>
      <c r="D93" s="292">
        <f t="shared" si="1"/>
        <v>0</v>
      </c>
      <c r="E93" s="290"/>
      <c r="F93" s="289"/>
      <c r="G93" s="386"/>
    </row>
    <row r="94" spans="1:7" s="383" customFormat="1">
      <c r="A94" s="294" t="s">
        <v>35</v>
      </c>
      <c r="B94" s="288">
        <f>'Sources and Uses Budget'!$C93</f>
        <v>85000</v>
      </c>
      <c r="C94" s="288">
        <f>'Sources and Uses Budget'!$C93</f>
        <v>85000</v>
      </c>
      <c r="D94" s="292">
        <f t="shared" si="1"/>
        <v>0</v>
      </c>
      <c r="E94" s="290"/>
      <c r="F94" s="289"/>
      <c r="G94" s="386"/>
    </row>
    <row r="95" spans="1:7" s="383" customFormat="1">
      <c r="A95" s="294" t="s">
        <v>35</v>
      </c>
      <c r="B95" s="288">
        <f>'Sources and Uses Budget'!$C94</f>
        <v>0</v>
      </c>
      <c r="C95" s="288">
        <f>'Sources and Uses Budget'!$C94</f>
        <v>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4713860</v>
      </c>
      <c r="C97" s="292">
        <f>SUM(C84:C96)</f>
        <v>4713860</v>
      </c>
      <c r="D97" s="292">
        <f t="shared" si="1"/>
        <v>0</v>
      </c>
      <c r="E97" s="290"/>
      <c r="F97" s="289"/>
      <c r="G97" s="386"/>
    </row>
    <row r="98" spans="1:7" s="383" customFormat="1">
      <c r="A98" s="293" t="s">
        <v>818</v>
      </c>
      <c r="B98" s="292">
        <f>SUM(B64+B71+B78+B82+B97)</f>
        <v>45501141</v>
      </c>
      <c r="C98" s="292">
        <f>SUM(C64+C71+C78+C82+C97)</f>
        <v>45501141</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2892116</v>
      </c>
      <c r="C100" s="288">
        <f>'Sources and Uses Budget'!$C99</f>
        <v>2892116</v>
      </c>
      <c r="D100" s="292">
        <f t="shared" si="1"/>
        <v>0</v>
      </c>
      <c r="E100" s="290"/>
      <c r="F100" s="289"/>
      <c r="G100" s="386"/>
    </row>
    <row r="101" spans="1:7" s="383" customFormat="1">
      <c r="A101" s="306" t="s">
        <v>1855</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1856</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2892116</v>
      </c>
      <c r="C105" s="292">
        <f>SUM(C100:C104)</f>
        <v>2892116</v>
      </c>
      <c r="D105" s="292">
        <f t="shared" si="1"/>
        <v>0</v>
      </c>
      <c r="E105" s="290"/>
      <c r="F105" s="289"/>
      <c r="G105" s="386"/>
    </row>
    <row r="106" spans="1:7" s="383" customFormat="1">
      <c r="A106" s="293" t="s">
        <v>823</v>
      </c>
      <c r="B106" s="295">
        <f>SUM(B98+B105)</f>
        <v>48393257</v>
      </c>
      <c r="C106" s="295">
        <f>SUM(C98+C105)</f>
        <v>48393257</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9" t="s">
        <v>1127</v>
      </c>
      <c r="B2" s="1279"/>
      <c r="C2" s="1280"/>
      <c r="D2" s="1280"/>
      <c r="E2" s="1280"/>
      <c r="F2" s="1280"/>
      <c r="G2" s="1280"/>
    </row>
    <row r="3" spans="1:9" s="174" customFormat="1">
      <c r="A3" s="1279" t="s">
        <v>1062</v>
      </c>
      <c r="B3" s="1279"/>
      <c r="C3" s="1280"/>
      <c r="D3" s="1280"/>
      <c r="E3" s="1280"/>
      <c r="F3" s="1280"/>
      <c r="G3" s="1280"/>
      <c r="I3" t="s">
        <v>313</v>
      </c>
    </row>
    <row r="4" spans="1:9">
      <c r="I4" s="3" t="s">
        <v>1128</v>
      </c>
    </row>
    <row r="5" spans="1:9">
      <c r="A5" s="1282" t="s">
        <v>1063</v>
      </c>
      <c r="B5" s="1282"/>
      <c r="C5" s="1280"/>
      <c r="D5" s="1280"/>
      <c r="E5" s="1280"/>
      <c r="F5" s="1280"/>
      <c r="G5" s="1280"/>
      <c r="I5" s="3" t="s">
        <v>1129</v>
      </c>
    </row>
    <row r="6" spans="1:9">
      <c r="A6" s="1282" t="s">
        <v>865</v>
      </c>
      <c r="B6" s="1282"/>
      <c r="C6" s="1280"/>
      <c r="D6" s="1280"/>
      <c r="E6" s="1280"/>
      <c r="F6" s="1280"/>
      <c r="G6" s="1280"/>
      <c r="I6" t="s">
        <v>618</v>
      </c>
    </row>
    <row r="7" spans="1:9" ht="11.85" customHeight="1"/>
    <row r="8" spans="1:9">
      <c r="A8" s="1279" t="s">
        <v>1224</v>
      </c>
      <c r="B8" s="1279"/>
      <c r="C8" s="1281"/>
      <c r="D8" s="1281"/>
      <c r="E8" s="1281"/>
      <c r="F8" s="1281"/>
      <c r="G8" s="1281"/>
    </row>
    <row r="9" spans="1:9">
      <c r="A9" s="1279" t="s">
        <v>1225</v>
      </c>
      <c r="B9" s="1279"/>
      <c r="C9" s="1281"/>
      <c r="D9" s="1281"/>
      <c r="E9" s="1281"/>
      <c r="F9" s="1281"/>
      <c r="G9" s="1281"/>
    </row>
    <row r="10" spans="1:9">
      <c r="A10" s="175"/>
      <c r="B10" s="175"/>
      <c r="C10" s="173"/>
      <c r="D10" s="173"/>
      <c r="E10" s="173"/>
      <c r="F10" s="173"/>
    </row>
    <row r="11" spans="1:9">
      <c r="A11" s="1260" t="s">
        <v>1227</v>
      </c>
      <c r="B11" s="1260"/>
      <c r="C11" s="1260"/>
      <c r="D11" s="1260"/>
      <c r="E11" s="1260"/>
      <c r="F11" s="1260"/>
      <c r="G11" s="1260"/>
    </row>
    <row r="12" spans="1:9">
      <c r="A12" s="173"/>
      <c r="B12" s="173"/>
      <c r="E12" s="2"/>
    </row>
    <row r="13" spans="1:9" ht="13.15" customHeight="1">
      <c r="C13" s="173"/>
      <c r="D13" s="1294" t="s">
        <v>1226</v>
      </c>
      <c r="E13" s="1294"/>
      <c r="F13" s="1294"/>
    </row>
    <row r="14" spans="1:9">
      <c r="C14" s="173"/>
      <c r="D14" s="1294"/>
      <c r="E14" s="1294"/>
      <c r="F14" s="1294"/>
    </row>
    <row r="15" spans="1:9">
      <c r="A15" s="176"/>
      <c r="B15" s="176"/>
      <c r="C15" s="176"/>
      <c r="D15" s="1256" t="s">
        <v>1209</v>
      </c>
      <c r="E15" s="1256"/>
      <c r="F15" s="1256"/>
    </row>
    <row r="16" spans="1:9">
      <c r="A16" s="176"/>
      <c r="B16" s="176"/>
      <c r="C16" s="176"/>
      <c r="D16" s="219"/>
    </row>
    <row r="17" spans="1:6" ht="14.25">
      <c r="A17" s="177"/>
      <c r="B17" s="472" t="s">
        <v>313</v>
      </c>
      <c r="C17" s="176"/>
      <c r="D17" s="1246" t="s">
        <v>1210</v>
      </c>
      <c r="E17" s="1246"/>
      <c r="F17" s="1246"/>
    </row>
    <row r="18" spans="1:6">
      <c r="A18" s="176"/>
      <c r="B18" s="176"/>
      <c r="C18" s="176"/>
      <c r="D18" s="1246"/>
      <c r="E18" s="1246"/>
      <c r="F18" s="1246"/>
    </row>
    <row r="19" spans="1:6">
      <c r="A19" s="176"/>
      <c r="B19" s="176"/>
      <c r="C19" s="176"/>
      <c r="D19" s="1246"/>
      <c r="E19" s="1246"/>
      <c r="F19" s="1246"/>
    </row>
    <row r="20" spans="1:6">
      <c r="A20" s="176"/>
      <c r="B20" s="176"/>
      <c r="C20" s="176"/>
    </row>
    <row r="21" spans="1:6" ht="14.25">
      <c r="A21" s="177"/>
      <c r="B21" s="472" t="s">
        <v>313</v>
      </c>
      <c r="D21" s="1289" t="s">
        <v>1211</v>
      </c>
      <c r="E21" s="1289"/>
      <c r="F21" s="1289"/>
    </row>
    <row r="22" spans="1:6" ht="14.25">
      <c r="A22" s="177"/>
      <c r="B22" s="177"/>
      <c r="D22" s="35"/>
    </row>
    <row r="23" spans="1:6" ht="14.25">
      <c r="A23" s="177"/>
      <c r="B23" s="472" t="s">
        <v>313</v>
      </c>
      <c r="D23" s="1246" t="s">
        <v>1212</v>
      </c>
      <c r="E23" s="1246"/>
      <c r="F23" s="1246"/>
    </row>
    <row r="24" spans="1:6" ht="14.25">
      <c r="A24" s="177"/>
      <c r="B24" s="177"/>
      <c r="D24" s="1246"/>
      <c r="E24" s="1246"/>
      <c r="F24" s="1246"/>
    </row>
    <row r="25" spans="1:6"/>
    <row r="26" spans="1:6" ht="14.25">
      <c r="A26" s="177"/>
      <c r="B26" s="472" t="s">
        <v>313</v>
      </c>
      <c r="D26" s="1246" t="s">
        <v>1213</v>
      </c>
      <c r="E26" s="1246"/>
      <c r="F26" s="1246"/>
    </row>
    <row r="27" spans="1:6">
      <c r="D27" s="1246"/>
      <c r="E27" s="1246"/>
      <c r="F27" s="1246"/>
    </row>
    <row r="28" spans="1:6">
      <c r="D28" s="1246"/>
      <c r="E28" s="1246"/>
      <c r="F28" s="1246"/>
    </row>
    <row r="29" spans="1:6">
      <c r="D29" s="1246"/>
      <c r="E29" s="1246"/>
      <c r="F29" s="1246"/>
    </row>
    <row r="30" spans="1:6">
      <c r="D30" s="1246"/>
      <c r="E30" s="1246"/>
      <c r="F30" s="1246"/>
    </row>
    <row r="31" spans="1:6">
      <c r="D31" s="221"/>
    </row>
    <row r="32" spans="1:6">
      <c r="B32" s="472" t="s">
        <v>313</v>
      </c>
      <c r="D32" s="1246" t="s">
        <v>1214</v>
      </c>
      <c r="E32" s="1246"/>
      <c r="F32" s="1246"/>
    </row>
    <row r="33" spans="1:6">
      <c r="D33" s="1246"/>
      <c r="E33" s="1246"/>
      <c r="F33" s="1246"/>
    </row>
    <row r="34" spans="1:6" ht="14.25">
      <c r="A34" s="177"/>
      <c r="B34" s="177"/>
      <c r="D34" s="221"/>
    </row>
    <row r="35" spans="1:6" ht="14.45" customHeight="1">
      <c r="A35" s="177"/>
      <c r="B35" s="472" t="s">
        <v>313</v>
      </c>
      <c r="D35" s="1246" t="s">
        <v>1215</v>
      </c>
      <c r="E35" s="1246"/>
      <c r="F35" s="1246"/>
    </row>
    <row r="36" spans="1:6" ht="14.25">
      <c r="A36" s="177"/>
      <c r="B36" s="177"/>
      <c r="D36" s="1246"/>
      <c r="E36" s="1246"/>
      <c r="F36" s="1246"/>
    </row>
    <row r="37" spans="1:6" ht="14.25">
      <c r="A37" s="177"/>
      <c r="B37" s="177"/>
      <c r="D37" s="1246"/>
      <c r="E37" s="1246"/>
      <c r="F37" s="1246"/>
    </row>
    <row r="38" spans="1:6" ht="14.25">
      <c r="A38" s="177"/>
      <c r="B38" s="177"/>
      <c r="D38"/>
    </row>
    <row r="39" spans="1:6" ht="14.25">
      <c r="A39" s="177"/>
      <c r="B39" s="472" t="s">
        <v>313</v>
      </c>
      <c r="D39" s="1246" t="s">
        <v>1216</v>
      </c>
      <c r="E39" s="1246"/>
      <c r="F39" s="1246"/>
    </row>
    <row r="40" spans="1:6" ht="14.25">
      <c r="A40" s="177"/>
      <c r="B40" s="177"/>
      <c r="D40" s="1246"/>
      <c r="E40" s="1246"/>
      <c r="F40" s="1246"/>
    </row>
    <row r="41" spans="1:6" ht="14.25">
      <c r="A41" s="177"/>
      <c r="B41" s="177"/>
      <c r="D41" s="1246"/>
      <c r="E41" s="1246"/>
      <c r="F41" s="1246"/>
    </row>
    <row r="42" spans="1:6" ht="14.25">
      <c r="A42" s="177"/>
      <c r="B42" s="177"/>
      <c r="D42" s="1246"/>
      <c r="E42" s="1246"/>
      <c r="F42" s="1246"/>
    </row>
    <row r="43" spans="1:6" ht="14.25">
      <c r="A43" s="177"/>
      <c r="B43" s="177"/>
      <c r="D43" s="1246"/>
      <c r="E43" s="1246"/>
      <c r="F43" s="1246"/>
    </row>
    <row r="44" spans="1:6" ht="14.25">
      <c r="A44" s="177"/>
      <c r="B44" s="177"/>
      <c r="D44" s="478"/>
      <c r="E44" s="478"/>
      <c r="F44" s="478"/>
    </row>
    <row r="45" spans="1:6" ht="14.25">
      <c r="A45" s="177"/>
      <c r="B45" s="472" t="s">
        <v>313</v>
      </c>
      <c r="D45" s="1246" t="s">
        <v>1217</v>
      </c>
      <c r="E45" s="1246"/>
      <c r="F45" s="1246"/>
    </row>
    <row r="46" spans="1:6" ht="14.25">
      <c r="A46" s="177"/>
      <c r="B46" s="177"/>
      <c r="D46" s="1246"/>
      <c r="E46" s="1246"/>
      <c r="F46" s="1246"/>
    </row>
    <row r="47" spans="1:6" ht="14.25">
      <c r="A47" s="177"/>
      <c r="B47" s="177"/>
      <c r="D47" s="1246"/>
      <c r="E47" s="1246"/>
      <c r="F47" s="1246"/>
    </row>
    <row r="48" spans="1:6" ht="23.25" customHeight="1">
      <c r="A48" s="177"/>
      <c r="B48" s="177"/>
      <c r="D48" s="1246"/>
      <c r="E48" s="1246"/>
      <c r="F48" s="1246"/>
    </row>
    <row r="49" spans="1:7" ht="14.25">
      <c r="A49" s="177"/>
      <c r="B49" s="177"/>
      <c r="D49" s="35"/>
    </row>
    <row r="50" spans="1:7" ht="14.45" customHeight="1">
      <c r="A50" s="177"/>
      <c r="B50" s="472" t="s">
        <v>313</v>
      </c>
      <c r="D50" s="1246" t="s">
        <v>1218</v>
      </c>
      <c r="E50" s="1246"/>
      <c r="F50" s="1246"/>
    </row>
    <row r="51" spans="1:7" ht="14.25">
      <c r="A51" s="177"/>
      <c r="B51" s="177"/>
      <c r="D51" s="1246"/>
      <c r="E51" s="1246"/>
      <c r="F51" s="1246"/>
    </row>
    <row r="52" spans="1:7" ht="14.25">
      <c r="A52" s="177"/>
      <c r="B52" s="177"/>
      <c r="D52" s="1246"/>
      <c r="E52" s="1246"/>
      <c r="F52" s="1246"/>
    </row>
    <row r="53" spans="1:7" ht="14.25">
      <c r="A53" s="177"/>
      <c r="B53" s="177"/>
      <c r="C53" s="388"/>
      <c r="D53" s="3"/>
      <c r="E53" s="3"/>
      <c r="F53" s="3"/>
      <c r="G53" s="3"/>
    </row>
    <row r="54" spans="1:7" ht="14.25">
      <c r="A54" s="177"/>
      <c r="B54" s="472" t="s">
        <v>313</v>
      </c>
      <c r="C54" s="388"/>
      <c r="D54" s="1246" t="s">
        <v>1219</v>
      </c>
      <c r="E54" s="1246"/>
      <c r="F54" s="1246"/>
      <c r="G54" s="3"/>
    </row>
    <row r="55" spans="1:7" ht="14.25">
      <c r="A55" s="177"/>
      <c r="B55" s="177"/>
      <c r="C55" s="388"/>
      <c r="D55" s="1246"/>
      <c r="E55" s="1246"/>
      <c r="F55" s="1246"/>
      <c r="G55" s="3"/>
    </row>
    <row r="56" spans="1:7">
      <c r="D56" s="221"/>
    </row>
    <row r="57" spans="1:7" ht="14.25">
      <c r="A57" s="177"/>
      <c r="B57" s="472" t="s">
        <v>313</v>
      </c>
      <c r="D57" s="1246" t="s">
        <v>1220</v>
      </c>
      <c r="E57" s="1246"/>
      <c r="F57" s="1246"/>
    </row>
    <row r="58" spans="1:7">
      <c r="D58" s="1246"/>
      <c r="E58" s="1246"/>
      <c r="F58" s="1246"/>
    </row>
    <row r="59" spans="1:7">
      <c r="D59" s="1246"/>
      <c r="E59" s="1246"/>
      <c r="F59" s="1246"/>
    </row>
    <row r="60" spans="1:7">
      <c r="D60" s="3"/>
    </row>
    <row r="61" spans="1:7" ht="14.25">
      <c r="A61" s="177"/>
      <c r="B61" s="472" t="s">
        <v>313</v>
      </c>
      <c r="D61" s="1246" t="s">
        <v>1221</v>
      </c>
      <c r="E61" s="1246"/>
      <c r="F61" s="1246"/>
    </row>
    <row r="62" spans="1:7">
      <c r="D62" s="1246"/>
      <c r="E62" s="1246"/>
      <c r="F62" s="1246"/>
    </row>
    <row r="63" spans="1:7"/>
    <row r="64" spans="1:7" ht="14.25">
      <c r="A64" s="177"/>
      <c r="B64" s="472" t="s">
        <v>313</v>
      </c>
      <c r="D64" s="1246" t="s">
        <v>1222</v>
      </c>
      <c r="E64" s="1246"/>
      <c r="F64" s="1246"/>
    </row>
    <row r="65" spans="1:7">
      <c r="D65" s="1246"/>
      <c r="E65" s="1246"/>
      <c r="F65" s="1246"/>
    </row>
    <row r="66" spans="1:7">
      <c r="D66" s="1246"/>
      <c r="E66" s="1246"/>
      <c r="F66" s="1246"/>
    </row>
    <row r="67" spans="1:7">
      <c r="D67"/>
    </row>
    <row r="68" spans="1:7" ht="14.25">
      <c r="A68" s="177"/>
      <c r="B68" s="472" t="s">
        <v>313</v>
      </c>
      <c r="D68" s="1246" t="s">
        <v>1223</v>
      </c>
      <c r="E68" s="1246"/>
      <c r="F68" s="1246"/>
    </row>
    <row r="69" spans="1:7">
      <c r="D69" s="1246"/>
      <c r="E69" s="1246"/>
      <c r="F69" s="1246"/>
    </row>
    <row r="70" spans="1:7" ht="14.25">
      <c r="A70" s="177"/>
      <c r="B70" s="177"/>
      <c r="D70" s="35"/>
    </row>
    <row r="71" spans="1:7">
      <c r="A71" s="1260" t="s">
        <v>1130</v>
      </c>
      <c r="B71" s="1260"/>
      <c r="C71" s="1260"/>
      <c r="D71" s="1260"/>
      <c r="E71" s="1260"/>
      <c r="F71" s="1260"/>
      <c r="G71" s="1260"/>
    </row>
    <row r="72" spans="1:7"/>
    <row r="73" spans="1:7">
      <c r="C73" s="178"/>
      <c r="D73" s="1278" t="s">
        <v>1228</v>
      </c>
      <c r="E73" s="1278"/>
      <c r="F73" s="1278"/>
    </row>
    <row r="74" spans="1:7">
      <c r="A74" s="35"/>
      <c r="B74" s="35"/>
      <c r="D74" s="1246" t="s">
        <v>1255</v>
      </c>
      <c r="E74" s="1246"/>
      <c r="F74" s="1246"/>
    </row>
    <row r="75" spans="1:7">
      <c r="A75" s="35"/>
      <c r="B75" s="35"/>
    </row>
    <row r="76" spans="1:7" ht="14.25">
      <c r="A76" s="177"/>
      <c r="B76" s="472" t="s">
        <v>313</v>
      </c>
      <c r="D76" s="1246" t="s">
        <v>1229</v>
      </c>
      <c r="E76" s="1246"/>
      <c r="F76" s="1246"/>
    </row>
    <row r="77" spans="1:7" ht="14.25">
      <c r="A77" s="177"/>
      <c r="B77" s="177"/>
      <c r="D77" s="1246"/>
      <c r="E77" s="1246"/>
      <c r="F77" s="1246"/>
    </row>
    <row r="78" spans="1:7" ht="14.25">
      <c r="A78" s="177"/>
      <c r="B78" s="177"/>
      <c r="D78" s="1246"/>
      <c r="E78" s="1246"/>
      <c r="F78" s="1246"/>
    </row>
    <row r="79" spans="1:7" ht="14.25">
      <c r="A79" s="177"/>
      <c r="B79" s="177"/>
      <c r="D79" s="1246"/>
      <c r="E79" s="1246"/>
      <c r="F79" s="1246"/>
    </row>
    <row r="80" spans="1:7" ht="14.25">
      <c r="A80" s="177"/>
      <c r="B80" s="177"/>
      <c r="D80" s="1246"/>
      <c r="E80" s="1246"/>
      <c r="F80" s="1246"/>
    </row>
    <row r="81" spans="1:6" ht="14.25">
      <c r="A81" s="177"/>
      <c r="B81" s="177"/>
      <c r="D81" s="1246"/>
      <c r="E81" s="1246"/>
      <c r="F81" s="1246"/>
    </row>
    <row r="82" spans="1:6" ht="14.25">
      <c r="A82" s="177"/>
      <c r="B82" s="177"/>
      <c r="D82" s="478"/>
      <c r="E82" s="478"/>
      <c r="F82" s="478"/>
    </row>
    <row r="83" spans="1:6" ht="14.45" customHeight="1">
      <c r="A83" s="177"/>
      <c r="B83" s="472" t="s">
        <v>313</v>
      </c>
      <c r="D83" s="1254" t="s">
        <v>1328</v>
      </c>
      <c r="E83" s="1254"/>
      <c r="F83" s="1254"/>
    </row>
    <row r="84" spans="1:6" ht="14.25">
      <c r="A84" s="177"/>
      <c r="B84" s="177"/>
      <c r="D84" s="1254"/>
      <c r="E84" s="1254"/>
      <c r="F84" s="1254"/>
    </row>
    <row r="85" spans="1:6" ht="14.25">
      <c r="A85" s="177"/>
      <c r="B85" s="177"/>
      <c r="D85" s="1254"/>
      <c r="E85" s="1254"/>
      <c r="F85" s="1254"/>
    </row>
    <row r="86" spans="1:6" ht="14.25">
      <c r="A86" s="177"/>
      <c r="B86" s="177"/>
      <c r="D86" s="1254"/>
      <c r="E86" s="1254"/>
      <c r="F86" s="1254"/>
    </row>
    <row r="87" spans="1:6" ht="14.25">
      <c r="A87" s="177"/>
      <c r="B87" s="177"/>
      <c r="D87" s="1254"/>
      <c r="E87" s="1254"/>
      <c r="F87" s="1254"/>
    </row>
    <row r="88" spans="1:6" ht="14.25">
      <c r="A88" s="177"/>
      <c r="B88" s="177"/>
      <c r="D88" s="1254"/>
      <c r="E88" s="1254"/>
      <c r="F88" s="1254"/>
    </row>
    <row r="89" spans="1:6" ht="14.25">
      <c r="A89" s="177"/>
      <c r="B89" s="177"/>
      <c r="D89" s="1254"/>
      <c r="E89" s="1254"/>
      <c r="F89" s="1254"/>
    </row>
    <row r="90" spans="1:6" ht="14.25">
      <c r="A90" s="177"/>
      <c r="B90" s="177"/>
      <c r="D90" s="1254"/>
      <c r="E90" s="1254"/>
      <c r="F90" s="1254"/>
    </row>
    <row r="91" spans="1:6" ht="14.25">
      <c r="A91" s="177"/>
      <c r="B91" s="177"/>
      <c r="D91" s="1254"/>
      <c r="E91" s="1254"/>
      <c r="F91" s="1254"/>
    </row>
    <row r="92" spans="1:6" ht="14.25">
      <c r="A92" s="177"/>
      <c r="B92" s="177"/>
      <c r="D92" s="1254"/>
      <c r="E92" s="1254"/>
      <c r="F92" s="1254"/>
    </row>
    <row r="93" spans="1:6" ht="14.25">
      <c r="A93" s="177"/>
      <c r="B93" s="177"/>
      <c r="D93" s="1254"/>
      <c r="E93" s="1254"/>
      <c r="F93" s="1254"/>
    </row>
    <row r="94" spans="1:6" ht="14.25">
      <c r="A94" s="177"/>
      <c r="B94" s="177"/>
      <c r="D94" s="1254"/>
      <c r="E94" s="1254"/>
      <c r="F94" s="1254"/>
    </row>
    <row r="95" spans="1:6" ht="14.25">
      <c r="A95" s="177"/>
      <c r="B95" s="177"/>
      <c r="D95" s="1254"/>
      <c r="E95" s="1254"/>
      <c r="F95" s="1254"/>
    </row>
    <row r="96" spans="1:6" ht="14.25">
      <c r="A96" s="177"/>
      <c r="B96" s="177"/>
      <c r="D96" s="1254"/>
      <c r="E96" s="1254"/>
      <c r="F96" s="1254"/>
    </row>
    <row r="97" spans="1:11" ht="14.25">
      <c r="A97" s="177"/>
      <c r="B97" s="472" t="s">
        <v>313</v>
      </c>
      <c r="D97" s="1246" t="s">
        <v>1230</v>
      </c>
      <c r="E97" s="1246"/>
      <c r="F97" s="1246"/>
    </row>
    <row r="98" spans="1:11" ht="14.25">
      <c r="A98" s="177"/>
      <c r="B98" s="177"/>
      <c r="D98" s="1246"/>
      <c r="E98" s="1246"/>
      <c r="F98" s="1246"/>
    </row>
    <row r="99" spans="1:11" ht="14.25">
      <c r="A99" s="177"/>
      <c r="B99" s="177"/>
      <c r="D99" s="1246"/>
      <c r="E99" s="1246"/>
      <c r="F99" s="1246"/>
    </row>
    <row r="100" spans="1:11" ht="14.25">
      <c r="A100" s="177"/>
      <c r="B100" s="177"/>
      <c r="D100" s="1246"/>
      <c r="E100" s="1246"/>
      <c r="F100" s="1246"/>
    </row>
    <row r="101" spans="1:11" ht="14.25">
      <c r="A101" s="177"/>
      <c r="B101" s="177"/>
      <c r="D101" s="1246"/>
      <c r="E101" s="1246"/>
      <c r="F101" s="1246"/>
    </row>
    <row r="102" spans="1:11" ht="14.25">
      <c r="A102" s="177"/>
      <c r="B102" s="177"/>
      <c r="D102" s="1246"/>
      <c r="E102" s="1246"/>
      <c r="F102" s="1246"/>
    </row>
    <row r="103" spans="1:11" ht="14.25">
      <c r="A103" s="177"/>
      <c r="B103" s="177"/>
      <c r="D103" s="1246"/>
      <c r="E103" s="1246"/>
      <c r="F103" s="1246"/>
    </row>
    <row r="104" spans="1:11" ht="14.25">
      <c r="A104" s="177"/>
      <c r="B104" s="177"/>
      <c r="D104" s="1246"/>
      <c r="E104" s="1246"/>
      <c r="F104" s="1246"/>
    </row>
    <row r="105" spans="1:11" ht="14.25">
      <c r="A105" s="177"/>
      <c r="B105" s="177"/>
      <c r="D105" s="478"/>
      <c r="E105" s="478"/>
      <c r="F105" s="478"/>
    </row>
    <row r="106" spans="1:11" ht="14.25">
      <c r="A106" s="177"/>
      <c r="B106" s="472" t="s">
        <v>313</v>
      </c>
      <c r="C106" s="180"/>
      <c r="D106" s="1283" t="s">
        <v>1231</v>
      </c>
      <c r="E106" s="1283"/>
      <c r="F106" s="1283"/>
      <c r="G106" s="184"/>
      <c r="H106" s="182"/>
      <c r="I106" s="182"/>
      <c r="J106" s="182"/>
      <c r="K106" s="182"/>
    </row>
    <row r="107" spans="1:11" ht="14.25">
      <c r="A107" s="177"/>
      <c r="B107" s="177"/>
      <c r="C107" s="180"/>
      <c r="D107" s="1283"/>
      <c r="E107" s="1283"/>
      <c r="F107" s="1283"/>
      <c r="G107" s="184"/>
      <c r="H107" s="182"/>
      <c r="I107" s="182"/>
      <c r="J107" s="182"/>
      <c r="K107" s="182"/>
    </row>
    <row r="108" spans="1:11" ht="14.25">
      <c r="A108" s="177"/>
      <c r="B108" s="177"/>
      <c r="C108" s="180"/>
      <c r="D108" s="1283"/>
      <c r="E108" s="1283"/>
      <c r="F108" s="1283"/>
      <c r="G108" s="184"/>
      <c r="H108" s="182"/>
      <c r="I108" s="182"/>
      <c r="J108" s="182"/>
      <c r="K108" s="182"/>
    </row>
    <row r="109" spans="1:11" ht="14.25">
      <c r="A109" s="177"/>
      <c r="B109" s="177"/>
      <c r="C109" s="180"/>
      <c r="D109" s="1283"/>
      <c r="E109" s="1283"/>
      <c r="F109" s="1283"/>
      <c r="G109" s="184"/>
      <c r="H109" s="182"/>
      <c r="I109" s="182"/>
      <c r="J109" s="182"/>
      <c r="K109" s="182"/>
    </row>
    <row r="110" spans="1:11" ht="14.25">
      <c r="A110" s="177"/>
      <c r="B110" s="177"/>
      <c r="C110" s="180"/>
      <c r="D110" s="1283"/>
      <c r="E110" s="1283"/>
      <c r="F110" s="1283"/>
      <c r="G110" s="184"/>
      <c r="H110" s="182"/>
      <c r="I110" s="182"/>
      <c r="J110" s="182"/>
      <c r="K110" s="182"/>
    </row>
    <row r="111" spans="1:11">
      <c r="C111"/>
      <c r="D111" s="1283"/>
      <c r="E111" s="1283"/>
      <c r="F111" s="1283"/>
      <c r="G111"/>
    </row>
    <row r="112" spans="1:11">
      <c r="C112"/>
      <c r="D112" s="1283"/>
      <c r="E112" s="1283"/>
      <c r="F112" s="1283"/>
      <c r="G112"/>
    </row>
    <row r="113" spans="1:7">
      <c r="C113"/>
      <c r="D113" s="332"/>
      <c r="E113"/>
      <c r="F113"/>
      <c r="G113"/>
    </row>
    <row r="114" spans="1:7" ht="14.25">
      <c r="A114" s="177"/>
      <c r="B114" s="472" t="s">
        <v>313</v>
      </c>
      <c r="C114"/>
      <c r="D114" s="1284" t="s">
        <v>1232</v>
      </c>
      <c r="E114" s="1284"/>
      <c r="F114" s="1284"/>
      <c r="G114"/>
    </row>
    <row r="115" spans="1:7" ht="14.25">
      <c r="A115" s="177"/>
      <c r="B115" s="177"/>
      <c r="C115"/>
      <c r="D115" s="1284"/>
      <c r="E115" s="1284"/>
      <c r="F115" s="1284"/>
      <c r="G115"/>
    </row>
    <row r="116" spans="1:7"/>
    <row r="117" spans="1:7" ht="14.25">
      <c r="A117" s="177"/>
      <c r="B117" s="472" t="s">
        <v>313</v>
      </c>
      <c r="D117" s="1246" t="s">
        <v>1233</v>
      </c>
      <c r="E117" s="1246"/>
      <c r="F117" s="1246"/>
    </row>
    <row r="118" spans="1:7">
      <c r="D118" s="1246"/>
      <c r="E118" s="1246"/>
      <c r="F118" s="1246"/>
    </row>
    <row r="119" spans="1:7">
      <c r="D119" s="1246"/>
      <c r="E119" s="1246"/>
      <c r="F119" s="1246"/>
    </row>
    <row r="120" spans="1:7">
      <c r="D120" s="1246"/>
      <c r="E120" s="1246"/>
      <c r="F120" s="1246"/>
    </row>
    <row r="121" spans="1:7">
      <c r="D121" s="1246"/>
      <c r="E121" s="1246"/>
      <c r="F121" s="1246"/>
    </row>
    <row r="122" spans="1:7"/>
    <row r="123" spans="1:7" ht="14.25">
      <c r="A123" s="177"/>
      <c r="B123" s="472" t="s">
        <v>313</v>
      </c>
      <c r="D123" s="1246" t="s">
        <v>1234</v>
      </c>
      <c r="E123" s="1246"/>
      <c r="F123" s="1246"/>
    </row>
    <row r="124" spans="1:7" s="198" customFormat="1" ht="13.7" customHeight="1">
      <c r="A124" s="196"/>
      <c r="B124" s="196"/>
      <c r="C124" s="196"/>
      <c r="D124" s="1246"/>
      <c r="E124" s="1246"/>
      <c r="F124" s="1246"/>
      <c r="G124" s="197"/>
    </row>
    <row r="125" spans="1:7" ht="13.7" customHeight="1">
      <c r="D125" s="1246"/>
      <c r="E125" s="1246"/>
      <c r="F125" s="1246"/>
    </row>
    <row r="126" spans="1:7" ht="13.7" customHeight="1">
      <c r="D126" s="1246"/>
      <c r="E126" s="1246"/>
      <c r="F126" s="1246"/>
    </row>
    <row r="127" spans="1:7" ht="13.7" customHeight="1">
      <c r="D127" s="1246"/>
      <c r="E127" s="1246"/>
      <c r="F127" s="1246"/>
    </row>
    <row r="128" spans="1:7" ht="13.7" customHeight="1">
      <c r="A128" s="258"/>
      <c r="B128" s="258"/>
      <c r="D128" s="1246"/>
      <c r="E128" s="1246"/>
      <c r="F128" s="1246"/>
    </row>
    <row r="129" spans="2:6" ht="13.7" customHeight="1">
      <c r="D129" s="1246"/>
      <c r="E129" s="1246"/>
      <c r="F129" s="1246"/>
    </row>
    <row r="130" spans="2:6" ht="13.7" customHeight="1">
      <c r="D130" s="1246"/>
      <c r="E130" s="1246"/>
      <c r="F130" s="1246"/>
    </row>
    <row r="131" spans="2:6" ht="13.7" customHeight="1">
      <c r="D131" s="1246"/>
      <c r="E131" s="1246"/>
      <c r="F131" s="1246"/>
    </row>
    <row r="132" spans="2:6" ht="13.7" customHeight="1">
      <c r="D132" s="1246"/>
      <c r="E132" s="1246"/>
      <c r="F132" s="1246"/>
    </row>
    <row r="133" spans="2:6" ht="13.7" customHeight="1">
      <c r="D133" s="1246"/>
      <c r="E133" s="1246"/>
      <c r="F133" s="1246"/>
    </row>
    <row r="134" spans="2:6" ht="13.7" customHeight="1">
      <c r="D134" s="1246"/>
      <c r="E134" s="1246"/>
      <c r="F134" s="1246"/>
    </row>
    <row r="135" spans="2:6" ht="13.7" customHeight="1">
      <c r="D135" s="219"/>
      <c r="E135" s="35"/>
      <c r="F135" s="35"/>
    </row>
    <row r="136" spans="2:6" ht="13.7" customHeight="1">
      <c r="B136" s="472" t="s">
        <v>313</v>
      </c>
      <c r="D136" s="1246" t="s">
        <v>1342</v>
      </c>
      <c r="E136" s="1246"/>
      <c r="F136" s="1246"/>
    </row>
    <row r="137" spans="2:6" ht="13.7" customHeight="1">
      <c r="D137" s="1246"/>
      <c r="E137" s="1246"/>
      <c r="F137" s="1246"/>
    </row>
    <row r="138" spans="2:6" ht="13.7" customHeight="1">
      <c r="D138" s="1246"/>
      <c r="E138" s="1246"/>
      <c r="F138" s="1246"/>
    </row>
    <row r="139" spans="2:6" ht="13.7" customHeight="1">
      <c r="D139" s="1246"/>
      <c r="E139" s="1246"/>
      <c r="F139" s="1246"/>
    </row>
    <row r="140" spans="2:6" ht="13.7" customHeight="1">
      <c r="D140" s="1246"/>
      <c r="E140" s="1246"/>
      <c r="F140" s="1246"/>
    </row>
    <row r="141" spans="2:6" ht="13.7" customHeight="1">
      <c r="D141" s="1246"/>
      <c r="E141" s="1246"/>
      <c r="F141" s="1246"/>
    </row>
    <row r="142" spans="2:6" ht="13.7" customHeight="1">
      <c r="D142" s="1246"/>
      <c r="E142" s="1246"/>
      <c r="F142" s="1246"/>
    </row>
    <row r="143" spans="2:6" ht="13.7" customHeight="1">
      <c r="D143" s="1246"/>
      <c r="E143" s="1246"/>
      <c r="F143" s="1246"/>
    </row>
    <row r="144" spans="2:6" ht="13.7" customHeight="1">
      <c r="D144" s="1246"/>
      <c r="E144" s="1246"/>
      <c r="F144" s="1246"/>
    </row>
    <row r="145" spans="1:7" ht="13.7" customHeight="1">
      <c r="D145" s="1246"/>
      <c r="E145" s="1246"/>
      <c r="F145" s="1246"/>
    </row>
    <row r="146" spans="1:7" ht="13.7" customHeight="1">
      <c r="D146" s="1246"/>
      <c r="E146" s="1246"/>
      <c r="F146" s="1246"/>
    </row>
    <row r="147" spans="1:7" ht="13.7" customHeight="1">
      <c r="D147" s="1246"/>
      <c r="E147" s="1246"/>
      <c r="F147" s="1246"/>
    </row>
    <row r="148" spans="1:7" ht="13.7" customHeight="1">
      <c r="D148" s="1246"/>
      <c r="E148" s="1246"/>
      <c r="F148" s="1246"/>
    </row>
    <row r="149" spans="1:7" ht="13.7" customHeight="1">
      <c r="D149" s="1246"/>
      <c r="E149" s="1246"/>
      <c r="F149" s="1246"/>
    </row>
    <row r="150" spans="1:7" ht="13.7" customHeight="1">
      <c r="D150" s="1246"/>
      <c r="E150" s="1246"/>
      <c r="F150" s="1246"/>
    </row>
    <row r="151" spans="1:7" ht="13.7" customHeight="1">
      <c r="D151" s="1246"/>
      <c r="E151" s="1246"/>
      <c r="F151" s="1246"/>
    </row>
    <row r="152" spans="1:7" ht="13.7" customHeight="1">
      <c r="D152" s="1246"/>
      <c r="E152" s="1246"/>
      <c r="F152" s="1246"/>
    </row>
    <row r="153" spans="1:7" ht="13.7" customHeight="1">
      <c r="D153" s="1246"/>
      <c r="E153" s="1246"/>
      <c r="F153" s="1246"/>
    </row>
    <row r="154" spans="1:7" ht="13.7" customHeight="1">
      <c r="D154" s="1246"/>
      <c r="E154" s="1246"/>
      <c r="F154" s="1246"/>
    </row>
    <row r="155" spans="1:7" ht="13.7" customHeight="1">
      <c r="D155" s="219"/>
      <c r="E155" s="35"/>
      <c r="F155" s="35"/>
    </row>
    <row r="156" spans="1:7" ht="13.7" customHeight="1">
      <c r="A156" s="258"/>
      <c r="B156" s="472" t="s">
        <v>313</v>
      </c>
      <c r="C156" s="219"/>
      <c r="D156" s="1254" t="s">
        <v>1235</v>
      </c>
      <c r="E156" s="1254"/>
      <c r="F156" s="1254"/>
      <c r="G156" s="219"/>
    </row>
    <row r="157" spans="1:7" ht="13.7" customHeight="1">
      <c r="A157" s="258"/>
      <c r="B157" s="258"/>
      <c r="C157" s="219"/>
      <c r="D157" s="1254"/>
      <c r="E157" s="1254"/>
      <c r="F157" s="1254"/>
      <c r="G157" s="219"/>
    </row>
    <row r="158" spans="1:7" ht="13.7" customHeight="1">
      <c r="A158" s="258"/>
      <c r="B158" s="258"/>
      <c r="C158" s="219"/>
      <c r="D158" s="219"/>
      <c r="E158" s="219"/>
      <c r="F158" s="219"/>
      <c r="G158" s="219"/>
    </row>
    <row r="159" spans="1:7" ht="13.7" customHeight="1">
      <c r="A159" s="258"/>
      <c r="B159" s="472" t="s">
        <v>313</v>
      </c>
      <c r="C159" s="219"/>
      <c r="D159" s="1254" t="s">
        <v>1236</v>
      </c>
      <c r="E159" s="1254"/>
      <c r="F159" s="1254"/>
      <c r="G159" s="219"/>
    </row>
    <row r="160" spans="1:7" ht="13.7" customHeight="1">
      <c r="A160" s="258"/>
      <c r="B160" s="258"/>
      <c r="C160" s="219"/>
      <c r="D160" s="1254"/>
      <c r="E160" s="1254"/>
      <c r="F160" s="1254"/>
      <c r="G160" s="219"/>
    </row>
    <row r="161" spans="1:7" ht="13.7" customHeight="1">
      <c r="A161" s="258"/>
      <c r="B161" s="258"/>
      <c r="C161" s="219"/>
      <c r="D161" s="1254"/>
      <c r="E161" s="1254"/>
      <c r="F161" s="1254"/>
      <c r="G161" s="219"/>
    </row>
    <row r="162" spans="1:7" ht="13.7" customHeight="1">
      <c r="A162" s="258"/>
      <c r="B162" s="258"/>
      <c r="C162" s="219"/>
      <c r="D162" s="1254"/>
      <c r="E162" s="1254"/>
      <c r="F162" s="1254"/>
      <c r="G162" s="219"/>
    </row>
    <row r="163" spans="1:7" ht="13.7" customHeight="1">
      <c r="D163" s="35"/>
      <c r="E163" s="35"/>
      <c r="F163" s="35"/>
    </row>
    <row r="164" spans="1:7" ht="13.7" customHeight="1">
      <c r="B164" s="472" t="s">
        <v>313</v>
      </c>
      <c r="D164" s="1259" t="s">
        <v>1237</v>
      </c>
      <c r="E164" s="1259"/>
      <c r="F164" s="1259"/>
    </row>
    <row r="165" spans="1:7" ht="13.7" customHeight="1">
      <c r="D165" s="1259"/>
      <c r="E165" s="1259"/>
      <c r="F165" s="1259"/>
    </row>
    <row r="166" spans="1:7" ht="13.7" customHeight="1">
      <c r="D166" s="1259"/>
      <c r="E166" s="1259"/>
      <c r="F166" s="1259"/>
    </row>
    <row r="167" spans="1:7" ht="13.7" customHeight="1">
      <c r="A167" s="13"/>
      <c r="B167" s="13"/>
      <c r="E167" s="35"/>
      <c r="F167" s="35"/>
    </row>
    <row r="168" spans="1:7">
      <c r="A168" s="1260" t="s">
        <v>1131</v>
      </c>
      <c r="B168" s="1260"/>
      <c r="C168" s="1260"/>
      <c r="D168" s="1260"/>
      <c r="E168" s="1260"/>
      <c r="F168" s="1260"/>
      <c r="G168" s="1260"/>
    </row>
    <row r="169" spans="1:7" ht="12" customHeight="1">
      <c r="D169" s="35"/>
      <c r="E169" s="35"/>
      <c r="F169" s="35"/>
    </row>
    <row r="170" spans="1:7">
      <c r="B170" s="1277" t="s">
        <v>465</v>
      </c>
      <c r="C170" s="1277"/>
      <c r="D170" s="1277"/>
      <c r="E170" s="1277"/>
      <c r="F170" s="1277"/>
    </row>
    <row r="171" spans="1:7" ht="12" customHeight="1">
      <c r="A171" s="173"/>
      <c r="B171" s="173"/>
      <c r="C171" s="173"/>
    </row>
    <row r="172" spans="1:7">
      <c r="A172" s="1260" t="s">
        <v>1132</v>
      </c>
      <c r="B172" s="1260"/>
      <c r="C172" s="1260"/>
      <c r="D172" s="1260"/>
      <c r="E172" s="1260"/>
      <c r="F172" s="1260"/>
      <c r="G172" s="1260"/>
    </row>
    <row r="173" spans="1:7" ht="12" customHeight="1">
      <c r="A173" s="2"/>
      <c r="B173" s="2"/>
      <c r="E173" s="2"/>
    </row>
    <row r="174" spans="1:7" ht="13.15" customHeight="1">
      <c r="A174" s="2"/>
      <c r="B174" s="2"/>
      <c r="D174" s="1274" t="s">
        <v>1240</v>
      </c>
      <c r="E174" s="1274"/>
      <c r="F174" s="1274"/>
    </row>
    <row r="175" spans="1:7">
      <c r="A175" s="2"/>
      <c r="B175" s="2"/>
      <c r="D175" s="1274"/>
      <c r="E175" s="1274"/>
      <c r="F175" s="1274"/>
    </row>
    <row r="176" spans="1:7">
      <c r="A176" s="2"/>
      <c r="B176" s="2"/>
      <c r="D176" s="1275" t="s">
        <v>1241</v>
      </c>
      <c r="E176" s="1275"/>
      <c r="F176" s="1275"/>
    </row>
    <row r="177" spans="1:7" ht="12" customHeight="1">
      <c r="A177" s="2"/>
      <c r="B177" s="2"/>
      <c r="E177" s="2"/>
    </row>
    <row r="178" spans="1:7" ht="14.25">
      <c r="A178" s="177"/>
      <c r="B178" s="472" t="s">
        <v>313</v>
      </c>
      <c r="D178" s="1272" t="s">
        <v>1239</v>
      </c>
      <c r="E178" s="1272"/>
      <c r="F178" s="1272"/>
    </row>
    <row r="179" spans="1:7" ht="14.25">
      <c r="A179" s="177"/>
      <c r="B179" s="177"/>
      <c r="D179" s="1272"/>
      <c r="E179" s="1272"/>
      <c r="F179" s="1272"/>
    </row>
    <row r="180" spans="1:7" ht="14.25">
      <c r="A180" s="177"/>
      <c r="B180" s="177"/>
      <c r="D180" s="1272"/>
      <c r="E180" s="1272"/>
      <c r="F180" s="1272"/>
    </row>
    <row r="181" spans="1:7">
      <c r="D181" s="1272"/>
      <c r="E181" s="1272"/>
      <c r="F181" s="1272"/>
    </row>
    <row r="182" spans="1:7">
      <c r="D182" s="221"/>
    </row>
    <row r="183" spans="1:7">
      <c r="D183" s="1276" t="s">
        <v>1148</v>
      </c>
      <c r="E183" s="1276"/>
      <c r="F183" s="1276"/>
    </row>
    <row r="184" spans="1:7">
      <c r="D184" s="1276"/>
      <c r="E184" s="1276"/>
      <c r="F184" s="1276"/>
    </row>
    <row r="185" spans="1:7">
      <c r="D185" s="479"/>
      <c r="E185" s="479"/>
      <c r="F185" s="479"/>
    </row>
    <row r="186" spans="1:7" ht="14.25">
      <c r="A186" s="177"/>
      <c r="B186" s="472" t="s">
        <v>313</v>
      </c>
      <c r="C186" s="388"/>
      <c r="D186" s="1246" t="s">
        <v>1238</v>
      </c>
      <c r="E186" s="1246"/>
      <c r="F186" s="1246"/>
      <c r="G186" s="3"/>
    </row>
    <row r="187" spans="1:7" ht="14.45" customHeight="1">
      <c r="A187" s="177"/>
      <c r="B187"/>
      <c r="C187" s="388"/>
      <c r="D187" s="1246"/>
      <c r="E187" s="1246"/>
      <c r="F187" s="1246"/>
      <c r="G187" s="3"/>
    </row>
    <row r="188" spans="1:7" ht="14.25">
      <c r="A188" s="177"/>
      <c r="B188" s="388"/>
      <c r="C188" s="388"/>
      <c r="D188" s="1246"/>
      <c r="E188" s="1246"/>
      <c r="F188" s="1246"/>
      <c r="G188" s="3"/>
    </row>
    <row r="189" spans="1:7" ht="14.25">
      <c r="A189" s="177"/>
      <c r="B189" s="388"/>
      <c r="C189" s="388"/>
      <c r="D189" s="1246"/>
      <c r="E189" s="1246"/>
      <c r="F189" s="1246"/>
      <c r="G189" s="3"/>
    </row>
    <row r="190" spans="1:7">
      <c r="D190" s="479"/>
      <c r="E190" s="479"/>
      <c r="F190" s="479"/>
    </row>
    <row r="191" spans="1:7">
      <c r="A191" s="1260" t="s">
        <v>1133</v>
      </c>
      <c r="B191" s="1260"/>
      <c r="C191" s="1260"/>
      <c r="D191" s="1260"/>
      <c r="E191" s="1260"/>
      <c r="F191" s="1260"/>
      <c r="G191" s="1260"/>
    </row>
    <row r="192" spans="1:7" ht="12" customHeight="1">
      <c r="D192" s="35"/>
      <c r="E192" s="35"/>
      <c r="F192" s="35"/>
    </row>
    <row r="193" spans="1:6">
      <c r="C193" s="178"/>
      <c r="D193" s="1261" t="s">
        <v>214</v>
      </c>
      <c r="E193" s="1261"/>
      <c r="F193" s="1261"/>
    </row>
    <row r="194" spans="1:6">
      <c r="A194" s="173"/>
      <c r="B194" s="173"/>
      <c r="C194" s="173"/>
      <c r="D194" s="1256" t="s">
        <v>1262</v>
      </c>
      <c r="E194" s="1264"/>
      <c r="F194" s="1264"/>
    </row>
    <row r="195" spans="1:6" ht="12" customHeight="1">
      <c r="A195" s="13"/>
      <c r="B195" s="13"/>
      <c r="C195" s="13"/>
    </row>
    <row r="196" spans="1:6" ht="13.15" customHeight="1">
      <c r="A196" s="13"/>
      <c r="C196" s="13"/>
      <c r="D196" s="1261" t="s">
        <v>572</v>
      </c>
      <c r="E196" s="1261"/>
      <c r="F196" s="1261"/>
    </row>
    <row r="197" spans="1:6" ht="14.25">
      <c r="A197" s="177"/>
      <c r="B197" s="472" t="s">
        <v>313</v>
      </c>
      <c r="D197" s="1246" t="s">
        <v>1256</v>
      </c>
      <c r="E197" s="1246"/>
      <c r="F197" s="1246"/>
    </row>
    <row r="198" spans="1:6" ht="14.25">
      <c r="A198" s="177"/>
      <c r="B198" s="177"/>
      <c r="D198" s="1246"/>
      <c r="E198" s="1246"/>
      <c r="F198" s="1246"/>
    </row>
    <row r="199" spans="1:6"/>
    <row r="200" spans="1:6" ht="14.25">
      <c r="A200" s="177"/>
      <c r="B200" s="472" t="s">
        <v>313</v>
      </c>
      <c r="D200" s="1246" t="s">
        <v>1257</v>
      </c>
      <c r="E200" s="1246"/>
      <c r="F200" s="1246"/>
    </row>
    <row r="201" spans="1:6" ht="14.25">
      <c r="A201" s="177"/>
      <c r="B201" s="177"/>
      <c r="D201" s="1246"/>
      <c r="E201" s="1246"/>
      <c r="F201" s="1246"/>
    </row>
    <row r="202" spans="1:6" ht="14.25">
      <c r="A202" s="177"/>
      <c r="B202" s="177"/>
      <c r="D202" s="1246"/>
      <c r="E202" s="1246"/>
      <c r="F202" s="1246"/>
    </row>
    <row r="203" spans="1:6" ht="5.0999999999999996" customHeight="1">
      <c r="A203" s="177"/>
      <c r="B203" s="177"/>
      <c r="D203" s="35"/>
      <c r="E203" s="35"/>
      <c r="F203" s="35"/>
    </row>
    <row r="204" spans="1:6" ht="14.25">
      <c r="A204" s="177"/>
      <c r="B204" s="177"/>
      <c r="D204" s="1246" t="s">
        <v>1258</v>
      </c>
      <c r="E204" s="1246"/>
      <c r="F204" s="1246"/>
    </row>
    <row r="205" spans="1:6" ht="14.25">
      <c r="A205" s="177"/>
      <c r="B205" s="177"/>
      <c r="D205" s="1246"/>
      <c r="E205" s="1246"/>
      <c r="F205" s="1246"/>
    </row>
    <row r="206" spans="1:6" ht="14.25">
      <c r="A206" s="177"/>
      <c r="B206" s="177"/>
      <c r="D206" s="1246"/>
      <c r="E206" s="1246"/>
      <c r="F206" s="1246"/>
    </row>
    <row r="207" spans="1:6" ht="14.25">
      <c r="A207" s="177"/>
      <c r="B207" s="177"/>
      <c r="D207" s="1246"/>
      <c r="E207" s="1246"/>
      <c r="F207" s="1246"/>
    </row>
    <row r="208" spans="1:6" ht="14.25">
      <c r="A208" s="177"/>
      <c r="B208" s="177"/>
      <c r="D208" s="1246"/>
      <c r="E208" s="1246"/>
      <c r="F208" s="1246"/>
    </row>
    <row r="209" spans="1:7" ht="14.25">
      <c r="A209" s="177"/>
      <c r="B209" s="177"/>
      <c r="D209" s="35"/>
      <c r="E209" s="35"/>
      <c r="F209" s="35"/>
    </row>
    <row r="210" spans="1:7" ht="14.25">
      <c r="A210" s="177"/>
      <c r="B210" s="472" t="s">
        <v>313</v>
      </c>
      <c r="D210" s="1246" t="s">
        <v>1259</v>
      </c>
      <c r="E210" s="1246"/>
      <c r="F210" s="1246"/>
    </row>
    <row r="211" spans="1:7" ht="14.25">
      <c r="A211" s="177"/>
      <c r="B211" s="177"/>
      <c r="D211" s="1246"/>
      <c r="E211" s="1246"/>
      <c r="F211" s="1246"/>
    </row>
    <row r="212" spans="1:7" ht="14.25">
      <c r="A212" s="177"/>
      <c r="B212" s="177"/>
      <c r="D212" s="1277" t="s">
        <v>947</v>
      </c>
      <c r="E212" s="1277"/>
      <c r="F212" s="1277"/>
    </row>
    <row r="213" spans="1:7" ht="14.25">
      <c r="A213" s="177"/>
      <c r="B213" s="177"/>
      <c r="D213" s="35"/>
      <c r="E213" s="35"/>
      <c r="F213" s="35"/>
    </row>
    <row r="214" spans="1:7" ht="14.45" customHeight="1">
      <c r="A214" s="177"/>
      <c r="B214" s="472" t="s">
        <v>313</v>
      </c>
      <c r="D214" s="1246" t="s">
        <v>1261</v>
      </c>
      <c r="E214" s="1246"/>
      <c r="F214" s="1246"/>
    </row>
    <row r="215" spans="1:7" ht="14.25">
      <c r="A215" s="177"/>
      <c r="B215" s="177"/>
      <c r="D215" s="1246"/>
      <c r="E215" s="1246"/>
      <c r="F215" s="1246"/>
    </row>
    <row r="216" spans="1:7" ht="14.25">
      <c r="A216" s="177"/>
      <c r="B216" s="177"/>
      <c r="D216" s="1246"/>
      <c r="E216" s="1246"/>
      <c r="F216" s="1246"/>
    </row>
    <row r="217" spans="1:7" ht="14.25">
      <c r="A217" s="177"/>
      <c r="B217" s="177"/>
      <c r="D217" s="1246"/>
      <c r="E217" s="1246"/>
      <c r="F217" s="1246"/>
    </row>
    <row r="218" spans="1:7" ht="14.25">
      <c r="A218" s="177"/>
      <c r="B218" s="177"/>
      <c r="D218" s="1246"/>
      <c r="E218" s="1246"/>
      <c r="F218" s="1246"/>
    </row>
    <row r="219" spans="1:7">
      <c r="D219" s="35"/>
      <c r="E219" s="35"/>
      <c r="F219" s="35"/>
    </row>
    <row r="220" spans="1:7" ht="14.25">
      <c r="A220" s="177"/>
      <c r="B220" s="472" t="s">
        <v>313</v>
      </c>
      <c r="D220" s="1246" t="s">
        <v>1260</v>
      </c>
      <c r="E220" s="1246"/>
      <c r="F220" s="1246"/>
    </row>
    <row r="221" spans="1:7" ht="14.25">
      <c r="A221" s="177"/>
      <c r="B221" s="177"/>
      <c r="D221" s="1246"/>
      <c r="E221" s="1246"/>
      <c r="F221" s="1246"/>
    </row>
    <row r="222" spans="1:7">
      <c r="D222" s="19"/>
    </row>
    <row r="223" spans="1:7">
      <c r="A223" s="1260" t="s">
        <v>1134</v>
      </c>
      <c r="B223" s="1260"/>
      <c r="C223" s="1260"/>
      <c r="D223" s="1260"/>
      <c r="E223" s="1260"/>
      <c r="F223" s="1260"/>
      <c r="G223" s="1260"/>
    </row>
    <row r="224" spans="1:7">
      <c r="D224" s="19"/>
    </row>
    <row r="225" spans="1:6">
      <c r="C225" s="178"/>
      <c r="D225" s="1261" t="s">
        <v>1263</v>
      </c>
      <c r="E225" s="1261"/>
      <c r="F225" s="1261"/>
    </row>
    <row r="226" spans="1:6">
      <c r="A226" s="173"/>
      <c r="B226" s="173"/>
      <c r="C226" s="173"/>
      <c r="D226" s="35"/>
      <c r="E226" s="35"/>
      <c r="F226" s="35"/>
    </row>
    <row r="227" spans="1:6">
      <c r="A227" s="176"/>
      <c r="B227" s="176"/>
      <c r="C227" s="176"/>
      <c r="D227" s="1261" t="s">
        <v>275</v>
      </c>
      <c r="E227" s="1261"/>
      <c r="F227" s="1261"/>
    </row>
    <row r="228" spans="1:6" ht="14.25">
      <c r="A228" s="177"/>
      <c r="B228" s="472" t="s">
        <v>313</v>
      </c>
      <c r="D228" s="1263" t="s">
        <v>1264</v>
      </c>
      <c r="E228" s="1263"/>
      <c r="F228" s="1263"/>
    </row>
    <row r="229" spans="1:6" ht="14.25">
      <c r="A229" s="177"/>
      <c r="B229" s="177"/>
      <c r="D229" s="1263"/>
      <c r="E229" s="1263"/>
      <c r="F229" s="1263"/>
    </row>
    <row r="230" spans="1:6">
      <c r="D230" s="35"/>
      <c r="E230" s="35"/>
      <c r="F230" s="35"/>
    </row>
    <row r="231" spans="1:6" ht="14.45" customHeight="1">
      <c r="A231" s="177"/>
      <c r="B231" s="472" t="s">
        <v>313</v>
      </c>
      <c r="D231" s="1246" t="s">
        <v>1265</v>
      </c>
      <c r="E231" s="1246"/>
      <c r="F231" s="1246"/>
    </row>
    <row r="232" spans="1:6">
      <c r="D232" s="1246"/>
      <c r="E232" s="1246"/>
      <c r="F232" s="1246"/>
    </row>
    <row r="233" spans="1:6">
      <c r="D233" s="1264" t="s">
        <v>938</v>
      </c>
      <c r="E233" s="1264"/>
      <c r="F233" s="1264"/>
    </row>
    <row r="234" spans="1:6">
      <c r="D234" s="35"/>
      <c r="E234" s="35"/>
      <c r="F234" s="35"/>
    </row>
    <row r="235" spans="1:6" ht="14.45" customHeight="1">
      <c r="A235" s="177"/>
      <c r="B235" s="472" t="s">
        <v>313</v>
      </c>
      <c r="D235" s="1246" t="s">
        <v>1267</v>
      </c>
      <c r="E235" s="1246"/>
      <c r="F235" s="1246"/>
    </row>
    <row r="236" spans="1:6">
      <c r="D236" s="1246"/>
      <c r="E236" s="1246"/>
      <c r="F236" s="1246"/>
    </row>
    <row r="237" spans="1:6">
      <c r="D237" s="1246"/>
      <c r="E237" s="1246"/>
      <c r="F237" s="1246"/>
    </row>
    <row r="238" spans="1:6">
      <c r="D238" s="1246"/>
      <c r="E238" s="1246"/>
      <c r="F238" s="1246"/>
    </row>
    <row r="239" spans="1:6">
      <c r="D239" s="1246"/>
      <c r="E239" s="1246"/>
      <c r="F239" s="1246"/>
    </row>
    <row r="240" spans="1:6">
      <c r="D240" s="35"/>
      <c r="E240" s="35"/>
      <c r="F240" s="35"/>
    </row>
    <row r="241" spans="1:7" ht="14.25">
      <c r="A241" s="177"/>
      <c r="B241" s="472" t="s">
        <v>313</v>
      </c>
      <c r="D241" s="1246" t="s">
        <v>1266</v>
      </c>
      <c r="E241" s="1246"/>
      <c r="F241" s="1246"/>
    </row>
    <row r="242" spans="1:7">
      <c r="D242" s="1246"/>
      <c r="E242" s="1246"/>
      <c r="F242" s="1246"/>
    </row>
    <row r="243" spans="1:7">
      <c r="D243" s="1246"/>
      <c r="E243" s="1246"/>
      <c r="F243" s="1246"/>
    </row>
    <row r="244" spans="1:7">
      <c r="D244" s="179"/>
      <c r="E244" s="35"/>
      <c r="F244" s="35"/>
    </row>
    <row r="245" spans="1:7">
      <c r="A245" s="1260" t="s">
        <v>1135</v>
      </c>
      <c r="B245" s="1260"/>
      <c r="C245" s="1260"/>
      <c r="D245" s="1260"/>
      <c r="E245" s="1260"/>
      <c r="F245" s="1260"/>
      <c r="G245" s="1260"/>
    </row>
    <row r="246" spans="1:7">
      <c r="D246" s="179"/>
      <c r="E246" s="35"/>
      <c r="F246" s="35"/>
    </row>
    <row r="247" spans="1:7">
      <c r="C247" s="173"/>
      <c r="D247" s="1278" t="s">
        <v>1268</v>
      </c>
      <c r="E247" s="1278"/>
      <c r="F247" s="1278"/>
    </row>
    <row r="248" spans="1:7">
      <c r="C248" s="173"/>
      <c r="D248" s="1278"/>
      <c r="E248" s="1278"/>
      <c r="F248" s="1278"/>
    </row>
    <row r="249" spans="1:7">
      <c r="A249" s="176"/>
      <c r="B249" s="176"/>
      <c r="C249" s="176"/>
      <c r="D249" s="2"/>
      <c r="E249" s="3"/>
      <c r="F249" s="3"/>
    </row>
    <row r="250" spans="1:7">
      <c r="C250" s="176"/>
      <c r="D250" s="1261" t="s">
        <v>215</v>
      </c>
      <c r="E250" s="1261"/>
      <c r="F250" s="1261"/>
    </row>
    <row r="251" spans="1:7" ht="15.75" customHeight="1">
      <c r="A251" s="177"/>
      <c r="B251" s="177"/>
      <c r="D251" s="1267" t="s">
        <v>1269</v>
      </c>
      <c r="E251" s="1267"/>
      <c r="F251" s="1267"/>
    </row>
    <row r="252" spans="1:7">
      <c r="E252" s="35"/>
      <c r="F252" s="35"/>
    </row>
    <row r="253" spans="1:7" ht="14.25">
      <c r="A253" s="177"/>
      <c r="B253" s="472" t="s">
        <v>313</v>
      </c>
      <c r="D253" s="1246" t="s">
        <v>1270</v>
      </c>
      <c r="E253" s="1246"/>
      <c r="F253" s="1246"/>
    </row>
    <row r="254" spans="1:7" ht="14.25">
      <c r="A254" s="177"/>
      <c r="B254" s="177"/>
      <c r="D254" s="1246"/>
      <c r="E254" s="1246"/>
      <c r="F254" s="1246"/>
    </row>
    <row r="255" spans="1:7">
      <c r="D255" s="35"/>
      <c r="E255" s="35"/>
      <c r="F255" s="35"/>
    </row>
    <row r="256" spans="1:7" ht="14.25">
      <c r="A256" s="177"/>
      <c r="B256" s="472" t="s">
        <v>313</v>
      </c>
      <c r="D256" s="1246" t="s">
        <v>1271</v>
      </c>
      <c r="E256" s="1246"/>
      <c r="F256" s="1246"/>
    </row>
    <row r="257" spans="1:7" ht="14.25">
      <c r="A257" s="177"/>
      <c r="B257" s="177"/>
      <c r="D257" s="1246"/>
      <c r="E257" s="1246"/>
      <c r="F257" s="1246"/>
    </row>
    <row r="258" spans="1:7" ht="14.25">
      <c r="A258" s="177"/>
      <c r="B258" s="177"/>
      <c r="D258" s="1246"/>
      <c r="E258" s="1246"/>
      <c r="F258" s="1246"/>
    </row>
    <row r="259" spans="1:7">
      <c r="D259" s="35"/>
      <c r="E259" s="35"/>
      <c r="F259" s="35"/>
    </row>
    <row r="260" spans="1:7" ht="14.25">
      <c r="A260" s="177"/>
      <c r="B260" s="472" t="s">
        <v>313</v>
      </c>
      <c r="D260" s="1246" t="s">
        <v>1272</v>
      </c>
      <c r="E260" s="1246"/>
      <c r="F260" s="1246"/>
    </row>
    <row r="261" spans="1:7" ht="14.25">
      <c r="A261" s="177"/>
      <c r="B261" s="177"/>
      <c r="D261" s="1246"/>
      <c r="E261" s="1246"/>
      <c r="F261" s="1246"/>
    </row>
    <row r="262" spans="1:7">
      <c r="A262" s="13"/>
      <c r="B262" s="13"/>
      <c r="E262" s="35"/>
      <c r="F262" s="35"/>
    </row>
    <row r="263" spans="1:7">
      <c r="A263" s="1260" t="s">
        <v>1136</v>
      </c>
      <c r="B263" s="1260"/>
      <c r="C263" s="1260"/>
      <c r="D263" s="1260"/>
      <c r="E263" s="1260"/>
      <c r="F263" s="1260"/>
      <c r="G263" s="1260"/>
    </row>
    <row r="264" spans="1:7">
      <c r="A264" s="13"/>
      <c r="B264" s="13"/>
      <c r="D264" s="35"/>
      <c r="E264" s="35"/>
      <c r="F264" s="35"/>
    </row>
    <row r="265" spans="1:7">
      <c r="C265" s="13"/>
      <c r="D265" s="1261" t="s">
        <v>709</v>
      </c>
      <c r="E265" s="1261"/>
      <c r="F265" s="1261"/>
    </row>
    <row r="266" spans="1:7">
      <c r="C266" s="13"/>
      <c r="D266" s="1256" t="s">
        <v>1273</v>
      </c>
      <c r="E266" s="1256"/>
      <c r="F266" s="1256"/>
    </row>
    <row r="267" spans="1:7">
      <c r="C267" s="13"/>
      <c r="D267" s="174"/>
    </row>
    <row r="268" spans="1:7">
      <c r="B268" s="472" t="s">
        <v>313</v>
      </c>
      <c r="D268" s="1256" t="s">
        <v>1274</v>
      </c>
      <c r="E268" s="1256"/>
      <c r="F268" s="1256"/>
    </row>
    <row r="269" spans="1:7" ht="14.25">
      <c r="A269" s="177"/>
      <c r="B269" s="177"/>
      <c r="D269" s="344"/>
      <c r="E269" s="345"/>
      <c r="F269" s="345"/>
    </row>
    <row r="270" spans="1:7" ht="13.15" customHeight="1">
      <c r="B270" s="472" t="s">
        <v>313</v>
      </c>
      <c r="D270" s="1265" t="s">
        <v>1275</v>
      </c>
      <c r="E270" s="1265"/>
      <c r="F270" s="1265"/>
    </row>
    <row r="271" spans="1:7" ht="14.25">
      <c r="A271" s="177"/>
      <c r="B271" s="177"/>
      <c r="D271" s="1265"/>
      <c r="E271" s="1265"/>
      <c r="F271" s="1265"/>
    </row>
    <row r="272" spans="1:7" ht="14.25">
      <c r="A272" s="177"/>
      <c r="B272" s="177"/>
      <c r="D272" s="1265"/>
      <c r="E272" s="1265"/>
      <c r="F272" s="1265"/>
    </row>
    <row r="273" spans="1:6" ht="14.25">
      <c r="A273" s="177"/>
      <c r="B273" s="177"/>
      <c r="D273" s="1265"/>
      <c r="E273" s="1265"/>
      <c r="F273" s="1265"/>
    </row>
    <row r="274" spans="1:6" ht="14.25">
      <c r="A274" s="177"/>
      <c r="B274" s="177"/>
      <c r="D274" s="1265"/>
      <c r="E274" s="1265"/>
      <c r="F274" s="1265"/>
    </row>
    <row r="275" spans="1:6" ht="14.25">
      <c r="A275" s="177"/>
      <c r="B275" s="177"/>
      <c r="D275" s="344"/>
      <c r="E275" s="345"/>
      <c r="F275" s="345"/>
    </row>
    <row r="276" spans="1:6" ht="13.15" customHeight="1">
      <c r="B276" s="472" t="s">
        <v>313</v>
      </c>
      <c r="D276" s="1265" t="s">
        <v>1276</v>
      </c>
      <c r="E276" s="1265"/>
      <c r="F276" s="1265"/>
    </row>
    <row r="277" spans="1:6">
      <c r="D277" s="1265"/>
      <c r="E277" s="1265"/>
      <c r="F277" s="1265"/>
    </row>
    <row r="278" spans="1:6" ht="14.25">
      <c r="A278" s="177"/>
      <c r="B278" s="177"/>
      <c r="D278" s="344"/>
      <c r="E278" s="345"/>
      <c r="F278" s="345"/>
    </row>
    <row r="279" spans="1:6">
      <c r="B279" s="472" t="s">
        <v>313</v>
      </c>
      <c r="D279" s="1256" t="s">
        <v>1277</v>
      </c>
      <c r="E279" s="1256"/>
      <c r="F279" s="1256"/>
    </row>
    <row r="280" spans="1:6">
      <c r="E280" s="35"/>
      <c r="F280" s="35"/>
    </row>
    <row r="281" spans="1:6" ht="14.25">
      <c r="A281" s="177"/>
      <c r="B281" s="472" t="s">
        <v>313</v>
      </c>
      <c r="D281" s="1246" t="s">
        <v>1278</v>
      </c>
      <c r="E281" s="1246"/>
      <c r="F281" s="1246"/>
    </row>
    <row r="282" spans="1:6" ht="14.25">
      <c r="A282" s="177"/>
      <c r="B282" s="177"/>
      <c r="D282" s="1246"/>
      <c r="E282" s="1246"/>
      <c r="F282" s="1246"/>
    </row>
    <row r="283" spans="1:6" ht="14.25">
      <c r="A283" s="177"/>
      <c r="B283" s="177"/>
      <c r="D283" s="1246"/>
      <c r="E283" s="1246"/>
      <c r="F283" s="1246"/>
    </row>
    <row r="284" spans="1:6" ht="14.25">
      <c r="A284" s="177"/>
      <c r="B284" s="177"/>
      <c r="D284" s="1246"/>
      <c r="E284" s="1246"/>
      <c r="F284" s="1246"/>
    </row>
    <row r="285" spans="1:6" ht="14.25">
      <c r="A285" s="177"/>
      <c r="B285" s="177"/>
      <c r="D285" s="1246"/>
      <c r="E285" s="1246"/>
      <c r="F285" s="1246"/>
    </row>
    <row r="286" spans="1:6" ht="14.25">
      <c r="A286" s="177"/>
      <c r="B286" s="177"/>
      <c r="D286" s="1246"/>
      <c r="E286" s="1246"/>
      <c r="F286" s="1246"/>
    </row>
    <row r="287" spans="1:6" ht="14.25">
      <c r="A287" s="177"/>
      <c r="B287" s="177"/>
      <c r="D287" s="1246"/>
      <c r="E287" s="1246"/>
      <c r="F287" s="1246"/>
    </row>
    <row r="288" spans="1:6" ht="14.25">
      <c r="A288" s="177"/>
      <c r="B288" s="177"/>
      <c r="D288" s="1246"/>
      <c r="E288" s="1246"/>
      <c r="F288" s="1246"/>
    </row>
    <row r="289" spans="1:6" ht="14.25">
      <c r="A289" s="177"/>
      <c r="B289" s="177"/>
      <c r="D289" s="1246"/>
      <c r="E289" s="1246"/>
      <c r="F289" s="1246"/>
    </row>
    <row r="290" spans="1:6" ht="14.25">
      <c r="A290" s="177"/>
      <c r="B290" s="177"/>
      <c r="D290" s="1246"/>
      <c r="E290" s="1246"/>
      <c r="F290" s="1246"/>
    </row>
    <row r="291" spans="1:6" ht="14.25">
      <c r="A291" s="177"/>
      <c r="B291" s="177"/>
      <c r="D291" s="1246"/>
      <c r="E291" s="1246"/>
      <c r="F291" s="1246"/>
    </row>
    <row r="292" spans="1:6" ht="14.25">
      <c r="A292" s="177"/>
      <c r="B292" s="177"/>
      <c r="D292" s="1246"/>
      <c r="E292" s="1246"/>
      <c r="F292" s="1246"/>
    </row>
    <row r="293" spans="1:6" ht="14.25">
      <c r="A293" s="177"/>
      <c r="B293" s="177"/>
      <c r="D293" s="1246"/>
      <c r="E293" s="1246"/>
      <c r="F293" s="1246"/>
    </row>
    <row r="294" spans="1:6" ht="14.25">
      <c r="A294" s="177"/>
      <c r="B294" s="177"/>
      <c r="D294" s="1246"/>
      <c r="E294" s="1246"/>
      <c r="F294" s="1246"/>
    </row>
    <row r="295" spans="1:6" ht="14.25">
      <c r="A295" s="177"/>
      <c r="B295" s="177"/>
      <c r="D295" s="1246"/>
      <c r="E295" s="1246"/>
      <c r="F295" s="1246"/>
    </row>
    <row r="296" spans="1:6">
      <c r="D296" s="35"/>
      <c r="E296" s="35"/>
      <c r="F296" s="35"/>
    </row>
    <row r="297" spans="1:6" ht="14.25">
      <c r="A297" s="177"/>
      <c r="B297" s="472" t="s">
        <v>313</v>
      </c>
      <c r="D297" s="1246" t="s">
        <v>1279</v>
      </c>
      <c r="E297" s="1246"/>
      <c r="F297" s="1246"/>
    </row>
    <row r="298" spans="1:6">
      <c r="D298" s="1246"/>
      <c r="E298" s="1246"/>
      <c r="F298" s="1246"/>
    </row>
    <row r="299" spans="1:6">
      <c r="D299" s="1246"/>
      <c r="E299" s="1246"/>
      <c r="F299" s="1246"/>
    </row>
    <row r="300" spans="1:6">
      <c r="D300" s="1246"/>
      <c r="E300" s="1246"/>
      <c r="F300" s="1246"/>
    </row>
    <row r="301" spans="1:6">
      <c r="D301" s="1246"/>
      <c r="E301" s="1246"/>
      <c r="F301" s="1246"/>
    </row>
    <row r="302" spans="1:6">
      <c r="D302" s="1246"/>
      <c r="E302" s="1246"/>
      <c r="F302" s="1246"/>
    </row>
    <row r="303" spans="1:6">
      <c r="D303" s="1246"/>
      <c r="E303" s="1246"/>
      <c r="F303" s="1246"/>
    </row>
    <row r="304" spans="1:6">
      <c r="D304" s="1246"/>
      <c r="E304" s="1246"/>
      <c r="F304" s="1246"/>
    </row>
    <row r="305" spans="1:7">
      <c r="D305" s="1246"/>
      <c r="E305" s="1246"/>
      <c r="F305" s="1246"/>
    </row>
    <row r="306" spans="1:7">
      <c r="D306" s="35"/>
      <c r="E306" s="35"/>
      <c r="F306" s="35"/>
    </row>
    <row r="307" spans="1:7" ht="14.25">
      <c r="A307" s="177"/>
      <c r="B307" s="472" t="s">
        <v>313</v>
      </c>
      <c r="D307" s="1246" t="s">
        <v>1280</v>
      </c>
      <c r="E307" s="1246"/>
      <c r="F307" s="1246"/>
    </row>
    <row r="308" spans="1:7">
      <c r="D308" s="1246"/>
      <c r="E308" s="1246"/>
      <c r="F308" s="1246"/>
      <c r="G308"/>
    </row>
    <row r="309" spans="1:7">
      <c r="D309" s="1246"/>
      <c r="E309" s="1246"/>
      <c r="F309" s="1246"/>
      <c r="G309"/>
    </row>
    <row r="310" spans="1:7">
      <c r="D310" s="1246"/>
      <c r="E310" s="1246"/>
      <c r="F310" s="1246"/>
      <c r="G310"/>
    </row>
    <row r="311" spans="1:7">
      <c r="D311" s="1246"/>
      <c r="E311" s="1246"/>
      <c r="F311" s="1246"/>
      <c r="G311"/>
    </row>
    <row r="312" spans="1:7">
      <c r="D312" s="1246"/>
      <c r="E312" s="1246"/>
      <c r="F312" s="1246"/>
      <c r="G312"/>
    </row>
    <row r="313" spans="1:7">
      <c r="D313" s="478"/>
      <c r="E313" s="478"/>
      <c r="F313" s="478"/>
      <c r="G313"/>
    </row>
    <row r="314" spans="1:7" ht="13.5" thickBot="1">
      <c r="D314" s="1268" t="s">
        <v>1039</v>
      </c>
      <c r="E314" s="1268"/>
      <c r="F314" s="1268"/>
      <c r="G314"/>
    </row>
    <row r="315" spans="1:7" ht="13.5" thickTop="1">
      <c r="D315" s="1269" t="s">
        <v>1281</v>
      </c>
      <c r="E315" s="1269"/>
      <c r="F315" s="1269"/>
      <c r="G315"/>
    </row>
    <row r="316" spans="1:7">
      <c r="A316" s="219"/>
      <c r="B316" s="219"/>
      <c r="C316" s="219"/>
      <c r="D316" s="221"/>
      <c r="E316" s="221"/>
      <c r="F316" s="35"/>
      <c r="G316"/>
    </row>
    <row r="317" spans="1:7" ht="14.25">
      <c r="A317" s="177"/>
      <c r="B317" s="472" t="s">
        <v>313</v>
      </c>
      <c r="C317" s="219"/>
      <c r="D317" s="1258" t="s">
        <v>1282</v>
      </c>
      <c r="E317" s="1258"/>
      <c r="F317" s="1258"/>
      <c r="G317"/>
    </row>
    <row r="318" spans="1:7">
      <c r="A318" s="219"/>
      <c r="B318" s="219"/>
      <c r="C318" s="219"/>
      <c r="D318" s="221"/>
      <c r="E318" s="221"/>
      <c r="F318" s="35"/>
      <c r="G318"/>
    </row>
    <row r="319" spans="1:7">
      <c r="A319" s="219"/>
      <c r="B319" s="472" t="s">
        <v>313</v>
      </c>
      <c r="C319" s="219"/>
      <c r="D319" s="1254" t="s">
        <v>1283</v>
      </c>
      <c r="E319" s="1254"/>
      <c r="F319" s="1254"/>
      <c r="G319"/>
    </row>
    <row r="320" spans="1:7">
      <c r="A320" s="219"/>
      <c r="B320" s="219"/>
      <c r="C320" s="219"/>
      <c r="D320" s="1254"/>
      <c r="E320" s="1254"/>
      <c r="F320" s="1254"/>
      <c r="G320"/>
    </row>
    <row r="321" spans="1:7">
      <c r="A321" s="219"/>
      <c r="B321" s="219"/>
      <c r="C321" s="219"/>
      <c r="D321" s="1254"/>
      <c r="E321" s="1254"/>
      <c r="F321" s="1254"/>
      <c r="G321"/>
    </row>
    <row r="322" spans="1:7">
      <c r="A322" s="219"/>
      <c r="B322" s="219"/>
      <c r="C322" s="219"/>
      <c r="D322" s="1254"/>
      <c r="E322" s="1254"/>
      <c r="F322" s="1254"/>
      <c r="G322"/>
    </row>
    <row r="323" spans="1:7">
      <c r="A323" s="219"/>
      <c r="B323" s="219"/>
      <c r="C323" s="219"/>
      <c r="D323" s="1254"/>
      <c r="E323" s="1254"/>
      <c r="F323" s="1254"/>
      <c r="G323"/>
    </row>
    <row r="324" spans="1:7">
      <c r="A324" s="219"/>
      <c r="B324" s="219"/>
      <c r="C324" s="219"/>
      <c r="D324" s="1254"/>
      <c r="E324" s="1254"/>
      <c r="F324" s="1254"/>
      <c r="G324"/>
    </row>
    <row r="325" spans="1:7">
      <c r="A325" s="219"/>
      <c r="B325" s="219"/>
      <c r="C325" s="219"/>
      <c r="D325" s="1254"/>
      <c r="E325" s="1254"/>
      <c r="F325" s="1254"/>
      <c r="G325"/>
    </row>
    <row r="326" spans="1:7">
      <c r="A326" s="219"/>
      <c r="B326" s="219"/>
      <c r="C326" s="219"/>
      <c r="D326" s="1254"/>
      <c r="E326" s="1254"/>
      <c r="F326" s="1254"/>
      <c r="G326"/>
    </row>
    <row r="327" spans="1:7">
      <c r="A327" s="219"/>
      <c r="B327" s="219"/>
      <c r="C327" s="219"/>
      <c r="D327" s="1254"/>
      <c r="E327" s="1254"/>
      <c r="F327" s="1254"/>
      <c r="G327"/>
    </row>
    <row r="328" spans="1:7">
      <c r="A328" s="219"/>
      <c r="B328" s="219"/>
      <c r="C328" s="219"/>
      <c r="D328" s="1254"/>
      <c r="E328" s="1254"/>
      <c r="F328" s="1254"/>
      <c r="G328"/>
    </row>
    <row r="329" spans="1:7">
      <c r="A329" s="219"/>
      <c r="B329" s="219"/>
      <c r="C329" s="219"/>
      <c r="D329" s="1254"/>
      <c r="E329" s="1254"/>
      <c r="F329" s="1254"/>
      <c r="G329"/>
    </row>
    <row r="330" spans="1:7">
      <c r="A330" s="219"/>
      <c r="B330" s="219"/>
      <c r="C330" s="219"/>
      <c r="D330"/>
      <c r="E330" s="221"/>
      <c r="F330" s="35"/>
      <c r="G330"/>
    </row>
    <row r="331" spans="1:7" ht="14.25">
      <c r="A331" s="177"/>
      <c r="B331" s="472" t="s">
        <v>313</v>
      </c>
      <c r="C331" s="219"/>
      <c r="D331" s="1254" t="s">
        <v>1284</v>
      </c>
      <c r="E331" s="1254"/>
      <c r="F331" s="1254"/>
      <c r="G331"/>
    </row>
    <row r="332" spans="1:7">
      <c r="A332" s="219"/>
      <c r="B332" s="219"/>
      <c r="C332" s="219"/>
      <c r="D332" s="1254"/>
      <c r="E332" s="1254"/>
      <c r="F332" s="1254"/>
      <c r="G332"/>
    </row>
    <row r="333" spans="1:7">
      <c r="A333" s="219"/>
      <c r="B333" s="219"/>
      <c r="C333" s="219"/>
      <c r="D333" s="1254"/>
      <c r="E333" s="1254"/>
      <c r="F333" s="1254"/>
      <c r="G333"/>
    </row>
    <row r="334" spans="1:7">
      <c r="A334" s="219"/>
      <c r="B334" s="219"/>
      <c r="C334" s="219"/>
      <c r="D334" s="1254"/>
      <c r="E334" s="1254"/>
      <c r="F334" s="1254"/>
      <c r="G334"/>
    </row>
    <row r="335" spans="1:7">
      <c r="A335" s="219"/>
      <c r="B335" s="219"/>
      <c r="C335" s="219"/>
      <c r="D335" s="221"/>
      <c r="E335" s="221"/>
      <c r="F335" s="35"/>
      <c r="G335"/>
    </row>
    <row r="336" spans="1:7">
      <c r="A336" s="219"/>
      <c r="B336" s="219"/>
      <c r="C336" s="219"/>
      <c r="D336" s="1254" t="s">
        <v>1285</v>
      </c>
      <c r="E336" s="1254"/>
      <c r="F336" s="1254"/>
      <c r="G336"/>
    </row>
    <row r="337" spans="1:7">
      <c r="A337" s="219"/>
      <c r="B337" s="219"/>
      <c r="C337" s="219"/>
      <c r="D337" s="1254"/>
      <c r="E337" s="1254"/>
      <c r="F337" s="1254"/>
      <c r="G337"/>
    </row>
    <row r="338" spans="1:7">
      <c r="A338" s="219"/>
      <c r="B338" s="219"/>
      <c r="C338" s="219"/>
      <c r="D338" s="1254"/>
      <c r="E338" s="1254"/>
      <c r="F338" s="1254"/>
      <c r="G338"/>
    </row>
    <row r="339" spans="1:7">
      <c r="A339" s="219"/>
      <c r="B339" s="219"/>
      <c r="C339" s="219"/>
      <c r="D339" s="1254"/>
      <c r="E339" s="1254"/>
      <c r="F339" s="1254"/>
      <c r="G339"/>
    </row>
    <row r="340" spans="1:7" ht="18" customHeight="1">
      <c r="A340" s="219"/>
      <c r="B340" s="219"/>
      <c r="C340" s="219"/>
      <c r="D340" s="1254"/>
      <c r="E340" s="1254"/>
      <c r="F340" s="1254"/>
      <c r="G340"/>
    </row>
    <row r="341" spans="1:7">
      <c r="A341" s="219"/>
      <c r="B341" s="219"/>
      <c r="C341" s="219"/>
      <c r="D341" s="1254"/>
      <c r="E341" s="1254"/>
      <c r="F341" s="1254"/>
      <c r="G341"/>
    </row>
    <row r="342" spans="1:7">
      <c r="A342" s="219"/>
      <c r="B342" s="219"/>
      <c r="C342" s="219"/>
      <c r="D342" s="1254"/>
      <c r="E342" s="1254"/>
      <c r="F342" s="1254"/>
      <c r="G342"/>
    </row>
    <row r="343" spans="1:7">
      <c r="A343" s="219"/>
      <c r="B343" s="219"/>
      <c r="C343" s="219"/>
      <c r="D343" s="1254"/>
      <c r="E343" s="1254"/>
      <c r="F343" s="1254"/>
      <c r="G343"/>
    </row>
    <row r="344" spans="1:7" ht="8.25" customHeight="1">
      <c r="A344" s="219"/>
      <c r="B344" s="219"/>
      <c r="C344" s="219"/>
      <c r="D344" s="1254"/>
      <c r="E344" s="1254"/>
      <c r="F344" s="1254"/>
      <c r="G344"/>
    </row>
    <row r="345" spans="1:7" ht="13.15" customHeight="1">
      <c r="A345" s="219"/>
      <c r="B345" s="219"/>
      <c r="C345" s="219"/>
      <c r="D345" s="1254" t="s">
        <v>1286</v>
      </c>
      <c r="E345" s="1254"/>
      <c r="F345" s="1254"/>
      <c r="G345"/>
    </row>
    <row r="346" spans="1:7">
      <c r="A346" s="219"/>
      <c r="B346" s="219"/>
      <c r="C346" s="219"/>
      <c r="D346" s="1254"/>
      <c r="E346" s="1254"/>
      <c r="F346" s="1254"/>
      <c r="G346"/>
    </row>
    <row r="347" spans="1:7">
      <c r="A347" s="219"/>
      <c r="B347" s="219"/>
      <c r="C347" s="219"/>
      <c r="D347" s="1254"/>
      <c r="E347" s="1254"/>
      <c r="F347" s="1254"/>
      <c r="G347"/>
    </row>
    <row r="348" spans="1:7">
      <c r="A348" s="219"/>
      <c r="B348" s="219"/>
      <c r="C348" s="219"/>
      <c r="D348" s="1254"/>
      <c r="E348" s="1254"/>
      <c r="F348" s="1254"/>
      <c r="G348"/>
    </row>
    <row r="349" spans="1:7">
      <c r="A349" s="219"/>
      <c r="B349" s="219"/>
      <c r="C349" s="219"/>
      <c r="D349" s="1254"/>
      <c r="E349" s="1254"/>
      <c r="F349" s="1254"/>
      <c r="G349"/>
    </row>
    <row r="350" spans="1:7">
      <c r="A350" s="219"/>
      <c r="B350" s="219"/>
      <c r="C350" s="219"/>
      <c r="D350" s="1254"/>
      <c r="E350" s="1254"/>
      <c r="F350" s="1254"/>
      <c r="G350"/>
    </row>
    <row r="351" spans="1:7">
      <c r="A351" s="219"/>
      <c r="B351" s="219"/>
      <c r="C351" s="219"/>
      <c r="D351" s="1254"/>
      <c r="E351" s="1254"/>
      <c r="F351" s="1254"/>
      <c r="G351"/>
    </row>
    <row r="352" spans="1:7">
      <c r="A352" s="219"/>
      <c r="B352" s="219"/>
      <c r="C352" s="219"/>
      <c r="D352" s="1254"/>
      <c r="E352" s="1254"/>
      <c r="F352" s="1254"/>
      <c r="G352"/>
    </row>
    <row r="353" spans="1:7">
      <c r="A353" s="219"/>
      <c r="B353" s="219"/>
      <c r="C353" s="219"/>
      <c r="D353" s="1254"/>
      <c r="E353" s="1254"/>
      <c r="F353" s="1254"/>
      <c r="G353"/>
    </row>
    <row r="354" spans="1:7">
      <c r="A354" s="219"/>
      <c r="B354" s="219"/>
      <c r="C354" s="219"/>
      <c r="D354" s="1254"/>
      <c r="E354" s="1254"/>
      <c r="F354" s="1254"/>
      <c r="G354"/>
    </row>
    <row r="355" spans="1:7">
      <c r="A355" s="219"/>
      <c r="B355" s="219"/>
      <c r="C355" s="219"/>
      <c r="D355" s="1254"/>
      <c r="E355" s="1254"/>
      <c r="F355" s="1254"/>
      <c r="G355"/>
    </row>
    <row r="356" spans="1:7">
      <c r="A356" s="219"/>
      <c r="B356" s="219"/>
      <c r="C356" s="219"/>
      <c r="D356" s="1254"/>
      <c r="E356" s="1254"/>
      <c r="F356" s="1254"/>
      <c r="G356"/>
    </row>
    <row r="357" spans="1:7">
      <c r="A357" s="219"/>
      <c r="B357" s="219"/>
      <c r="C357" s="350"/>
      <c r="D357" s="1254"/>
      <c r="E357" s="1254"/>
      <c r="F357" s="1254"/>
      <c r="G357"/>
    </row>
    <row r="358" spans="1:7">
      <c r="A358" s="219"/>
      <c r="B358" s="219"/>
      <c r="C358" s="350"/>
      <c r="D358" s="1254"/>
      <c r="E358" s="1254"/>
      <c r="F358" s="1254"/>
      <c r="G358"/>
    </row>
    <row r="359" spans="1:7">
      <c r="A359" s="219"/>
      <c r="B359" s="219"/>
      <c r="C359" s="219"/>
      <c r="D359" s="1254"/>
      <c r="E359" s="1254"/>
      <c r="F359" s="1254"/>
      <c r="G359"/>
    </row>
    <row r="360" spans="1:7">
      <c r="A360" s="219"/>
      <c r="B360" s="219"/>
      <c r="C360" s="350"/>
      <c r="D360" s="1254"/>
      <c r="E360" s="1254"/>
      <c r="F360" s="1254"/>
      <c r="G360"/>
    </row>
    <row r="361" spans="1:7">
      <c r="A361" s="219"/>
      <c r="B361" s="219"/>
      <c r="C361" s="350"/>
      <c r="D361" s="1254"/>
      <c r="E361" s="1254"/>
      <c r="F361" s="1254"/>
      <c r="G361"/>
    </row>
    <row r="362" spans="1:7">
      <c r="A362" s="219"/>
      <c r="B362" s="219"/>
      <c r="C362" s="350"/>
      <c r="D362" s="1254"/>
      <c r="E362" s="1254"/>
      <c r="F362" s="1254"/>
      <c r="G362"/>
    </row>
    <row r="363" spans="1:7">
      <c r="A363" s="219"/>
      <c r="B363" s="219"/>
      <c r="C363" s="219"/>
      <c r="D363" s="221"/>
      <c r="E363" s="221"/>
      <c r="F363" s="35"/>
      <c r="G363"/>
    </row>
    <row r="364" spans="1:7">
      <c r="A364" s="219"/>
      <c r="B364" s="472" t="s">
        <v>313</v>
      </c>
      <c r="C364" s="219"/>
      <c r="D364" s="1254" t="s">
        <v>1287</v>
      </c>
      <c r="E364" s="1254"/>
      <c r="F364" s="1254"/>
      <c r="G364"/>
    </row>
    <row r="365" spans="1:7">
      <c r="A365" s="219"/>
      <c r="B365" s="219"/>
      <c r="C365" s="219"/>
      <c r="D365" s="1254"/>
      <c r="E365" s="1254"/>
      <c r="F365" s="1254"/>
      <c r="G365"/>
    </row>
    <row r="366" spans="1:7">
      <c r="A366" s="219"/>
      <c r="B366" s="219"/>
      <c r="C366" s="219"/>
      <c r="D366" s="221"/>
      <c r="E366" s="221"/>
      <c r="F366" s="35"/>
      <c r="G366"/>
    </row>
    <row r="367" spans="1:7" ht="14.25">
      <c r="A367" s="177"/>
      <c r="B367" s="472" t="s">
        <v>313</v>
      </c>
      <c r="C367" s="219"/>
      <c r="D367" s="1254" t="s">
        <v>1288</v>
      </c>
      <c r="E367" s="1254"/>
      <c r="F367" s="1254"/>
      <c r="G367"/>
    </row>
    <row r="368" spans="1:7" ht="14.25">
      <c r="A368" s="349"/>
      <c r="B368" s="349"/>
      <c r="C368" s="219"/>
      <c r="D368" s="1254"/>
      <c r="E368" s="1254"/>
      <c r="F368" s="1254"/>
      <c r="G368"/>
    </row>
    <row r="369" spans="1:7" ht="14.25">
      <c r="A369" s="349"/>
      <c r="B369" s="349"/>
      <c r="C369" s="219"/>
      <c r="D369" s="1254"/>
      <c r="E369" s="1254"/>
      <c r="F369" s="1254"/>
      <c r="G369"/>
    </row>
    <row r="370" spans="1:7" ht="14.25">
      <c r="A370" s="349"/>
      <c r="B370" s="349"/>
      <c r="C370" s="219"/>
      <c r="D370" s="1254"/>
      <c r="E370" s="1254"/>
      <c r="F370" s="1254"/>
      <c r="G370"/>
    </row>
    <row r="371" spans="1:7" ht="14.25">
      <c r="A371" s="349"/>
      <c r="B371" s="349"/>
      <c r="C371" s="219"/>
      <c r="D371" s="1254"/>
      <c r="E371" s="1254"/>
      <c r="F371" s="1254"/>
      <c r="G371"/>
    </row>
    <row r="372" spans="1:7">
      <c r="D372" s="35"/>
      <c r="E372" s="35"/>
      <c r="F372" s="35"/>
      <c r="G372"/>
    </row>
    <row r="373" spans="1:7" ht="14.25">
      <c r="A373" s="177"/>
      <c r="B373" s="472" t="s">
        <v>313</v>
      </c>
      <c r="C373" s="180"/>
      <c r="D373" s="1246" t="s">
        <v>1289</v>
      </c>
      <c r="E373" s="1246"/>
      <c r="F373" s="1246"/>
      <c r="G373"/>
    </row>
    <row r="374" spans="1:7" ht="14.25">
      <c r="A374" s="177"/>
      <c r="B374" s="177"/>
      <c r="D374" s="1246"/>
      <c r="E374" s="1246"/>
      <c r="F374" s="1246"/>
      <c r="G374"/>
    </row>
    <row r="375" spans="1:7">
      <c r="D375" s="1246"/>
      <c r="E375" s="1246"/>
      <c r="F375" s="1246"/>
      <c r="G375"/>
    </row>
    <row r="376" spans="1:7">
      <c r="D376" s="1246"/>
      <c r="E376" s="1246"/>
      <c r="F376" s="1246"/>
      <c r="G376"/>
    </row>
    <row r="377" spans="1:7">
      <c r="D377" s="1246"/>
      <c r="E377" s="1246"/>
      <c r="F377" s="1246"/>
      <c r="G377"/>
    </row>
    <row r="378" spans="1:7">
      <c r="D378" s="1246"/>
      <c r="E378" s="1246"/>
      <c r="F378" s="1246"/>
      <c r="G378"/>
    </row>
    <row r="379" spans="1:7">
      <c r="D379" s="1246"/>
      <c r="E379" s="1246"/>
      <c r="F379" s="1246"/>
      <c r="G379"/>
    </row>
    <row r="380" spans="1:7">
      <c r="D380" s="1246"/>
      <c r="E380" s="1246"/>
      <c r="F380" s="1246"/>
      <c r="G380"/>
    </row>
    <row r="381" spans="1:7">
      <c r="D381" s="1246"/>
      <c r="E381" s="1246"/>
      <c r="F381" s="1246"/>
      <c r="G381"/>
    </row>
    <row r="382" spans="1:7">
      <c r="D382" s="1246"/>
      <c r="E382" s="1246"/>
      <c r="F382" s="1246"/>
      <c r="G382"/>
    </row>
    <row r="383" spans="1:7">
      <c r="D383" s="1246"/>
      <c r="E383" s="1246"/>
      <c r="F383" s="1246"/>
      <c r="G383"/>
    </row>
    <row r="384" spans="1:7">
      <c r="D384" s="1246"/>
      <c r="E384" s="1246"/>
      <c r="F384" s="1246"/>
      <c r="G384"/>
    </row>
    <row r="385" spans="1:7">
      <c r="D385" s="1246"/>
      <c r="E385" s="1246"/>
      <c r="F385" s="1246"/>
      <c r="G385"/>
    </row>
    <row r="386" spans="1:7">
      <c r="A386"/>
      <c r="B386"/>
      <c r="C386"/>
      <c r="D386" s="1246"/>
      <c r="E386" s="1246"/>
      <c r="F386" s="1246"/>
      <c r="G386"/>
    </row>
    <row r="387" spans="1:7">
      <c r="A387"/>
      <c r="B387"/>
      <c r="C387"/>
      <c r="D387" s="1246"/>
      <c r="E387" s="1246"/>
      <c r="F387" s="1246"/>
      <c r="G387"/>
    </row>
    <row r="388" spans="1:7">
      <c r="A388"/>
      <c r="B388"/>
      <c r="C388"/>
      <c r="D388" s="1246"/>
      <c r="E388" s="1246"/>
      <c r="F388" s="1246"/>
      <c r="G388"/>
    </row>
    <row r="389" spans="1:7">
      <c r="A389"/>
      <c r="B389"/>
      <c r="C389"/>
      <c r="D389" s="1246"/>
      <c r="E389" s="1246"/>
      <c r="F389" s="1246"/>
      <c r="G389"/>
    </row>
    <row r="390" spans="1:7">
      <c r="A390"/>
      <c r="B390"/>
      <c r="C390"/>
      <c r="D390" s="1246"/>
      <c r="E390" s="1246"/>
      <c r="F390" s="1246"/>
      <c r="G390"/>
    </row>
    <row r="391" spans="1:7">
      <c r="A391"/>
      <c r="B391"/>
      <c r="C391"/>
      <c r="D391" s="1246"/>
      <c r="E391" s="1246"/>
      <c r="F391" s="1246"/>
      <c r="G391"/>
    </row>
    <row r="392" spans="1:7">
      <c r="A392"/>
      <c r="B392"/>
      <c r="C392"/>
      <c r="D392" s="1246"/>
      <c r="E392" s="1246"/>
      <c r="F392" s="1246"/>
      <c r="G392"/>
    </row>
    <row r="393" spans="1:7">
      <c r="A393"/>
      <c r="B393"/>
      <c r="C393"/>
      <c r="D393" s="1246"/>
      <c r="E393" s="1246"/>
      <c r="F393" s="1246"/>
      <c r="G393"/>
    </row>
    <row r="394" spans="1:7">
      <c r="A394"/>
      <c r="B394"/>
      <c r="C394"/>
      <c r="D394" s="1246"/>
      <c r="E394" s="1246"/>
      <c r="F394" s="1246"/>
      <c r="G394"/>
    </row>
    <row r="395" spans="1:7">
      <c r="A395"/>
      <c r="B395"/>
      <c r="C395"/>
      <c r="D395" s="1246"/>
      <c r="E395" s="1246"/>
      <c r="F395" s="1246"/>
      <c r="G395"/>
    </row>
    <row r="396" spans="1:7">
      <c r="A396"/>
      <c r="B396"/>
      <c r="C396"/>
      <c r="D396" s="1246"/>
      <c r="E396" s="1246"/>
      <c r="F396" s="1246"/>
      <c r="G396"/>
    </row>
    <row r="397" spans="1:7">
      <c r="A397"/>
      <c r="B397"/>
      <c r="C397"/>
      <c r="D397" s="1246"/>
      <c r="E397" s="1246"/>
      <c r="F397" s="1246"/>
      <c r="G397"/>
    </row>
    <row r="398" spans="1:7">
      <c r="A398"/>
      <c r="B398"/>
      <c r="C398"/>
      <c r="D398" s="1246"/>
      <c r="E398" s="1246"/>
      <c r="F398" s="1246"/>
      <c r="G398"/>
    </row>
    <row r="399" spans="1:7">
      <c r="A399"/>
      <c r="B399"/>
      <c r="C399"/>
      <c r="D399" s="1246"/>
      <c r="E399" s="1246"/>
      <c r="F399" s="1246"/>
      <c r="G399"/>
    </row>
    <row r="400" spans="1:7">
      <c r="A400"/>
      <c r="B400"/>
      <c r="C400"/>
      <c r="D400" s="1246"/>
      <c r="E400" s="1246"/>
      <c r="F400" s="1246"/>
      <c r="G400"/>
    </row>
    <row r="401" spans="1:7">
      <c r="A401"/>
      <c r="B401"/>
      <c r="C401"/>
      <c r="D401" s="1246"/>
      <c r="E401" s="1246"/>
      <c r="F401" s="1246"/>
      <c r="G401"/>
    </row>
    <row r="402" spans="1:7">
      <c r="D402" s="1246"/>
      <c r="E402" s="1246"/>
      <c r="F402" s="1246"/>
    </row>
    <row r="403" spans="1:7" ht="40.700000000000003" customHeight="1">
      <c r="D403" s="1246"/>
      <c r="E403" s="1246"/>
      <c r="F403" s="1246"/>
    </row>
    <row r="404" spans="1:7">
      <c r="D404" s="35"/>
      <c r="E404" s="35"/>
      <c r="F404" s="35"/>
    </row>
    <row r="405" spans="1:7" ht="14.25">
      <c r="A405" s="177"/>
      <c r="B405" s="472" t="s">
        <v>313</v>
      </c>
      <c r="C405" s="180"/>
      <c r="D405" s="1256" t="s">
        <v>1290</v>
      </c>
      <c r="E405" s="1256"/>
      <c r="F405" s="1256"/>
    </row>
    <row r="406" spans="1:7">
      <c r="D406" s="1266" t="s">
        <v>1059</v>
      </c>
      <c r="E406" s="1266"/>
      <c r="F406" s="1266"/>
    </row>
    <row r="407" spans="1:7">
      <c r="D407" s="1246" t="s">
        <v>1291</v>
      </c>
      <c r="E407" s="1246"/>
      <c r="F407" s="1246"/>
    </row>
    <row r="408" spans="1:7">
      <c r="D408" s="1246"/>
      <c r="E408" s="1246"/>
      <c r="F408" s="1246"/>
    </row>
    <row r="409" spans="1:7">
      <c r="D409" s="1246"/>
      <c r="E409" s="1246"/>
      <c r="F409" s="1246"/>
    </row>
    <row r="410" spans="1:7">
      <c r="D410" s="1246"/>
      <c r="E410" s="1246"/>
      <c r="F410" s="1246"/>
    </row>
    <row r="411" spans="1:7">
      <c r="D411" s="35"/>
      <c r="E411" s="35"/>
      <c r="F411" s="35"/>
      <c r="G411"/>
    </row>
    <row r="412" spans="1:7" ht="14.25">
      <c r="A412" s="177"/>
      <c r="B412" s="472" t="s">
        <v>313</v>
      </c>
      <c r="C412" s="180"/>
      <c r="D412" s="1246" t="s">
        <v>1292</v>
      </c>
      <c r="E412" s="1246"/>
      <c r="F412" s="1246"/>
      <c r="G412"/>
    </row>
    <row r="413" spans="1:7">
      <c r="D413" s="1246"/>
      <c r="E413" s="1246"/>
      <c r="F413" s="1246"/>
      <c r="G413"/>
    </row>
    <row r="414" spans="1:7">
      <c r="D414" s="1246"/>
      <c r="E414" s="1246"/>
      <c r="F414" s="1246"/>
      <c r="G414"/>
    </row>
    <row r="415" spans="1:7">
      <c r="D415" s="478"/>
      <c r="E415" s="478"/>
      <c r="F415" s="478"/>
      <c r="G415"/>
    </row>
    <row r="416" spans="1:7" ht="14.25">
      <c r="B416" s="472" t="s">
        <v>313</v>
      </c>
      <c r="C416" s="177"/>
      <c r="D416" s="1246" t="s">
        <v>1293</v>
      </c>
      <c r="E416" s="1246"/>
      <c r="F416" s="1246"/>
      <c r="G416"/>
    </row>
    <row r="417" spans="1:7">
      <c r="D417" s="1246"/>
      <c r="E417" s="1246"/>
      <c r="F417" s="1246"/>
      <c r="G417"/>
    </row>
    <row r="418" spans="1:7">
      <c r="D418" s="35"/>
      <c r="E418" s="35"/>
      <c r="F418" s="35"/>
      <c r="G418"/>
    </row>
    <row r="419" spans="1:7" ht="14.25">
      <c r="B419" s="472" t="s">
        <v>313</v>
      </c>
      <c r="C419" s="177"/>
      <c r="D419" s="1246" t="s">
        <v>1294</v>
      </c>
      <c r="E419" s="1246"/>
      <c r="F419" s="1246"/>
      <c r="G419"/>
    </row>
    <row r="420" spans="1:7">
      <c r="D420" s="1246"/>
      <c r="E420" s="1246"/>
      <c r="F420" s="1246"/>
      <c r="G420"/>
    </row>
    <row r="421" spans="1:7">
      <c r="D421" s="1246"/>
      <c r="E421" s="1246"/>
      <c r="F421" s="1246"/>
      <c r="G421"/>
    </row>
    <row r="422" spans="1:7">
      <c r="D422" s="1246"/>
      <c r="E422" s="1246"/>
      <c r="F422" s="1246"/>
      <c r="G422"/>
    </row>
    <row r="423" spans="1:7">
      <c r="B423" s="472" t="s">
        <v>313</v>
      </c>
      <c r="D423" s="1246"/>
      <c r="E423" s="1246"/>
      <c r="F423" s="1246"/>
      <c r="G423"/>
    </row>
    <row r="424" spans="1:7">
      <c r="A424"/>
      <c r="B424"/>
      <c r="C424"/>
      <c r="D424" s="1246"/>
      <c r="E424" s="1246"/>
      <c r="F424" s="1246"/>
      <c r="G424"/>
    </row>
    <row r="425" spans="1:7">
      <c r="A425"/>
      <c r="C425"/>
      <c r="D425" s="1246"/>
      <c r="E425" s="1246"/>
      <c r="F425" s="1246"/>
      <c r="G425"/>
    </row>
    <row r="426" spans="1:7">
      <c r="A426"/>
      <c r="B426" s="472" t="s">
        <v>313</v>
      </c>
      <c r="C426"/>
      <c r="D426" s="1246"/>
      <c r="E426" s="1246"/>
      <c r="F426" s="1246"/>
      <c r="G426"/>
    </row>
    <row r="427" spans="1:7">
      <c r="A427"/>
      <c r="B427"/>
      <c r="C427"/>
      <c r="D427" s="1246"/>
      <c r="E427" s="1246"/>
      <c r="F427" s="1246"/>
      <c r="G427"/>
    </row>
    <row r="428" spans="1:7">
      <c r="A428"/>
      <c r="C428"/>
      <c r="D428" s="1246"/>
      <c r="E428" s="1246"/>
      <c r="F428" s="1246"/>
      <c r="G428"/>
    </row>
    <row r="429" spans="1:7">
      <c r="A429"/>
      <c r="C429"/>
      <c r="D429" s="1246"/>
      <c r="E429" s="1246"/>
      <c r="F429" s="1246"/>
      <c r="G429"/>
    </row>
    <row r="430" spans="1:7">
      <c r="A430"/>
      <c r="B430" s="472" t="s">
        <v>313</v>
      </c>
      <c r="C430"/>
      <c r="D430" s="1246"/>
      <c r="E430" s="1246"/>
      <c r="F430" s="1246"/>
      <c r="G430"/>
    </row>
    <row r="431" spans="1:7">
      <c r="A431"/>
      <c r="B431"/>
      <c r="C431"/>
      <c r="D431" s="1246"/>
      <c r="E431" s="1246"/>
      <c r="F431" s="1246"/>
      <c r="G431"/>
    </row>
    <row r="432" spans="1:7">
      <c r="A432"/>
      <c r="B432" s="472" t="s">
        <v>313</v>
      </c>
      <c r="C432"/>
      <c r="D432" s="1246"/>
      <c r="E432" s="1246"/>
      <c r="F432" s="1246"/>
      <c r="G432"/>
    </row>
    <row r="433" spans="1:7">
      <c r="A433"/>
      <c r="B433"/>
      <c r="C433"/>
      <c r="D433" s="478"/>
      <c r="E433" s="478"/>
      <c r="F433" s="478"/>
      <c r="G433"/>
    </row>
    <row r="434" spans="1:7">
      <c r="A434"/>
      <c r="B434" s="472" t="s">
        <v>313</v>
      </c>
      <c r="C434"/>
      <c r="D434" s="1246" t="s">
        <v>1295</v>
      </c>
      <c r="E434" s="1246"/>
      <c r="F434" s="1246"/>
      <c r="G434"/>
    </row>
    <row r="435" spans="1:7">
      <c r="A435"/>
      <c r="B435"/>
      <c r="C435"/>
      <c r="D435" s="1246"/>
      <c r="E435" s="1246"/>
      <c r="F435" s="1246"/>
      <c r="G435"/>
    </row>
    <row r="436" spans="1:7">
      <c r="A436"/>
      <c r="B436"/>
      <c r="C436"/>
      <c r="D436" s="1246"/>
      <c r="E436" s="1246"/>
      <c r="F436" s="1246"/>
      <c r="G436"/>
    </row>
    <row r="437" spans="1:7">
      <c r="A437"/>
      <c r="B437"/>
      <c r="C437"/>
      <c r="D437" s="1246"/>
      <c r="E437" s="1246"/>
      <c r="F437" s="1246"/>
      <c r="G437"/>
    </row>
    <row r="438" spans="1:7">
      <c r="D438" s="1246"/>
      <c r="E438" s="1246"/>
      <c r="F438" s="1246"/>
    </row>
    <row r="439" spans="1:7">
      <c r="D439" s="35"/>
      <c r="E439" s="35"/>
      <c r="F439" s="35"/>
    </row>
    <row r="440" spans="1:7">
      <c r="B440" s="472" t="s">
        <v>313</v>
      </c>
      <c r="D440" s="1256" t="s">
        <v>1296</v>
      </c>
      <c r="E440" s="1256"/>
      <c r="F440" s="1256"/>
    </row>
    <row r="441" spans="1:7">
      <c r="A441" s="35"/>
      <c r="B441" s="35"/>
    </row>
    <row r="442" spans="1:7">
      <c r="A442" s="1260" t="s">
        <v>1137</v>
      </c>
      <c r="B442" s="1260"/>
      <c r="C442" s="1260"/>
      <c r="D442" s="1260"/>
      <c r="E442" s="1260"/>
      <c r="F442" s="1260"/>
      <c r="G442" s="1260"/>
    </row>
    <row r="443" spans="1:7">
      <c r="A443" s="35"/>
      <c r="B443" s="35"/>
    </row>
    <row r="444" spans="1:7">
      <c r="D444" s="1257" t="s">
        <v>932</v>
      </c>
      <c r="E444" s="1257"/>
      <c r="F444" s="1257"/>
    </row>
    <row r="445" spans="1:7" ht="14.25">
      <c r="A445" s="177"/>
      <c r="B445" s="177"/>
      <c r="D445" s="1258" t="s">
        <v>1297</v>
      </c>
      <c r="E445" s="1258"/>
      <c r="F445" s="1258"/>
    </row>
    <row r="446" spans="1:7" ht="14.25">
      <c r="A446" s="177"/>
      <c r="B446" s="177"/>
      <c r="D446" s="485"/>
      <c r="E446" s="3"/>
      <c r="F446" s="3"/>
    </row>
    <row r="447" spans="1:7" ht="14.25">
      <c r="A447" s="177"/>
      <c r="B447" s="472" t="s">
        <v>313</v>
      </c>
      <c r="D447" s="1254" t="s">
        <v>1298</v>
      </c>
      <c r="E447" s="1254"/>
      <c r="F447" s="1254"/>
    </row>
    <row r="448" spans="1:7" ht="14.25">
      <c r="A448" s="177"/>
      <c r="B448" s="177"/>
      <c r="D448" s="1254"/>
      <c r="E448" s="1254"/>
      <c r="F448" s="1254"/>
    </row>
    <row r="449" spans="1:7" ht="14.25">
      <c r="A449" s="177"/>
      <c r="B449" s="177"/>
      <c r="D449" s="118"/>
      <c r="E449" s="3"/>
      <c r="F449" s="3"/>
    </row>
    <row r="450" spans="1:7">
      <c r="B450" s="472" t="s">
        <v>313</v>
      </c>
      <c r="D450" s="1259" t="s">
        <v>1299</v>
      </c>
      <c r="E450" s="1259"/>
      <c r="F450" s="1259"/>
    </row>
    <row r="451" spans="1:7" ht="14.25">
      <c r="A451" s="177"/>
      <c r="D451" s="1259"/>
      <c r="E451" s="1259"/>
      <c r="F451" s="1259"/>
    </row>
    <row r="452" spans="1:7" ht="14.25">
      <c r="A452" s="177"/>
      <c r="B452" s="177"/>
      <c r="D452" s="1259"/>
      <c r="E452" s="1259"/>
      <c r="F452" s="1259"/>
    </row>
    <row r="453" spans="1:7" ht="14.25">
      <c r="A453" s="177"/>
      <c r="B453" s="177"/>
      <c r="D453" s="1259"/>
      <c r="E453" s="1259"/>
      <c r="F453" s="1259"/>
    </row>
    <row r="454" spans="1:7">
      <c r="D454" s="3"/>
      <c r="E454" s="3"/>
      <c r="F454" s="3"/>
      <c r="G454"/>
    </row>
    <row r="455" spans="1:7" ht="14.25">
      <c r="A455" s="177"/>
      <c r="B455" s="472" t="s">
        <v>313</v>
      </c>
      <c r="D455" s="1246" t="s">
        <v>1300</v>
      </c>
      <c r="E455" s="1246"/>
      <c r="F455" s="1246"/>
      <c r="G455"/>
    </row>
    <row r="456" spans="1:7" ht="14.25">
      <c r="A456" s="177"/>
      <c r="B456" s="177"/>
      <c r="D456" s="1246"/>
      <c r="E456" s="1246"/>
      <c r="F456" s="1246"/>
      <c r="G456"/>
    </row>
    <row r="457" spans="1:7" ht="14.25">
      <c r="A457" s="177"/>
      <c r="D457" s="1246"/>
      <c r="E457" s="1246"/>
      <c r="F457" s="1246"/>
      <c r="G457"/>
    </row>
    <row r="458" spans="1:7" ht="14.25">
      <c r="A458" s="177"/>
      <c r="B458" s="177"/>
      <c r="D458" s="3"/>
      <c r="E458" s="3"/>
      <c r="F458" s="3"/>
      <c r="G458"/>
    </row>
    <row r="459" spans="1:7" ht="14.25">
      <c r="A459" s="177"/>
      <c r="B459" s="472" t="s">
        <v>313</v>
      </c>
      <c r="D459" s="1256" t="s">
        <v>1301</v>
      </c>
      <c r="E459" s="1256"/>
      <c r="F459" s="1256"/>
      <c r="G459"/>
    </row>
    <row r="460" spans="1:7" ht="14.25">
      <c r="A460" s="177"/>
      <c r="B460" s="177"/>
      <c r="D460" s="118"/>
      <c r="E460" s="3"/>
      <c r="F460" s="3"/>
      <c r="G460"/>
    </row>
    <row r="461" spans="1:7" ht="14.25">
      <c r="A461" s="177"/>
      <c r="B461" s="472" t="s">
        <v>313</v>
      </c>
      <c r="D461" s="1246" t="s">
        <v>1302</v>
      </c>
      <c r="E461" s="1246"/>
      <c r="F461" s="1246"/>
      <c r="G461"/>
    </row>
    <row r="462" spans="1:7" ht="14.25">
      <c r="A462" s="177"/>
      <c r="D462" s="1246"/>
      <c r="E462" s="1246"/>
      <c r="F462" s="1246"/>
      <c r="G462"/>
    </row>
    <row r="463" spans="1:7">
      <c r="A463" s="13"/>
      <c r="B463" s="13"/>
      <c r="D463" s="485"/>
      <c r="E463" s="3"/>
      <c r="F463" s="3"/>
      <c r="G463"/>
    </row>
    <row r="464" spans="1:7">
      <c r="A464" s="13"/>
      <c r="B464" s="472" t="s">
        <v>313</v>
      </c>
      <c r="D464" s="1256" t="s">
        <v>1303</v>
      </c>
      <c r="E464" s="1256"/>
      <c r="F464" s="1256"/>
      <c r="G464"/>
    </row>
    <row r="465" spans="1:7" ht="14.25">
      <c r="A465" s="177"/>
      <c r="B465" s="177"/>
      <c r="D465" s="35"/>
    </row>
    <row r="466" spans="1:7">
      <c r="A466" s="1260" t="s">
        <v>1138</v>
      </c>
      <c r="B466" s="1260"/>
      <c r="C466" s="1260"/>
      <c r="D466" s="1260"/>
      <c r="E466" s="1260"/>
      <c r="F466" s="1260"/>
      <c r="G466" s="1260"/>
    </row>
    <row r="467" spans="1:7" ht="12" customHeight="1">
      <c r="A467" s="177"/>
      <c r="B467" s="177"/>
      <c r="D467" s="35"/>
    </row>
    <row r="468" spans="1:7">
      <c r="C468" s="173"/>
      <c r="D468" s="1261" t="s">
        <v>836</v>
      </c>
      <c r="E468" s="1261"/>
      <c r="F468" s="1261"/>
    </row>
    <row r="469" spans="1:7" ht="13.15" customHeight="1">
      <c r="A469" s="176"/>
      <c r="B469" s="176"/>
      <c r="C469" s="176"/>
      <c r="D469" s="1262" t="s">
        <v>1181</v>
      </c>
      <c r="E469" s="1262"/>
      <c r="F469" s="1262"/>
    </row>
    <row r="470" spans="1:7">
      <c r="A470" s="176"/>
      <c r="B470" s="176"/>
      <c r="C470" s="176"/>
      <c r="D470" s="1262"/>
      <c r="E470" s="1262"/>
      <c r="F470" s="1262"/>
    </row>
    <row r="471" spans="1:7">
      <c r="A471" s="176"/>
      <c r="B471" s="176"/>
      <c r="C471" s="176"/>
      <c r="D471" s="1262"/>
      <c r="E471" s="1262"/>
      <c r="F471" s="1262"/>
    </row>
    <row r="472" spans="1:7">
      <c r="A472" s="176"/>
      <c r="B472" s="176"/>
      <c r="C472" s="176"/>
      <c r="D472" s="1262"/>
      <c r="E472" s="1262"/>
      <c r="F472" s="1262"/>
    </row>
    <row r="473" spans="1:7">
      <c r="A473" s="176"/>
      <c r="B473" s="176"/>
      <c r="C473" s="176"/>
      <c r="D473" s="1262"/>
      <c r="E473" s="1262"/>
      <c r="F473" s="1262"/>
    </row>
    <row r="474" spans="1:7">
      <c r="A474" s="176"/>
      <c r="B474" s="176"/>
      <c r="C474" s="176"/>
      <c r="D474" s="328"/>
      <c r="F474" s="35"/>
    </row>
    <row r="475" spans="1:7" ht="14.45" customHeight="1">
      <c r="A475" s="177"/>
      <c r="B475" s="472" t="s">
        <v>313</v>
      </c>
      <c r="C475" s="176"/>
      <c r="D475" s="1276" t="s">
        <v>1172</v>
      </c>
      <c r="E475" s="1276"/>
      <c r="F475" s="1276"/>
    </row>
    <row r="476" spans="1:7">
      <c r="A476" s="176"/>
      <c r="B476" s="176"/>
      <c r="C476" s="176"/>
      <c r="D476" s="1276"/>
      <c r="E476" s="1276"/>
      <c r="F476" s="1276"/>
    </row>
    <row r="477" spans="1:7">
      <c r="A477" s="176"/>
      <c r="B477" s="176"/>
      <c r="C477" s="176"/>
      <c r="D477" s="1276"/>
      <c r="E477" s="1276"/>
      <c r="F477" s="1276"/>
    </row>
    <row r="478" spans="1:7">
      <c r="A478" s="176"/>
      <c r="B478" s="176"/>
      <c r="C478" s="176"/>
      <c r="D478" s="1276"/>
      <c r="E478" s="1276"/>
      <c r="F478" s="1276"/>
    </row>
    <row r="479" spans="1:7">
      <c r="A479" s="176"/>
      <c r="B479" s="176"/>
      <c r="C479" s="176"/>
      <c r="D479" s="1276"/>
      <c r="E479" s="1276"/>
      <c r="F479" s="1276"/>
    </row>
    <row r="480" spans="1:7">
      <c r="A480" s="176"/>
      <c r="B480" s="176"/>
      <c r="C480" s="176"/>
      <c r="D480" s="221"/>
      <c r="F480" s="35"/>
    </row>
    <row r="481" spans="1:6" ht="14.45" customHeight="1">
      <c r="A481" s="177"/>
      <c r="B481" s="472" t="s">
        <v>313</v>
      </c>
      <c r="C481" s="176"/>
      <c r="D481" s="1276" t="s">
        <v>1175</v>
      </c>
      <c r="E481" s="1276"/>
      <c r="F481" s="1276"/>
    </row>
    <row r="482" spans="1:6">
      <c r="A482" s="176"/>
      <c r="B482" s="176"/>
      <c r="C482" s="176"/>
      <c r="D482" s="1276"/>
      <c r="E482" s="1276"/>
      <c r="F482" s="1276"/>
    </row>
    <row r="483" spans="1:6">
      <c r="A483" s="176"/>
      <c r="B483" s="176"/>
      <c r="C483" s="176"/>
      <c r="D483" s="1276"/>
      <c r="E483" s="1276"/>
      <c r="F483" s="1276"/>
    </row>
    <row r="484" spans="1:6">
      <c r="A484" s="176"/>
      <c r="B484" s="176"/>
      <c r="C484" s="176"/>
      <c r="D484" s="1276"/>
      <c r="E484" s="1276"/>
      <c r="F484" s="1276"/>
    </row>
    <row r="485" spans="1:6" ht="9.9499999999999993" customHeight="1">
      <c r="A485" s="176"/>
      <c r="B485" s="176"/>
      <c r="C485" s="176"/>
      <c r="D485" s="221"/>
      <c r="F485" s="35"/>
    </row>
    <row r="486" spans="1:6" ht="14.45" customHeight="1">
      <c r="A486" s="177"/>
      <c r="B486" s="472" t="s">
        <v>313</v>
      </c>
      <c r="C486" s="176"/>
      <c r="D486" s="1276" t="s">
        <v>1173</v>
      </c>
      <c r="E486" s="1276"/>
      <c r="F486" s="1276"/>
    </row>
    <row r="487" spans="1:6">
      <c r="A487" s="176"/>
      <c r="B487" s="176"/>
      <c r="C487" s="176"/>
      <c r="D487" s="1276"/>
      <c r="E487" s="1276"/>
      <c r="F487" s="1276"/>
    </row>
    <row r="488" spans="1:6">
      <c r="A488" s="176"/>
      <c r="B488" s="176"/>
      <c r="C488" s="176"/>
      <c r="D488" s="1276"/>
      <c r="E488" s="1276"/>
      <c r="F488" s="1276"/>
    </row>
    <row r="489" spans="1:6">
      <c r="A489" s="176"/>
      <c r="B489" s="176"/>
      <c r="C489" s="176"/>
      <c r="D489" s="479"/>
      <c r="E489" s="479"/>
      <c r="F489" s="479"/>
    </row>
    <row r="490" spans="1:6" ht="14.45" customHeight="1">
      <c r="A490" s="177"/>
      <c r="B490" s="472" t="s">
        <v>313</v>
      </c>
      <c r="C490" s="176"/>
      <c r="D490" s="1276" t="s">
        <v>1174</v>
      </c>
      <c r="E490" s="1276"/>
      <c r="F490" s="1276"/>
    </row>
    <row r="491" spans="1:6">
      <c r="A491" s="176"/>
      <c r="B491" s="176"/>
      <c r="C491" s="176"/>
      <c r="D491" s="1276"/>
      <c r="E491" s="1276"/>
      <c r="F491" s="1276"/>
    </row>
    <row r="492" spans="1:6">
      <c r="A492" s="176"/>
      <c r="B492" s="176"/>
      <c r="C492" s="176"/>
      <c r="D492" s="1276"/>
      <c r="E492" s="1276"/>
      <c r="F492" s="1276"/>
    </row>
    <row r="493" spans="1:6">
      <c r="A493" s="176"/>
      <c r="B493" s="176"/>
      <c r="C493" s="176"/>
      <c r="D493" s="1276"/>
      <c r="E493" s="1276"/>
      <c r="F493" s="1276"/>
    </row>
    <row r="494" spans="1:6">
      <c r="A494" s="176"/>
      <c r="B494" s="176"/>
      <c r="C494" s="176"/>
      <c r="D494" s="1276"/>
      <c r="E494" s="1276"/>
      <c r="F494" s="1276"/>
    </row>
    <row r="495" spans="1:6">
      <c r="A495" s="176"/>
      <c r="B495" s="176"/>
      <c r="C495" s="176"/>
      <c r="D495" s="1276"/>
      <c r="E495" s="1276"/>
      <c r="F495" s="1276"/>
    </row>
    <row r="496" spans="1:6">
      <c r="A496" s="176"/>
      <c r="B496" s="176"/>
      <c r="C496" s="176"/>
      <c r="D496" s="1276"/>
      <c r="E496" s="1276"/>
      <c r="F496" s="1276"/>
    </row>
    <row r="497" spans="1:7">
      <c r="A497" s="176"/>
      <c r="B497" s="176"/>
      <c r="C497" s="176"/>
      <c r="D497" s="1276"/>
      <c r="E497" s="1276"/>
      <c r="F497" s="1276"/>
    </row>
    <row r="498" spans="1:7">
      <c r="A498" s="176"/>
      <c r="B498" s="176"/>
      <c r="C498" s="176"/>
      <c r="D498" s="1276"/>
      <c r="E498" s="1276"/>
      <c r="F498" s="1276"/>
    </row>
    <row r="499" spans="1:7">
      <c r="A499" s="176"/>
      <c r="B499" s="176"/>
      <c r="C499" s="176"/>
      <c r="D499" s="221"/>
      <c r="F499" s="35"/>
    </row>
    <row r="500" spans="1:7" ht="13.15" customHeight="1">
      <c r="A500" s="176"/>
      <c r="B500" s="472" t="s">
        <v>313</v>
      </c>
      <c r="C500" s="176"/>
      <c r="D500" s="1254" t="s">
        <v>1318</v>
      </c>
      <c r="E500" s="1254"/>
      <c r="F500" s="1254"/>
    </row>
    <row r="501" spans="1:7">
      <c r="A501" s="176"/>
      <c r="B501" s="176"/>
      <c r="C501" s="176"/>
      <c r="D501" s="1254"/>
      <c r="E501" s="1254"/>
      <c r="F501" s="1254"/>
    </row>
    <row r="502" spans="1:7">
      <c r="A502" s="176"/>
      <c r="B502" s="176"/>
      <c r="C502" s="176"/>
      <c r="D502" s="1254"/>
      <c r="E502" s="1254"/>
      <c r="F502" s="1254"/>
    </row>
    <row r="503" spans="1:7">
      <c r="A503" s="176"/>
      <c r="B503" s="176"/>
      <c r="C503" s="176"/>
      <c r="D503" s="1254"/>
      <c r="E503" s="1254"/>
      <c r="F503" s="1254"/>
    </row>
    <row r="504" spans="1:7">
      <c r="A504" s="176"/>
      <c r="B504" s="176"/>
      <c r="C504" s="176"/>
      <c r="D504" s="1254"/>
      <c r="E504" s="1254"/>
      <c r="F504" s="1254"/>
    </row>
    <row r="505" spans="1:7">
      <c r="A505" s="176"/>
      <c r="B505" s="176"/>
      <c r="C505" s="176"/>
      <c r="D505" s="489"/>
      <c r="E505" s="489"/>
      <c r="F505" s="489"/>
    </row>
    <row r="506" spans="1:7" ht="14.45" customHeight="1">
      <c r="A506" s="177"/>
      <c r="B506" s="472" t="s">
        <v>313</v>
      </c>
      <c r="D506" s="1276" t="s">
        <v>1176</v>
      </c>
      <c r="E506" s="1276"/>
      <c r="F506" s="1276"/>
    </row>
    <row r="507" spans="1:7">
      <c r="D507" s="1276"/>
      <c r="E507" s="1276"/>
      <c r="F507" s="1276"/>
    </row>
    <row r="508" spans="1:7">
      <c r="D508" s="1276"/>
      <c r="E508" s="1276"/>
      <c r="F508" s="1276"/>
    </row>
    <row r="509" spans="1:7" ht="12" customHeight="1">
      <c r="A509" s="35"/>
      <c r="B509" s="35"/>
      <c r="C509" s="180"/>
      <c r="D509" s="35"/>
      <c r="F509" s="57"/>
    </row>
    <row r="510" spans="1:7">
      <c r="A510" s="1260" t="s">
        <v>1139</v>
      </c>
      <c r="B510" s="1260"/>
      <c r="C510" s="1260"/>
      <c r="D510" s="1260"/>
      <c r="E510" s="1260"/>
      <c r="F510" s="1260"/>
      <c r="G510" s="1260"/>
    </row>
    <row r="511" spans="1:7">
      <c r="A511" s="35"/>
      <c r="B511" s="35"/>
      <c r="C511" s="180"/>
      <c r="F511" s="57"/>
    </row>
    <row r="512" spans="1:7">
      <c r="B512" s="1277" t="s">
        <v>465</v>
      </c>
      <c r="C512" s="1277"/>
      <c r="D512" s="1277"/>
      <c r="E512" s="1277"/>
      <c r="F512" s="1277"/>
    </row>
    <row r="513" spans="1:7">
      <c r="A513" s="35"/>
      <c r="B513" s="35"/>
      <c r="C513" s="180"/>
      <c r="D513" s="35"/>
      <c r="F513" s="35"/>
    </row>
    <row r="514" spans="1:7">
      <c r="A514" s="1292" t="s">
        <v>1140</v>
      </c>
      <c r="B514" s="1292"/>
      <c r="C514" s="1292"/>
      <c r="D514" s="1292"/>
      <c r="E514" s="1292"/>
      <c r="F514" s="1292"/>
      <c r="G514" s="1292"/>
    </row>
    <row r="515" spans="1:7">
      <c r="A515" s="35"/>
      <c r="B515" s="35"/>
      <c r="C515" s="180"/>
      <c r="D515" s="35"/>
      <c r="F515" s="35"/>
    </row>
    <row r="516" spans="1:7">
      <c r="C516" s="180"/>
      <c r="D516" s="1261" t="s">
        <v>710</v>
      </c>
      <c r="E516" s="1261"/>
      <c r="F516" s="1261"/>
    </row>
    <row r="517" spans="1:7">
      <c r="C517" s="180"/>
      <c r="D517" s="1256" t="s">
        <v>1197</v>
      </c>
      <c r="E517" s="1256"/>
      <c r="F517" s="1256"/>
    </row>
    <row r="518" spans="1:7">
      <c r="C518" s="180"/>
      <c r="D518" s="118"/>
      <c r="E518" s="118"/>
      <c r="F518" s="118"/>
    </row>
    <row r="519" spans="1:7" ht="13.15" customHeight="1">
      <c r="A519" s="177"/>
      <c r="B519" s="472" t="s">
        <v>313</v>
      </c>
      <c r="C519" s="180"/>
      <c r="D519" s="1256" t="s">
        <v>933</v>
      </c>
      <c r="E519" s="1256"/>
      <c r="F519" s="1256"/>
      <c r="G519"/>
    </row>
    <row r="520" spans="1:7" ht="13.15" customHeight="1">
      <c r="A520" s="180"/>
      <c r="B520" s="180"/>
      <c r="C520" s="180"/>
      <c r="D520" s="118"/>
      <c r="E520"/>
      <c r="F520"/>
      <c r="G520"/>
    </row>
    <row r="521" spans="1:7" ht="14.25">
      <c r="A521" s="177"/>
      <c r="B521" s="472" t="s">
        <v>313</v>
      </c>
      <c r="C521" s="180"/>
      <c r="D521" s="1246" t="s">
        <v>1198</v>
      </c>
      <c r="E521" s="1246"/>
      <c r="F521" s="1246"/>
      <c r="G521"/>
    </row>
    <row r="522" spans="1:7">
      <c r="A522" s="180"/>
      <c r="B522" s="180"/>
      <c r="C522" s="180"/>
      <c r="D522" s="1246"/>
      <c r="E522" s="1246"/>
      <c r="F522" s="1246"/>
      <c r="G522"/>
    </row>
    <row r="523" spans="1:7">
      <c r="A523" s="180"/>
      <c r="B523" s="180"/>
      <c r="C523" s="180"/>
      <c r="D523" s="35"/>
      <c r="E523" s="35"/>
      <c r="F523" s="35"/>
      <c r="G523"/>
    </row>
    <row r="524" spans="1:7" ht="14.25">
      <c r="A524" s="177"/>
      <c r="B524" s="472" t="s">
        <v>313</v>
      </c>
      <c r="C524" s="180"/>
      <c r="D524" s="1246" t="s">
        <v>1199</v>
      </c>
      <c r="E524" s="1246"/>
      <c r="F524" s="1246"/>
      <c r="G524"/>
    </row>
    <row r="525" spans="1:7">
      <c r="A525" s="180"/>
      <c r="B525" s="180"/>
      <c r="C525" s="180"/>
      <c r="D525" s="1246"/>
      <c r="E525" s="1246"/>
      <c r="F525" s="1246"/>
      <c r="G525"/>
    </row>
    <row r="526" spans="1:7">
      <c r="A526" s="180"/>
      <c r="B526" s="180"/>
      <c r="C526" s="180"/>
      <c r="D526" s="35"/>
      <c r="E526" s="35"/>
      <c r="F526" s="35"/>
      <c r="G526"/>
    </row>
    <row r="527" spans="1:7" ht="14.25">
      <c r="A527" s="177"/>
      <c r="B527" s="472" t="s">
        <v>313</v>
      </c>
      <c r="C527" s="180"/>
      <c r="D527" s="1246" t="s">
        <v>1200</v>
      </c>
      <c r="E527" s="1246"/>
      <c r="F527" s="1246"/>
      <c r="G527"/>
    </row>
    <row r="528" spans="1:7">
      <c r="A528" s="180"/>
      <c r="B528" s="180"/>
      <c r="C528" s="180"/>
      <c r="D528" s="1246"/>
      <c r="E528" s="1246"/>
      <c r="F528" s="1246"/>
      <c r="G528"/>
    </row>
    <row r="529" spans="1:7">
      <c r="A529" s="180"/>
      <c r="B529" s="180"/>
      <c r="C529" s="180"/>
      <c r="D529" s="35"/>
      <c r="E529" s="35"/>
      <c r="F529" s="35"/>
      <c r="G529"/>
    </row>
    <row r="530" spans="1:7" ht="14.25">
      <c r="A530" s="177"/>
      <c r="B530" s="472" t="s">
        <v>313</v>
      </c>
      <c r="C530" s="180"/>
      <c r="D530" s="1246" t="s">
        <v>1201</v>
      </c>
      <c r="E530" s="1246"/>
      <c r="F530" s="1246"/>
      <c r="G530"/>
    </row>
    <row r="531" spans="1:7">
      <c r="A531" s="180"/>
      <c r="B531" s="180"/>
      <c r="C531" s="180"/>
      <c r="D531" s="1246"/>
      <c r="E531" s="1246"/>
      <c r="F531" s="1246"/>
      <c r="G531"/>
    </row>
    <row r="532" spans="1:7">
      <c r="A532" s="180"/>
      <c r="B532" s="180"/>
      <c r="C532" s="180"/>
      <c r="D532" s="1246"/>
      <c r="E532" s="1246"/>
      <c r="F532" s="1246"/>
      <c r="G532"/>
    </row>
    <row r="533" spans="1:7">
      <c r="A533" s="180"/>
      <c r="B533" s="180"/>
      <c r="C533" s="180"/>
      <c r="D533" s="35"/>
      <c r="E533" s="35"/>
      <c r="F533" s="35"/>
    </row>
    <row r="534" spans="1:7" ht="14.25">
      <c r="A534" s="177"/>
      <c r="B534" s="472" t="s">
        <v>313</v>
      </c>
      <c r="C534" s="180"/>
      <c r="D534" s="1246" t="s">
        <v>1319</v>
      </c>
      <c r="E534" s="1246"/>
      <c r="F534" s="1246"/>
    </row>
    <row r="535" spans="1:7">
      <c r="A535" s="180"/>
      <c r="B535" s="180"/>
      <c r="C535" s="180"/>
      <c r="D535" s="1246"/>
      <c r="E535" s="1246"/>
      <c r="F535" s="1246"/>
    </row>
    <row r="536" spans="1:7">
      <c r="A536" s="180"/>
      <c r="B536" s="180"/>
      <c r="C536" s="180"/>
      <c r="D536" s="35"/>
      <c r="E536" s="35"/>
      <c r="F536" s="35"/>
    </row>
    <row r="537" spans="1:7" ht="14.25">
      <c r="A537" s="177"/>
      <c r="B537" s="472" t="s">
        <v>313</v>
      </c>
      <c r="C537" s="180"/>
      <c r="D537" s="1246" t="s">
        <v>1202</v>
      </c>
      <c r="E537" s="1246"/>
      <c r="F537" s="1246"/>
    </row>
    <row r="538" spans="1:7">
      <c r="A538" s="180"/>
      <c r="B538" s="180"/>
      <c r="C538" s="180"/>
      <c r="D538" s="1246"/>
      <c r="E538" s="1246"/>
      <c r="F538" s="1246"/>
    </row>
    <row r="539" spans="1:7">
      <c r="A539" s="180"/>
      <c r="B539" s="180"/>
      <c r="C539" s="180"/>
      <c r="D539" s="35"/>
      <c r="E539" s="35"/>
      <c r="F539" s="35"/>
    </row>
    <row r="540" spans="1:7" ht="14.25">
      <c r="A540" s="177"/>
      <c r="B540" s="472" t="s">
        <v>313</v>
      </c>
      <c r="C540" s="180"/>
      <c r="D540" s="1246" t="s">
        <v>1203</v>
      </c>
      <c r="E540" s="1246"/>
      <c r="F540" s="1246"/>
    </row>
    <row r="541" spans="1:7">
      <c r="A541" s="180"/>
      <c r="B541" s="180"/>
      <c r="C541" s="180"/>
      <c r="D541" s="1246"/>
      <c r="E541" s="1246"/>
      <c r="F541" s="1246"/>
    </row>
    <row r="542" spans="1:7">
      <c r="A542" s="180"/>
      <c r="B542" s="180"/>
      <c r="C542" s="180"/>
      <c r="D542" s="35"/>
      <c r="E542" s="35"/>
      <c r="F542" s="35"/>
    </row>
    <row r="543" spans="1:7" ht="14.25">
      <c r="A543" s="177"/>
      <c r="B543" s="472" t="s">
        <v>313</v>
      </c>
      <c r="C543" s="180"/>
      <c r="D543" s="1256" t="s">
        <v>1204</v>
      </c>
      <c r="E543" s="1256"/>
      <c r="F543" s="1256"/>
    </row>
    <row r="544" spans="1:7">
      <c r="A544" s="13"/>
      <c r="B544" s="13"/>
      <c r="C544" s="180"/>
      <c r="D544" s="1256" t="s">
        <v>866</v>
      </c>
      <c r="E544" s="1256"/>
      <c r="F544" s="1256"/>
    </row>
    <row r="545" spans="1:7">
      <c r="A545" s="13"/>
      <c r="B545" s="13"/>
      <c r="C545" s="180"/>
      <c r="D545" s="3"/>
      <c r="E545" s="1267" t="s">
        <v>1205</v>
      </c>
      <c r="F545" s="1267"/>
    </row>
    <row r="546" spans="1:7" ht="14.25">
      <c r="A546" s="177"/>
      <c r="B546" s="177"/>
      <c r="C546" s="180"/>
      <c r="E546" s="35"/>
      <c r="F546" s="35"/>
    </row>
    <row r="547" spans="1:7" ht="14.25">
      <c r="A547" s="177"/>
      <c r="B547" s="472" t="s">
        <v>313</v>
      </c>
      <c r="C547" s="180"/>
      <c r="D547" s="1256" t="s">
        <v>1206</v>
      </c>
      <c r="E547" s="1256"/>
      <c r="F547" s="1256"/>
    </row>
    <row r="548" spans="1:7">
      <c r="C548" s="180"/>
      <c r="D548" s="1246" t="s">
        <v>1207</v>
      </c>
      <c r="E548" s="1246"/>
      <c r="F548" s="1246"/>
    </row>
    <row r="549" spans="1:7">
      <c r="A549" s="180"/>
      <c r="B549" s="180"/>
      <c r="C549" s="180"/>
      <c r="D549" s="1246"/>
      <c r="E549" s="1246"/>
      <c r="F549" s="1246"/>
    </row>
    <row r="550" spans="1:7">
      <c r="A550" s="180"/>
      <c r="B550" s="180"/>
      <c r="C550" s="180"/>
      <c r="D550" s="1246"/>
      <c r="E550" s="1246"/>
      <c r="F550" s="1246"/>
    </row>
    <row r="551" spans="1:7">
      <c r="A551" s="180"/>
      <c r="B551" s="180"/>
      <c r="C551" s="180"/>
      <c r="D551" s="35"/>
      <c r="E551" s="35"/>
      <c r="F551" s="35"/>
    </row>
    <row r="552" spans="1:7" ht="14.25">
      <c r="A552" s="177"/>
      <c r="B552" s="472" t="s">
        <v>313</v>
      </c>
      <c r="C552" s="180"/>
      <c r="D552" s="1246" t="s">
        <v>1208</v>
      </c>
      <c r="E552" s="1246"/>
      <c r="F552" s="1246"/>
    </row>
    <row r="553" spans="1:7" ht="14.25">
      <c r="A553" s="177"/>
      <c r="B553" s="177"/>
      <c r="C553" s="180"/>
      <c r="D553" s="1246"/>
      <c r="E553" s="1246"/>
      <c r="F553" s="1246"/>
    </row>
    <row r="554" spans="1:7" ht="14.25">
      <c r="A554" s="177"/>
      <c r="B554" s="177"/>
      <c r="C554" s="180"/>
      <c r="D554" s="1246"/>
      <c r="E554" s="1246"/>
      <c r="F554" s="1246"/>
    </row>
    <row r="555" spans="1:7" ht="14.25">
      <c r="A555" s="177"/>
      <c r="B555" s="177"/>
      <c r="C555" s="180"/>
      <c r="D555" s="1246"/>
      <c r="E555" s="1246"/>
      <c r="F555" s="1246"/>
    </row>
    <row r="556" spans="1:7" ht="14.25">
      <c r="A556" s="177"/>
      <c r="B556" s="177"/>
      <c r="C556" s="180"/>
      <c r="D556" s="35"/>
      <c r="E556" s="35"/>
      <c r="F556" s="35"/>
    </row>
    <row r="557" spans="1:7">
      <c r="A557" s="1260" t="s">
        <v>1141</v>
      </c>
      <c r="B557" s="1260"/>
      <c r="C557" s="1260"/>
      <c r="D557" s="1260"/>
      <c r="E557" s="1260"/>
      <c r="F557" s="1260"/>
      <c r="G557" s="1260"/>
    </row>
    <row r="558" spans="1:7">
      <c r="A558" s="180"/>
      <c r="B558" s="180"/>
      <c r="C558" s="180"/>
      <c r="E558" s="35"/>
      <c r="F558" s="35"/>
    </row>
    <row r="559" spans="1:7" ht="12.75" customHeight="1">
      <c r="C559" s="173"/>
      <c r="D559" s="1278" t="s">
        <v>216</v>
      </c>
      <c r="E559" s="1278"/>
      <c r="F559" s="1278"/>
    </row>
    <row r="560" spans="1:7">
      <c r="A560" s="176"/>
      <c r="B560" s="176"/>
      <c r="C560" s="176"/>
      <c r="D560" s="1259" t="s">
        <v>1157</v>
      </c>
      <c r="E560" s="1259"/>
      <c r="F560" s="1259"/>
    </row>
    <row r="561" spans="1:6">
      <c r="A561"/>
      <c r="B561"/>
      <c r="C561" s="176"/>
      <c r="D561" s="257"/>
    </row>
    <row r="562" spans="1:6">
      <c r="A562" s="176"/>
      <c r="B562" s="472" t="s">
        <v>313</v>
      </c>
      <c r="D562" s="1259" t="s">
        <v>939</v>
      </c>
      <c r="E562" s="1259"/>
      <c r="F562" s="1259"/>
    </row>
    <row r="563" spans="1:6">
      <c r="A563" s="13"/>
      <c r="B563" s="13"/>
      <c r="D563" s="219"/>
    </row>
    <row r="564" spans="1:6">
      <c r="A564" s="13"/>
      <c r="B564" s="472" t="s">
        <v>313</v>
      </c>
      <c r="D564" s="1259" t="s">
        <v>1158</v>
      </c>
      <c r="E564" s="1259"/>
      <c r="F564" s="1259"/>
    </row>
    <row r="565" spans="1:6">
      <c r="A565" s="13"/>
      <c r="B565" s="13"/>
      <c r="D565" s="1259"/>
      <c r="E565" s="1259"/>
      <c r="F565" s="1259"/>
    </row>
    <row r="566" spans="1:6">
      <c r="A566" s="13"/>
      <c r="B566" s="13"/>
      <c r="D566" s="1259"/>
      <c r="E566" s="1259"/>
      <c r="F566" s="1259"/>
    </row>
    <row r="567" spans="1:6">
      <c r="A567" s="13"/>
      <c r="B567" s="13"/>
      <c r="D567" s="257"/>
    </row>
    <row r="568" spans="1:6">
      <c r="A568" s="13"/>
      <c r="B568" s="472" t="s">
        <v>313</v>
      </c>
      <c r="D568" s="1259" t="s">
        <v>1159</v>
      </c>
      <c r="E568" s="1259"/>
      <c r="F568" s="1259"/>
    </row>
    <row r="569" spans="1:6">
      <c r="A569" s="13"/>
      <c r="B569" s="13"/>
      <c r="D569" s="1259"/>
      <c r="E569" s="1259"/>
      <c r="F569" s="1259"/>
    </row>
    <row r="570" spans="1:6">
      <c r="A570" s="13"/>
      <c r="B570" s="13"/>
      <c r="D570" s="1259"/>
      <c r="E570" s="1259"/>
      <c r="F570" s="1259"/>
    </row>
    <row r="571" spans="1:6">
      <c r="A571" s="13"/>
      <c r="B571" s="13"/>
      <c r="D571" s="1259"/>
      <c r="E571" s="1259"/>
      <c r="F571" s="1259"/>
    </row>
    <row r="572" spans="1:6">
      <c r="A572" s="13"/>
      <c r="B572" s="13"/>
      <c r="D572" s="477"/>
      <c r="E572" s="477"/>
      <c r="F572" s="477"/>
    </row>
    <row r="573" spans="1:6">
      <c r="A573" s="13"/>
      <c r="B573" s="472" t="s">
        <v>313</v>
      </c>
      <c r="D573" s="1259" t="s">
        <v>1160</v>
      </c>
      <c r="E573" s="1259"/>
      <c r="F573" s="1259"/>
    </row>
    <row r="574" spans="1:6">
      <c r="A574" s="13"/>
      <c r="B574" s="13"/>
      <c r="D574" s="1259"/>
      <c r="E574" s="1259"/>
      <c r="F574" s="1259"/>
    </row>
    <row r="575" spans="1:6">
      <c r="A575" s="13"/>
      <c r="B575" s="13"/>
      <c r="D575" s="257"/>
    </row>
    <row r="576" spans="1:6">
      <c r="A576" s="13"/>
      <c r="B576" s="472" t="s">
        <v>313</v>
      </c>
      <c r="D576" s="1259" t="s">
        <v>1161</v>
      </c>
      <c r="E576" s="1259"/>
      <c r="F576" s="1259"/>
    </row>
    <row r="577" spans="1:7">
      <c r="A577" s="13"/>
      <c r="B577" s="13"/>
      <c r="D577" s="1259"/>
      <c r="E577" s="1259"/>
      <c r="F577" s="1259"/>
    </row>
    <row r="578" spans="1:7">
      <c r="A578" s="13"/>
      <c r="B578" s="13"/>
      <c r="D578" s="257"/>
    </row>
    <row r="579" spans="1:7" ht="14.25">
      <c r="A579" s="177"/>
      <c r="B579" s="472" t="s">
        <v>313</v>
      </c>
      <c r="D579" s="1259" t="s">
        <v>934</v>
      </c>
      <c r="E579" s="1259"/>
      <c r="F579" s="1259"/>
    </row>
    <row r="580" spans="1:7" ht="14.25">
      <c r="A580" s="177"/>
      <c r="B580" s="177"/>
      <c r="D580" s="257"/>
    </row>
    <row r="581" spans="1:7" ht="14.25">
      <c r="A581" s="177"/>
      <c r="B581" s="472" t="s">
        <v>313</v>
      </c>
      <c r="D581" s="1259" t="s">
        <v>1162</v>
      </c>
      <c r="E581" s="1259"/>
      <c r="F581" s="1259"/>
    </row>
    <row r="582" spans="1:7" ht="14.25">
      <c r="A582" s="177"/>
      <c r="B582" s="177"/>
      <c r="D582" s="1259"/>
      <c r="E582" s="1259"/>
      <c r="F582" s="1259"/>
    </row>
    <row r="583" spans="1:7">
      <c r="D583" s="1259"/>
      <c r="E583" s="1259"/>
      <c r="F583" s="1259"/>
    </row>
    <row r="584" spans="1:7">
      <c r="D584" s="1259"/>
      <c r="E584" s="1259"/>
      <c r="F584" s="1259"/>
    </row>
    <row r="585" spans="1:7">
      <c r="D585" s="1259"/>
      <c r="E585" s="1259"/>
      <c r="F585" s="1259"/>
    </row>
    <row r="586" spans="1:7">
      <c r="D586" s="1259"/>
      <c r="E586" s="1259"/>
      <c r="F586" s="1259"/>
    </row>
    <row r="587" spans="1:7"/>
    <row r="588" spans="1:7">
      <c r="A588" s="1260" t="s">
        <v>1142</v>
      </c>
      <c r="B588" s="1260"/>
      <c r="C588" s="1260"/>
      <c r="D588" s="1260"/>
      <c r="E588" s="1260"/>
      <c r="F588" s="1260"/>
      <c r="G588" s="1260"/>
    </row>
    <row r="589" spans="1:7"/>
    <row r="590" spans="1:7">
      <c r="D590" s="1271" t="s">
        <v>1242</v>
      </c>
      <c r="E590" s="1271"/>
      <c r="F590" s="1271"/>
    </row>
    <row r="591" spans="1:7">
      <c r="D591" s="1295" t="s">
        <v>1243</v>
      </c>
      <c r="E591" s="1295"/>
      <c r="F591" s="1295"/>
    </row>
    <row r="592" spans="1:7">
      <c r="D592" s="482"/>
      <c r="E592" s="436"/>
      <c r="F592" s="436"/>
    </row>
    <row r="593" spans="1:7" ht="14.25">
      <c r="A593" s="177"/>
      <c r="B593" s="472" t="s">
        <v>313</v>
      </c>
      <c r="D593" s="1272" t="s">
        <v>1244</v>
      </c>
      <c r="E593" s="1272"/>
      <c r="F593" s="1272"/>
    </row>
    <row r="594" spans="1:7">
      <c r="D594" s="1272"/>
      <c r="E594" s="1272"/>
      <c r="F594" s="1272"/>
    </row>
    <row r="595" spans="1:7">
      <c r="D595" s="1272"/>
      <c r="E595" s="1272"/>
      <c r="F595" s="1272"/>
    </row>
    <row r="596" spans="1:7"/>
    <row r="597" spans="1:7">
      <c r="A597" s="1260" t="s">
        <v>1143</v>
      </c>
      <c r="B597" s="1260"/>
      <c r="C597" s="1260"/>
      <c r="D597" s="1260"/>
      <c r="E597" s="1260"/>
      <c r="F597" s="1260"/>
      <c r="G597" s="1260"/>
    </row>
    <row r="598" spans="1:7">
      <c r="A598" s="35"/>
      <c r="B598" s="35"/>
    </row>
    <row r="599" spans="1:7">
      <c r="A599" s="173"/>
      <c r="B599" s="173"/>
      <c r="C599" s="173"/>
      <c r="D599" s="1296" t="s">
        <v>1245</v>
      </c>
      <c r="E599" s="1296"/>
      <c r="F599" s="1296"/>
    </row>
    <row r="600" spans="1:7">
      <c r="A600" s="173"/>
      <c r="B600" s="173"/>
      <c r="C600" s="173"/>
      <c r="D600" s="1296"/>
      <c r="E600" s="1296"/>
      <c r="F600" s="1296"/>
    </row>
    <row r="601" spans="1:7">
      <c r="C601" s="176"/>
      <c r="D601" s="1295" t="s">
        <v>1246</v>
      </c>
      <c r="E601" s="1295"/>
      <c r="F601" s="1295"/>
    </row>
    <row r="602" spans="1:7">
      <c r="C602" s="176"/>
      <c r="D602" s="482"/>
      <c r="E602" s="482"/>
      <c r="F602" s="482"/>
    </row>
    <row r="603" spans="1:7">
      <c r="A603" s="13"/>
      <c r="B603" s="472" t="s">
        <v>313</v>
      </c>
      <c r="D603" s="1295" t="s">
        <v>449</v>
      </c>
      <c r="E603" s="1295"/>
      <c r="F603" s="1295"/>
    </row>
    <row r="604" spans="1:7">
      <c r="C604" s="181"/>
      <c r="E604"/>
    </row>
    <row r="605" spans="1:7">
      <c r="A605" s="13"/>
      <c r="B605" s="472" t="s">
        <v>313</v>
      </c>
      <c r="D605" s="1270" t="s">
        <v>1247</v>
      </c>
      <c r="E605" s="1270"/>
      <c r="F605" s="1270"/>
    </row>
    <row r="606" spans="1:7">
      <c r="D606" s="1270"/>
      <c r="E606" s="1270"/>
      <c r="F606" s="1270"/>
    </row>
    <row r="607" spans="1:7">
      <c r="D607"/>
    </row>
    <row r="608" spans="1:7">
      <c r="B608" s="472" t="s">
        <v>313</v>
      </c>
      <c r="D608" s="1270" t="s">
        <v>1248</v>
      </c>
      <c r="E608" s="1270"/>
      <c r="F608" s="1270"/>
    </row>
    <row r="609" spans="1:7">
      <c r="C609" s="181"/>
      <c r="D609" s="1270"/>
      <c r="E609" s="1270"/>
      <c r="F609" s="1270"/>
    </row>
    <row r="610" spans="1:7">
      <c r="C610" s="181"/>
    </row>
    <row r="611" spans="1:7">
      <c r="B611" s="472" t="s">
        <v>313</v>
      </c>
      <c r="C611" s="181"/>
      <c r="D611" s="1270" t="s">
        <v>1249</v>
      </c>
      <c r="E611" s="1270"/>
      <c r="F611" s="1270"/>
    </row>
    <row r="612" spans="1:7">
      <c r="C612" s="181"/>
      <c r="D612" s="1270"/>
      <c r="E612" s="1270"/>
      <c r="F612" s="1270"/>
    </row>
    <row r="613" spans="1:7">
      <c r="C613" s="181"/>
    </row>
    <row r="614" spans="1:7">
      <c r="A614" s="1260" t="s">
        <v>1144</v>
      </c>
      <c r="B614" s="1260"/>
      <c r="C614" s="1260"/>
      <c r="D614" s="1260"/>
      <c r="E614" s="1260"/>
      <c r="F614" s="1260"/>
      <c r="G614" s="1260"/>
    </row>
    <row r="615" spans="1:7">
      <c r="A615" s="173"/>
      <c r="B615" s="173"/>
      <c r="C615" s="173"/>
    </row>
    <row r="616" spans="1:7">
      <c r="C616" s="13"/>
      <c r="D616" s="1271" t="s">
        <v>1250</v>
      </c>
      <c r="E616" s="1271"/>
      <c r="F616" s="1271"/>
    </row>
    <row r="617" spans="1:7">
      <c r="A617" s="13"/>
      <c r="B617" s="13"/>
      <c r="D617" s="2"/>
    </row>
    <row r="618" spans="1:7" ht="14.25">
      <c r="A618" s="177"/>
      <c r="B618" s="472" t="s">
        <v>313</v>
      </c>
      <c r="D618" s="1272" t="s">
        <v>1251</v>
      </c>
      <c r="E618" s="1272"/>
      <c r="F618" s="1272"/>
    </row>
    <row r="619" spans="1:7">
      <c r="D619" s="1272"/>
      <c r="E619" s="1272"/>
      <c r="F619" s="1272"/>
    </row>
    <row r="620" spans="1:7">
      <c r="D620" s="1272"/>
      <c r="E620" s="1272"/>
      <c r="F620" s="1272"/>
    </row>
    <row r="621" spans="1:7">
      <c r="D621" s="1272"/>
      <c r="E621" s="1272"/>
      <c r="F621" s="1272"/>
    </row>
    <row r="622" spans="1:7">
      <c r="D622" s="1272"/>
      <c r="E622" s="1272"/>
      <c r="F622" s="1272"/>
    </row>
    <row r="623" spans="1:7">
      <c r="D623" s="1272"/>
      <c r="E623" s="1272"/>
      <c r="F623" s="1272"/>
    </row>
    <row r="624" spans="1:7">
      <c r="D624" s="483"/>
      <c r="E624" s="483"/>
      <c r="F624" s="483"/>
    </row>
    <row r="625" spans="1:7" ht="14.25">
      <c r="A625" s="177"/>
      <c r="B625" s="472" t="s">
        <v>313</v>
      </c>
      <c r="D625" s="1272" t="s">
        <v>1252</v>
      </c>
      <c r="E625" s="1272"/>
      <c r="F625" s="1272"/>
    </row>
    <row r="626" spans="1:7">
      <c r="A626" s="180"/>
      <c r="B626" s="180"/>
      <c r="C626" s="180"/>
      <c r="D626" s="1272"/>
      <c r="E626" s="1272"/>
      <c r="F626" s="1272"/>
    </row>
    <row r="627" spans="1:7">
      <c r="A627" s="180"/>
      <c r="B627" s="180"/>
      <c r="C627" s="180"/>
      <c r="D627" s="35"/>
      <c r="E627" s="35"/>
      <c r="F627" s="35"/>
    </row>
    <row r="628" spans="1:7" ht="14.25">
      <c r="A628" s="177"/>
      <c r="B628" s="472" t="s">
        <v>313</v>
      </c>
      <c r="C628" s="180"/>
      <c r="D628" s="1272" t="s">
        <v>1253</v>
      </c>
      <c r="E628" s="1272"/>
      <c r="F628" s="1272"/>
    </row>
    <row r="629" spans="1:7" ht="14.25">
      <c r="A629" s="177"/>
      <c r="B629" s="177"/>
      <c r="C629" s="180"/>
      <c r="D629" s="1272"/>
      <c r="E629" s="1272"/>
      <c r="F629" s="1272"/>
    </row>
    <row r="630" spans="1:7" ht="14.25">
      <c r="A630" s="177"/>
      <c r="B630" s="177"/>
      <c r="C630" s="180"/>
      <c r="D630" s="1272"/>
      <c r="E630" s="1272"/>
      <c r="F630" s="1272"/>
    </row>
    <row r="631" spans="1:7">
      <c r="A631" s="180"/>
      <c r="B631" s="180"/>
      <c r="C631" s="180"/>
      <c r="D631" s="1272"/>
      <c r="E631" s="1272"/>
      <c r="F631" s="1272"/>
    </row>
    <row r="632" spans="1:7">
      <c r="A632" s="180"/>
      <c r="B632" s="180"/>
      <c r="C632" s="180"/>
      <c r="D632" s="483"/>
      <c r="E632" s="483"/>
      <c r="F632" s="483"/>
    </row>
    <row r="633" spans="1:7">
      <c r="A633" s="180"/>
      <c r="B633" s="472" t="s">
        <v>313</v>
      </c>
      <c r="C633" s="180"/>
      <c r="D633" s="1273" t="s">
        <v>1254</v>
      </c>
      <c r="E633" s="1273"/>
      <c r="F633" s="1273"/>
    </row>
    <row r="634" spans="1:7">
      <c r="A634" s="180"/>
      <c r="B634" s="180"/>
      <c r="C634" s="180"/>
      <c r="D634" s="484"/>
      <c r="E634" s="484"/>
      <c r="F634" s="484"/>
    </row>
    <row r="635" spans="1:7">
      <c r="A635" s="1260" t="s">
        <v>1145</v>
      </c>
      <c r="B635" s="1260"/>
      <c r="C635" s="1260"/>
      <c r="D635" s="1260"/>
      <c r="E635" s="1260"/>
      <c r="F635" s="1260"/>
      <c r="G635" s="1260"/>
    </row>
    <row r="636" spans="1:7">
      <c r="A636" s="35"/>
      <c r="B636" s="35"/>
      <c r="C636" s="180"/>
      <c r="D636" s="35"/>
      <c r="E636" s="35"/>
      <c r="F636" s="35"/>
    </row>
    <row r="637" spans="1:7">
      <c r="C637" s="173"/>
      <c r="D637" s="1261" t="s">
        <v>1304</v>
      </c>
      <c r="E637" s="1261"/>
      <c r="F637" s="1261"/>
    </row>
    <row r="638" spans="1:7">
      <c r="A638" s="176"/>
      <c r="B638" s="176"/>
      <c r="C638" s="176"/>
      <c r="D638" s="1256" t="s">
        <v>1305</v>
      </c>
      <c r="E638" s="1256"/>
      <c r="F638" s="1256"/>
    </row>
    <row r="639" spans="1:7">
      <c r="A639" s="176"/>
      <c r="B639" s="176"/>
      <c r="C639" s="176"/>
      <c r="D639" s="118"/>
      <c r="E639" s="118"/>
      <c r="F639" s="118"/>
    </row>
    <row r="640" spans="1:7" ht="14.45" customHeight="1">
      <c r="A640" s="177"/>
      <c r="B640" s="472" t="s">
        <v>313</v>
      </c>
      <c r="C640" s="180"/>
      <c r="D640" s="1246" t="s">
        <v>1306</v>
      </c>
      <c r="E640" s="1246"/>
      <c r="F640" s="1246"/>
    </row>
    <row r="641" spans="1:11" ht="14.25">
      <c r="A641" s="177"/>
      <c r="B641" s="177"/>
      <c r="C641" s="180"/>
      <c r="D641" s="1246"/>
      <c r="E641" s="1246"/>
      <c r="F641" s="1246"/>
    </row>
    <row r="642" spans="1:11" ht="14.25">
      <c r="A642" s="177"/>
      <c r="B642" s="177"/>
      <c r="C642" s="180"/>
      <c r="D642" s="1246"/>
      <c r="E642" s="1246"/>
      <c r="F642" s="1246"/>
    </row>
    <row r="643" spans="1:11" ht="14.25">
      <c r="A643" s="177"/>
      <c r="B643" s="177"/>
      <c r="C643" s="180"/>
      <c r="D643" s="1246"/>
      <c r="E643" s="1246"/>
      <c r="F643" s="1246"/>
    </row>
    <row r="644" spans="1:11" ht="14.25">
      <c r="A644" s="177"/>
      <c r="B644" s="177"/>
      <c r="C644" s="180"/>
      <c r="D644" s="1246"/>
      <c r="E644" s="1246"/>
      <c r="F644" s="1246"/>
    </row>
    <row r="645" spans="1:11" ht="14.25">
      <c r="A645" s="177"/>
      <c r="B645" s="177"/>
      <c r="C645" s="180"/>
      <c r="D645" s="478"/>
      <c r="E645" s="478"/>
      <c r="F645" s="478"/>
    </row>
    <row r="646" spans="1:11" ht="14.25">
      <c r="A646" s="177"/>
      <c r="B646" s="472" t="s">
        <v>313</v>
      </c>
      <c r="C646" s="180"/>
      <c r="D646" s="1285" t="s">
        <v>1156</v>
      </c>
      <c r="E646" s="1285"/>
      <c r="F646" s="1285"/>
    </row>
    <row r="647" spans="1:11" ht="14.25">
      <c r="A647" s="177"/>
      <c r="B647" s="177"/>
      <c r="C647" s="180"/>
      <c r="D647" s="1286" t="s">
        <v>1307</v>
      </c>
      <c r="E647" s="1286"/>
      <c r="F647" s="1286"/>
    </row>
    <row r="648" spans="1:11" ht="14.25">
      <c r="A648" s="177"/>
      <c r="B648" s="177"/>
      <c r="C648" s="180"/>
      <c r="D648" s="1286"/>
      <c r="E648" s="1286"/>
      <c r="F648" s="1286"/>
    </row>
    <row r="649" spans="1:11" ht="14.25">
      <c r="A649" s="177"/>
      <c r="B649" s="177"/>
      <c r="C649" s="180"/>
      <c r="D649" s="1286"/>
      <c r="E649" s="1286"/>
      <c r="F649" s="1286"/>
    </row>
    <row r="650" spans="1:11" ht="14.25">
      <c r="A650" s="177"/>
      <c r="B650" s="177"/>
      <c r="C650" s="180"/>
      <c r="D650" s="1286"/>
      <c r="E650" s="1286"/>
      <c r="F650" s="1286"/>
    </row>
    <row r="651" spans="1:11" ht="14.25">
      <c r="A651" s="177"/>
      <c r="B651" s="177"/>
      <c r="C651" s="180"/>
      <c r="D651" s="1286"/>
      <c r="E651" s="1286"/>
      <c r="F651" s="1286"/>
    </row>
    <row r="652" spans="1:11" ht="14.25">
      <c r="A652" s="177"/>
      <c r="B652" s="177"/>
      <c r="C652" s="180"/>
      <c r="D652" s="1287" t="s">
        <v>1308</v>
      </c>
      <c r="E652" s="1287"/>
      <c r="F652" s="1287"/>
    </row>
    <row r="653" spans="1:11">
      <c r="A653" s="180"/>
      <c r="B653" s="180"/>
      <c r="C653" s="180"/>
      <c r="D653" s="35"/>
      <c r="E653" s="35"/>
      <c r="F653" s="35"/>
    </row>
    <row r="654" spans="1:11">
      <c r="A654" s="1260" t="s">
        <v>1146</v>
      </c>
      <c r="B654" s="1260"/>
      <c r="C654" s="1260"/>
      <c r="D654" s="1260"/>
      <c r="E654" s="1260"/>
      <c r="F654" s="1260"/>
      <c r="G654" s="1260"/>
      <c r="H654" s="182"/>
      <c r="I654" s="182"/>
      <c r="J654" s="182"/>
      <c r="K654" s="182"/>
    </row>
    <row r="655" spans="1:11">
      <c r="A655" s="486"/>
      <c r="B655" s="486"/>
      <c r="C655" s="486"/>
      <c r="D655" s="486"/>
      <c r="E655" s="486"/>
      <c r="F655" s="486"/>
      <c r="G655" s="486"/>
      <c r="H655" s="182"/>
      <c r="I655" s="182"/>
      <c r="J655" s="182"/>
      <c r="K655" s="182"/>
    </row>
    <row r="656" spans="1:11">
      <c r="C656" s="173"/>
      <c r="D656" s="1261" t="s">
        <v>104</v>
      </c>
      <c r="E656" s="1261"/>
      <c r="F656" s="1261"/>
      <c r="H656" s="182"/>
      <c r="I656" s="182"/>
      <c r="J656" s="182"/>
      <c r="K656" s="182"/>
    </row>
    <row r="657" spans="1:11">
      <c r="A657" s="173"/>
      <c r="B657" s="173"/>
      <c r="C657" s="173"/>
      <c r="D657" s="1261" t="s">
        <v>128</v>
      </c>
      <c r="E657" s="1261"/>
      <c r="F657" s="1261"/>
      <c r="H657" s="182"/>
      <c r="I657" s="182"/>
      <c r="J657" s="182"/>
      <c r="K657" s="182"/>
    </row>
    <row r="658" spans="1:11">
      <c r="A658" s="176"/>
      <c r="B658" s="176"/>
      <c r="C658" s="176"/>
      <c r="D658" s="1256" t="s">
        <v>1182</v>
      </c>
      <c r="E658" s="1256"/>
      <c r="F658" s="1256"/>
      <c r="H658" s="182"/>
      <c r="I658" s="182"/>
      <c r="J658" s="182"/>
      <c r="K658" s="182"/>
    </row>
    <row r="659" spans="1:11">
      <c r="A659" s="176"/>
      <c r="B659" s="176"/>
      <c r="C659" s="176"/>
      <c r="H659" s="182"/>
      <c r="I659" s="182"/>
      <c r="J659" s="182"/>
      <c r="K659" s="182"/>
    </row>
    <row r="660" spans="1:11" ht="14.25">
      <c r="A660" s="177"/>
      <c r="B660" s="472" t="s">
        <v>313</v>
      </c>
      <c r="C660" s="176"/>
      <c r="D660" s="1256" t="s">
        <v>935</v>
      </c>
      <c r="E660" s="1256"/>
      <c r="F660" s="1256"/>
      <c r="H660" s="182"/>
      <c r="I660" s="182"/>
      <c r="J660" s="182"/>
      <c r="K660" s="182"/>
    </row>
    <row r="661" spans="1:11">
      <c r="A661" s="176"/>
      <c r="B661" s="176"/>
      <c r="C661" s="176"/>
      <c r="D661" s="1256" t="s">
        <v>946</v>
      </c>
      <c r="E661" s="1256"/>
      <c r="F661" s="1256"/>
      <c r="H661" s="182"/>
      <c r="I661" s="182"/>
      <c r="J661" s="182"/>
      <c r="K661" s="182"/>
    </row>
    <row r="662" spans="1:11">
      <c r="A662" s="176"/>
      <c r="B662" s="176"/>
      <c r="C662" s="176"/>
      <c r="D662" s="3"/>
      <c r="E662" s="1255" t="s">
        <v>1183</v>
      </c>
      <c r="F662" s="1255"/>
      <c r="H662" s="182"/>
      <c r="I662" s="182"/>
      <c r="J662" s="182"/>
      <c r="K662" s="182"/>
    </row>
    <row r="663" spans="1:11">
      <c r="A663" s="176"/>
      <c r="B663" s="176"/>
      <c r="C663" s="176"/>
      <c r="D663" s="3"/>
      <c r="E663" s="1255"/>
      <c r="F663" s="1255"/>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6" t="s">
        <v>1184</v>
      </c>
      <c r="E665" s="1246"/>
      <c r="F665" s="1246"/>
      <c r="H665" s="182"/>
      <c r="I665" s="182"/>
      <c r="J665" s="182"/>
      <c r="K665" s="182"/>
    </row>
    <row r="666" spans="1:11">
      <c r="A666" s="13"/>
      <c r="B666" s="13"/>
      <c r="C666" s="176"/>
      <c r="D666" s="1246"/>
      <c r="E666" s="1246"/>
      <c r="F666" s="1246"/>
      <c r="H666" s="182"/>
      <c r="I666" s="182"/>
      <c r="J666" s="182"/>
      <c r="K666" s="182"/>
    </row>
    <row r="667" spans="1:11">
      <c r="A667" s="176"/>
      <c r="B667" s="176"/>
      <c r="C667" s="176"/>
      <c r="D667" s="1246"/>
      <c r="E667" s="1246"/>
      <c r="F667" s="1246"/>
      <c r="H667" s="182"/>
      <c r="I667" s="182"/>
      <c r="J667" s="182"/>
      <c r="K667" s="182"/>
    </row>
    <row r="668" spans="1:11">
      <c r="A668" s="176"/>
      <c r="B668" s="176"/>
      <c r="C668" s="176"/>
      <c r="H668" s="182"/>
      <c r="I668" s="182"/>
      <c r="J668" s="182"/>
      <c r="K668" s="182"/>
    </row>
    <row r="669" spans="1:11" ht="14.25">
      <c r="A669" s="177"/>
      <c r="B669" s="472" t="s">
        <v>313</v>
      </c>
      <c r="C669" s="176"/>
      <c r="D669" s="1256" t="s">
        <v>974</v>
      </c>
      <c r="E669" s="1256"/>
      <c r="F669" s="1256"/>
      <c r="H669" s="182"/>
      <c r="I669" s="182"/>
      <c r="J669" s="182"/>
      <c r="K669" s="182"/>
    </row>
    <row r="670" spans="1:11" ht="14.25">
      <c r="A670" s="177"/>
      <c r="B670" s="177"/>
      <c r="C670" s="176"/>
      <c r="D670" s="1256" t="s">
        <v>946</v>
      </c>
      <c r="E670" s="1256"/>
      <c r="F670" s="1256"/>
      <c r="H670" s="182"/>
      <c r="I670" s="182"/>
      <c r="J670" s="182"/>
      <c r="K670" s="182"/>
    </row>
    <row r="671" spans="1:11">
      <c r="A671" s="176"/>
      <c r="B671" s="176"/>
      <c r="C671" s="176"/>
      <c r="D671" s="3"/>
      <c r="E671" s="1267" t="s">
        <v>1185</v>
      </c>
      <c r="F671" s="1267"/>
      <c r="H671" s="182"/>
      <c r="I671" s="182"/>
      <c r="J671" s="182"/>
      <c r="K671" s="182"/>
    </row>
    <row r="672" spans="1:11">
      <c r="A672" s="176"/>
      <c r="B672" s="176"/>
      <c r="C672" s="176"/>
      <c r="D672" s="2"/>
      <c r="H672" s="182"/>
      <c r="I672" s="182"/>
      <c r="J672" s="182"/>
      <c r="K672" s="182"/>
    </row>
    <row r="673" spans="1:11" ht="14.25">
      <c r="A673" s="177"/>
      <c r="B673" s="472" t="s">
        <v>313</v>
      </c>
      <c r="C673" s="176"/>
      <c r="D673" s="1246" t="s">
        <v>1195</v>
      </c>
      <c r="E673" s="1246"/>
      <c r="F673" s="1246"/>
      <c r="H673" s="182"/>
      <c r="I673" s="182"/>
      <c r="J673" s="182"/>
      <c r="K673" s="182"/>
    </row>
    <row r="674" spans="1:11">
      <c r="A674" s="176"/>
      <c r="B674" s="176"/>
      <c r="C674" s="176"/>
      <c r="D674" s="1246"/>
      <c r="E674" s="1246"/>
      <c r="F674" s="1246"/>
      <c r="H674" s="182"/>
      <c r="I674" s="182"/>
      <c r="J674" s="182"/>
      <c r="K674" s="182"/>
    </row>
    <row r="675" spans="1:11">
      <c r="A675" s="176"/>
      <c r="B675" s="176"/>
      <c r="C675" s="176"/>
      <c r="D675" s="1246"/>
      <c r="E675" s="1246"/>
      <c r="F675" s="1246"/>
      <c r="H675" s="182"/>
      <c r="I675" s="182"/>
      <c r="J675" s="182"/>
      <c r="K675" s="182"/>
    </row>
    <row r="676" spans="1:11">
      <c r="A676" s="176"/>
      <c r="B676" s="176"/>
      <c r="C676" s="176"/>
      <c r="D676" s="1246"/>
      <c r="E676" s="1246"/>
      <c r="F676" s="1246"/>
      <c r="H676" s="182"/>
      <c r="I676" s="182"/>
      <c r="J676" s="182"/>
      <c r="K676" s="182"/>
    </row>
    <row r="677" spans="1:11">
      <c r="A677" s="176"/>
      <c r="B677" s="176"/>
      <c r="C677" s="176"/>
      <c r="D677" s="1246"/>
      <c r="E677" s="1246"/>
      <c r="F677" s="1246"/>
      <c r="H677" s="182"/>
      <c r="I677" s="182"/>
      <c r="J677" s="182"/>
      <c r="K677" s="182"/>
    </row>
    <row r="678" spans="1:11">
      <c r="A678" s="176"/>
      <c r="B678" s="176"/>
      <c r="C678" s="176"/>
      <c r="D678" s="1246"/>
      <c r="E678" s="1246"/>
      <c r="F678" s="1246"/>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6" t="s">
        <v>1186</v>
      </c>
      <c r="E680" s="1246"/>
      <c r="F680" s="1246"/>
      <c r="H680" s="182"/>
      <c r="I680" s="182"/>
      <c r="J680" s="182"/>
      <c r="K680" s="182"/>
    </row>
    <row r="681" spans="1:11">
      <c r="A681" s="176"/>
      <c r="B681" s="176"/>
      <c r="C681" s="176"/>
      <c r="D681" s="1246"/>
      <c r="E681" s="1246"/>
      <c r="F681" s="1246"/>
      <c r="H681" s="182"/>
      <c r="I681" s="182"/>
      <c r="J681" s="182"/>
      <c r="K681" s="182"/>
    </row>
    <row r="682" spans="1:11">
      <c r="A682" s="176"/>
      <c r="B682" s="176"/>
      <c r="C682" s="176"/>
      <c r="D682" s="1246"/>
      <c r="E682" s="1246"/>
      <c r="F682" s="1246"/>
      <c r="H682" s="182"/>
      <c r="I682" s="182"/>
      <c r="J682" s="182"/>
      <c r="K682" s="182"/>
    </row>
    <row r="683" spans="1:11" ht="15" customHeight="1">
      <c r="A683" s="176"/>
      <c r="B683" s="176"/>
      <c r="C683" s="176"/>
      <c r="D683" s="1246"/>
      <c r="E683" s="1246"/>
      <c r="F683" s="1246"/>
      <c r="H683" s="182"/>
      <c r="I683" s="182"/>
      <c r="J683" s="182"/>
      <c r="K683" s="182"/>
    </row>
    <row r="684" spans="1:11" ht="15" customHeight="1">
      <c r="A684" s="176"/>
      <c r="B684" s="176"/>
      <c r="C684" s="176"/>
      <c r="D684" s="1246"/>
      <c r="E684" s="1246"/>
      <c r="F684" s="1246"/>
      <c r="H684" s="182"/>
      <c r="I684" s="182"/>
      <c r="J684" s="182"/>
      <c r="K684" s="182"/>
    </row>
    <row r="685" spans="1:11">
      <c r="A685" s="176"/>
      <c r="B685" s="176"/>
      <c r="C685" s="176"/>
      <c r="D685" s="1246"/>
      <c r="E685" s="1246"/>
      <c r="F685" s="1246"/>
      <c r="H685" s="182"/>
      <c r="I685" s="182"/>
      <c r="J685" s="182"/>
      <c r="K685" s="182"/>
    </row>
    <row r="686" spans="1:11">
      <c r="A686" s="176"/>
      <c r="B686" s="176"/>
      <c r="C686" s="176"/>
      <c r="D686" s="1246"/>
      <c r="E686" s="1246"/>
      <c r="F686" s="1246"/>
      <c r="H686" s="182"/>
      <c r="I686" s="182"/>
      <c r="J686" s="182"/>
      <c r="K686" s="182"/>
    </row>
    <row r="687" spans="1:11">
      <c r="A687" s="176"/>
      <c r="B687" s="176"/>
      <c r="C687" s="176"/>
      <c r="D687" s="1246"/>
      <c r="E687" s="1246"/>
      <c r="F687" s="1246"/>
      <c r="H687" s="182"/>
      <c r="I687" s="182"/>
      <c r="J687" s="182"/>
      <c r="K687" s="182"/>
    </row>
    <row r="688" spans="1:11" ht="15" customHeight="1">
      <c r="A688" s="176"/>
      <c r="B688" s="176"/>
      <c r="C688" s="176"/>
      <c r="D688" s="1246"/>
      <c r="E688" s="1246"/>
      <c r="F688" s="1246"/>
      <c r="H688" s="182"/>
      <c r="I688" s="182"/>
      <c r="J688" s="182"/>
      <c r="K688" s="182"/>
    </row>
    <row r="689" spans="1:11">
      <c r="A689" s="176"/>
      <c r="B689" s="176"/>
      <c r="C689" s="176"/>
      <c r="D689" s="1246"/>
      <c r="E689" s="1246"/>
      <c r="F689" s="1246"/>
      <c r="H689" s="182"/>
      <c r="I689" s="182"/>
      <c r="J689" s="182"/>
      <c r="K689" s="182"/>
    </row>
    <row r="690" spans="1:11">
      <c r="A690" s="176"/>
      <c r="B690" s="176"/>
      <c r="C690" s="176"/>
      <c r="D690" s="1246"/>
      <c r="E690" s="1246"/>
      <c r="F690" s="1246"/>
      <c r="H690" s="182"/>
      <c r="I690" s="182"/>
      <c r="J690" s="182"/>
      <c r="K690" s="182"/>
    </row>
    <row r="691" spans="1:11">
      <c r="A691" s="176"/>
      <c r="B691" s="176"/>
      <c r="C691" s="176"/>
      <c r="D691" s="1246"/>
      <c r="E691" s="1246"/>
      <c r="F691" s="1246"/>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6" t="s">
        <v>1196</v>
      </c>
      <c r="E693" s="1246"/>
      <c r="F693" s="1246"/>
      <c r="H693" s="182"/>
      <c r="I693" s="182"/>
      <c r="J693" s="182"/>
      <c r="K693" s="182"/>
    </row>
    <row r="694" spans="1:11">
      <c r="A694" s="176"/>
      <c r="B694" s="176"/>
      <c r="C694" s="176"/>
      <c r="D694" s="1246"/>
      <c r="E694" s="1246"/>
      <c r="F694" s="1246"/>
      <c r="H694" s="182"/>
      <c r="I694" s="182"/>
      <c r="J694" s="182"/>
      <c r="K694" s="182"/>
    </row>
    <row r="695" spans="1:11">
      <c r="A695" s="176"/>
      <c r="B695" s="176"/>
      <c r="C695" s="176"/>
      <c r="D695" s="1246"/>
      <c r="E695" s="1246"/>
      <c r="F695" s="1246"/>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6" t="s">
        <v>1193</v>
      </c>
      <c r="E697" s="1246"/>
      <c r="F697" s="1246"/>
      <c r="H697" s="182"/>
      <c r="I697" s="182"/>
      <c r="J697" s="182"/>
      <c r="K697" s="182"/>
    </row>
    <row r="698" spans="1:11">
      <c r="A698" s="176"/>
      <c r="B698" s="176"/>
      <c r="C698" s="176"/>
      <c r="D698" s="1246"/>
      <c r="E698" s="1246"/>
      <c r="F698" s="1246"/>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6" t="s">
        <v>1194</v>
      </c>
      <c r="E700" s="1246"/>
      <c r="F700" s="1246"/>
      <c r="H700" s="182"/>
      <c r="I700" s="182"/>
      <c r="J700" s="182"/>
      <c r="K700" s="182"/>
    </row>
    <row r="701" spans="1:11">
      <c r="A701" s="176"/>
      <c r="B701" s="176"/>
      <c r="C701" s="176"/>
      <c r="D701" s="1246"/>
      <c r="E701" s="1246"/>
      <c r="F701" s="1246"/>
      <c r="H701" s="182"/>
      <c r="I701" s="182"/>
      <c r="J701" s="182"/>
      <c r="K701" s="182"/>
    </row>
    <row r="702" spans="1:11">
      <c r="A702" s="176"/>
      <c r="B702" s="176"/>
      <c r="C702" s="176"/>
      <c r="D702" s="1246"/>
      <c r="E702" s="1246"/>
      <c r="F702" s="1246"/>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6" t="s">
        <v>1187</v>
      </c>
      <c r="E704" s="1246"/>
      <c r="F704" s="1246"/>
      <c r="H704" s="182"/>
      <c r="I704" s="182"/>
      <c r="J704" s="182"/>
      <c r="K704" s="182"/>
    </row>
    <row r="705" spans="1:11">
      <c r="A705" s="176"/>
      <c r="B705" s="176"/>
      <c r="C705" s="176"/>
      <c r="D705" s="1246"/>
      <c r="E705" s="1246"/>
      <c r="F705" s="1246"/>
      <c r="H705" s="182"/>
      <c r="I705" s="182"/>
      <c r="J705" s="182"/>
      <c r="K705" s="182"/>
    </row>
    <row r="706" spans="1:11">
      <c r="A706" s="176"/>
      <c r="B706" s="176"/>
      <c r="C706" s="176"/>
      <c r="D706" s="1246"/>
      <c r="E706" s="1246"/>
      <c r="F706" s="1246"/>
      <c r="H706" s="182"/>
      <c r="I706" s="182"/>
      <c r="J706" s="182"/>
      <c r="K706" s="182"/>
    </row>
    <row r="707" spans="1:11">
      <c r="A707" s="176"/>
      <c r="B707" s="176"/>
      <c r="C707" s="176"/>
      <c r="H707" s="182"/>
      <c r="I707" s="182"/>
      <c r="J707" s="182"/>
      <c r="K707" s="182"/>
    </row>
    <row r="708" spans="1:11">
      <c r="A708" s="176"/>
      <c r="B708" s="472" t="s">
        <v>313</v>
      </c>
      <c r="C708" s="176"/>
      <c r="D708" s="1246" t="s">
        <v>1188</v>
      </c>
      <c r="E708" s="1246"/>
      <c r="F708" s="1246"/>
      <c r="H708" s="182"/>
      <c r="I708" s="182"/>
      <c r="J708" s="182"/>
      <c r="K708" s="182"/>
    </row>
    <row r="709" spans="1:11">
      <c r="A709" s="176"/>
      <c r="B709" s="176"/>
      <c r="C709" s="176"/>
      <c r="D709" s="1246"/>
      <c r="E709" s="1246"/>
      <c r="F709" s="1246"/>
      <c r="H709" s="182"/>
      <c r="I709" s="182"/>
      <c r="J709" s="182"/>
      <c r="K709" s="182"/>
    </row>
    <row r="710" spans="1:11">
      <c r="A710" s="176"/>
      <c r="B710" s="176"/>
      <c r="C710" s="176"/>
      <c r="D710" s="1246"/>
      <c r="E710" s="1246"/>
      <c r="F710" s="1246"/>
      <c r="H710" s="182"/>
      <c r="I710" s="182"/>
      <c r="J710" s="182"/>
      <c r="K710" s="182"/>
    </row>
    <row r="711" spans="1:11">
      <c r="A711" s="176"/>
      <c r="B711" s="176"/>
      <c r="C711" s="176"/>
      <c r="D711"/>
      <c r="H711" s="182"/>
      <c r="I711" s="182"/>
      <c r="J711" s="182"/>
      <c r="K711" s="182"/>
    </row>
    <row r="712" spans="1:11" ht="14.25">
      <c r="A712" s="177"/>
      <c r="B712" s="472" t="s">
        <v>313</v>
      </c>
      <c r="C712" s="176"/>
      <c r="D712" s="1246" t="s">
        <v>1189</v>
      </c>
      <c r="E712" s="1246"/>
      <c r="F712" s="1246"/>
      <c r="H712" s="182"/>
      <c r="I712" s="182"/>
      <c r="J712" s="182"/>
      <c r="K712" s="182"/>
    </row>
    <row r="713" spans="1:11">
      <c r="A713" s="176"/>
      <c r="B713" s="176"/>
      <c r="C713" s="176"/>
      <c r="D713" s="1246"/>
      <c r="E713" s="1246"/>
      <c r="F713" s="1246"/>
      <c r="H713" s="182"/>
      <c r="I713" s="182"/>
      <c r="J713" s="182"/>
      <c r="K713" s="182"/>
    </row>
    <row r="714" spans="1:11">
      <c r="A714" s="176"/>
      <c r="B714" s="176"/>
      <c r="C714" s="176"/>
      <c r="D714" s="1246"/>
      <c r="E714" s="1246"/>
      <c r="F714" s="1246"/>
      <c r="H714" s="182"/>
      <c r="I714" s="182"/>
      <c r="J714" s="182"/>
      <c r="K714" s="182"/>
    </row>
    <row r="715" spans="1:11">
      <c r="A715" s="176"/>
      <c r="B715" s="176"/>
      <c r="C715" s="176"/>
      <c r="D715" s="1246"/>
      <c r="E715" s="1246"/>
      <c r="F715" s="1246"/>
      <c r="H715" s="182"/>
      <c r="I715" s="182"/>
      <c r="J715" s="182"/>
      <c r="K715" s="182"/>
    </row>
    <row r="716" spans="1:11">
      <c r="A716" s="176"/>
      <c r="B716" s="176"/>
      <c r="C716" s="176"/>
      <c r="D716" s="179"/>
      <c r="H716" s="182"/>
      <c r="I716" s="182"/>
      <c r="J716" s="182"/>
      <c r="K716" s="182"/>
    </row>
    <row r="717" spans="1:11" ht="14.25">
      <c r="A717" s="177"/>
      <c r="B717" s="472" t="s">
        <v>313</v>
      </c>
      <c r="C717" s="176"/>
      <c r="D717" s="1246" t="s">
        <v>1322</v>
      </c>
      <c r="E717" s="1246"/>
      <c r="F717" s="1246"/>
      <c r="H717" s="182"/>
      <c r="I717" s="182"/>
      <c r="J717" s="182"/>
      <c r="K717" s="182"/>
    </row>
    <row r="718" spans="1:11">
      <c r="A718" s="176"/>
      <c r="B718" s="176"/>
      <c r="C718" s="176"/>
      <c r="D718" s="1246"/>
      <c r="E718" s="1246"/>
      <c r="F718" s="1246"/>
      <c r="H718" s="182"/>
      <c r="I718" s="182"/>
      <c r="J718" s="182"/>
      <c r="K718" s="182"/>
    </row>
    <row r="719" spans="1:11">
      <c r="A719" s="176"/>
      <c r="B719" s="176"/>
      <c r="C719" s="176"/>
      <c r="D719" s="1246"/>
      <c r="E719" s="1246"/>
      <c r="F719" s="1246"/>
      <c r="H719" s="182"/>
      <c r="I719" s="182"/>
      <c r="J719" s="182"/>
      <c r="K719" s="182"/>
    </row>
    <row r="720" spans="1:11">
      <c r="A720" s="176"/>
      <c r="B720" s="176"/>
      <c r="C720" s="176"/>
      <c r="D720" s="1246"/>
      <c r="E720" s="1246"/>
      <c r="F720" s="1246"/>
      <c r="H720" s="182"/>
      <c r="I720" s="182"/>
      <c r="J720" s="182"/>
      <c r="K720" s="182"/>
    </row>
    <row r="721" spans="1:11">
      <c r="A721" s="176"/>
      <c r="B721" s="176"/>
      <c r="C721" s="176"/>
      <c r="D721" s="1246"/>
      <c r="E721" s="1246"/>
      <c r="F721" s="1246"/>
      <c r="H721" s="182"/>
      <c r="I721" s="182"/>
      <c r="J721" s="182"/>
      <c r="K721" s="182"/>
    </row>
    <row r="722" spans="1:11">
      <c r="A722" s="176"/>
      <c r="B722" s="176"/>
      <c r="C722" s="176"/>
      <c r="D722" s="1246"/>
      <c r="E722" s="1246"/>
      <c r="F722" s="1246"/>
      <c r="H722" s="182"/>
      <c r="I722" s="182"/>
      <c r="J722" s="182"/>
      <c r="K722" s="182"/>
    </row>
    <row r="723" spans="1:11">
      <c r="A723" s="176"/>
      <c r="B723" s="176"/>
      <c r="C723" s="176"/>
      <c r="D723" s="1246"/>
      <c r="E723" s="1246"/>
      <c r="F723" s="1246"/>
      <c r="H723" s="182"/>
      <c r="I723" s="182"/>
      <c r="J723" s="182"/>
      <c r="K723" s="182"/>
    </row>
    <row r="724" spans="1:11">
      <c r="A724" s="176"/>
      <c r="B724" s="176"/>
      <c r="C724" s="176"/>
      <c r="D724" s="1290" t="s">
        <v>1190</v>
      </c>
      <c r="E724" s="1290"/>
      <c r="F724" s="1290"/>
      <c r="H724" s="182"/>
      <c r="I724" s="182"/>
      <c r="J724" s="182"/>
      <c r="K724" s="182"/>
    </row>
    <row r="725" spans="1:11">
      <c r="A725" s="176"/>
      <c r="B725" s="176"/>
      <c r="C725" s="176"/>
      <c r="D725" s="372"/>
      <c r="H725" s="182"/>
      <c r="I725" s="182"/>
      <c r="J725" s="182"/>
      <c r="K725" s="182"/>
    </row>
    <row r="726" spans="1:11">
      <c r="A726" s="1292" t="s">
        <v>1147</v>
      </c>
      <c r="B726" s="1292"/>
      <c r="C726" s="1292"/>
      <c r="D726" s="1292"/>
      <c r="E726" s="1292"/>
      <c r="F726" s="1292"/>
      <c r="G726" s="1292"/>
      <c r="H726" s="182"/>
      <c r="I726" s="182"/>
      <c r="J726" s="182"/>
      <c r="K726" s="182"/>
    </row>
    <row r="727" spans="1:11">
      <c r="A727" s="176"/>
      <c r="B727" s="176"/>
      <c r="C727" s="176"/>
      <c r="D727" s="179"/>
      <c r="G727" s="184"/>
      <c r="H727" s="182"/>
      <c r="I727" s="182"/>
      <c r="J727" s="182"/>
      <c r="K727" s="182"/>
    </row>
    <row r="728" spans="1:11" ht="13.15" customHeight="1">
      <c r="C728" s="176"/>
      <c r="D728" s="1278" t="s">
        <v>1163</v>
      </c>
      <c r="E728" s="1278"/>
      <c r="F728" s="1278"/>
      <c r="G728" s="184"/>
      <c r="H728" s="182"/>
      <c r="I728" s="182"/>
      <c r="J728" s="182"/>
      <c r="K728" s="182"/>
    </row>
    <row r="729" spans="1:11">
      <c r="A729" s="176"/>
      <c r="B729" s="176"/>
      <c r="C729" s="176"/>
      <c r="D729" s="1289" t="s">
        <v>1164</v>
      </c>
      <c r="E729" s="1289"/>
      <c r="F729" s="1289"/>
      <c r="G729" s="184"/>
      <c r="H729" s="182"/>
      <c r="I729" s="182"/>
      <c r="J729" s="182"/>
      <c r="K729" s="182"/>
    </row>
    <row r="730" spans="1:11">
      <c r="A730" s="176"/>
      <c r="B730" s="176"/>
      <c r="C730" s="176"/>
      <c r="G730" s="184"/>
      <c r="H730" s="182"/>
      <c r="I730" s="182"/>
      <c r="J730" s="182"/>
      <c r="K730" s="182"/>
    </row>
    <row r="731" spans="1:11" ht="14.25">
      <c r="A731" s="177"/>
      <c r="B731" s="472" t="s">
        <v>313</v>
      </c>
      <c r="D731" s="1246" t="s">
        <v>1165</v>
      </c>
      <c r="E731" s="1246"/>
      <c r="F731" s="1246"/>
      <c r="G731" s="184"/>
      <c r="H731" s="182"/>
      <c r="I731" s="182"/>
      <c r="J731" s="182"/>
      <c r="K731" s="182"/>
    </row>
    <row r="732" spans="1:11" ht="10.5" customHeight="1">
      <c r="D732" s="1246"/>
      <c r="E732" s="1246"/>
      <c r="F732" s="1246"/>
      <c r="G732" s="184"/>
      <c r="H732" s="182"/>
      <c r="I732" s="182"/>
      <c r="J732" s="182"/>
      <c r="K732" s="182"/>
    </row>
    <row r="733" spans="1:11">
      <c r="D733" s="1246"/>
      <c r="E733" s="1246"/>
      <c r="F733" s="1246"/>
      <c r="G733" s="184"/>
      <c r="H733" s="182"/>
      <c r="I733" s="182"/>
      <c r="J733" s="182"/>
      <c r="K733" s="182"/>
    </row>
    <row r="734" spans="1:11">
      <c r="D734" s="1246"/>
      <c r="E734" s="1246"/>
      <c r="F734" s="1246"/>
      <c r="G734" s="184"/>
      <c r="H734" s="182"/>
      <c r="I734" s="182"/>
      <c r="J734" s="182"/>
      <c r="K734" s="182"/>
    </row>
    <row r="735" spans="1:11">
      <c r="D735" s="1246"/>
      <c r="E735" s="1246"/>
      <c r="F735" s="1246"/>
      <c r="G735" s="184"/>
      <c r="H735" s="182"/>
      <c r="I735" s="182"/>
      <c r="J735" s="182"/>
      <c r="K735" s="182"/>
    </row>
    <row r="736" spans="1:11" ht="15.6" customHeight="1">
      <c r="D736" s="1246"/>
      <c r="E736" s="1246"/>
      <c r="F736" s="1246"/>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6" t="s">
        <v>1166</v>
      </c>
      <c r="E738" s="1246"/>
      <c r="F738" s="1246"/>
      <c r="G738" s="211"/>
    </row>
    <row r="739" spans="1:11" s="276" customFormat="1">
      <c r="A739" s="275"/>
      <c r="B739" s="275"/>
      <c r="C739" s="275"/>
      <c r="D739" s="1246"/>
      <c r="E739" s="1246"/>
      <c r="F739" s="1246"/>
      <c r="G739" s="211"/>
    </row>
    <row r="740" spans="1:11" s="276" customFormat="1">
      <c r="A740" s="275"/>
      <c r="B740" s="275"/>
      <c r="C740" s="275"/>
      <c r="D740" s="1246"/>
      <c r="E740" s="1246"/>
      <c r="F740" s="1246"/>
      <c r="G740" s="211"/>
    </row>
    <row r="741" spans="1:11" s="276" customFormat="1">
      <c r="A741" s="275"/>
      <c r="B741" s="275"/>
      <c r="C741" s="275"/>
      <c r="D741" s="1246"/>
      <c r="E741" s="1246"/>
      <c r="F741" s="1246"/>
      <c r="G741" s="211"/>
    </row>
    <row r="742" spans="1:11" s="276" customFormat="1">
      <c r="A742" s="275"/>
      <c r="B742" s="275"/>
      <c r="C742" s="275"/>
      <c r="D742" s="257"/>
      <c r="E742" s="211"/>
      <c r="F742" s="211"/>
      <c r="G742" s="211"/>
    </row>
    <row r="743" spans="1:11" s="276" customFormat="1" ht="14.25">
      <c r="A743" s="177"/>
      <c r="B743" s="472" t="s">
        <v>313</v>
      </c>
      <c r="C743" s="275"/>
      <c r="D743" s="1286" t="s">
        <v>1167</v>
      </c>
      <c r="E743" s="1286"/>
      <c r="F743" s="1286"/>
      <c r="G743" s="211"/>
    </row>
    <row r="744" spans="1:11" s="276" customFormat="1">
      <c r="A744" s="275"/>
      <c r="B744" s="275"/>
      <c r="C744" s="275"/>
      <c r="D744" s="1286"/>
      <c r="E744" s="1286"/>
      <c r="F744" s="1286"/>
      <c r="G744" s="211"/>
    </row>
    <row r="745" spans="1:11" s="276" customFormat="1">
      <c r="A745" s="275"/>
      <c r="B745" s="275"/>
      <c r="C745" s="275"/>
      <c r="D745" s="1286"/>
      <c r="E745" s="1286"/>
      <c r="F745" s="1286"/>
      <c r="G745" s="211"/>
    </row>
    <row r="746" spans="1:11">
      <c r="D746" s="257"/>
      <c r="E746" s="35"/>
      <c r="F746" s="35"/>
      <c r="G746" s="184"/>
      <c r="H746" s="182"/>
      <c r="I746" s="182"/>
      <c r="J746" s="182"/>
      <c r="K746" s="182"/>
    </row>
    <row r="747" spans="1:11" ht="14.25">
      <c r="A747" s="177"/>
      <c r="B747" s="472" t="s">
        <v>313</v>
      </c>
      <c r="D747" s="1246" t="s">
        <v>1168</v>
      </c>
      <c r="E747" s="1246"/>
      <c r="F747" s="1246"/>
      <c r="G747" s="184"/>
      <c r="H747" s="182"/>
      <c r="I747" s="182"/>
      <c r="J747" s="182"/>
      <c r="K747" s="182"/>
    </row>
    <row r="748" spans="1:11">
      <c r="D748" s="1246"/>
      <c r="E748" s="1246"/>
      <c r="F748" s="1246"/>
      <c r="G748" s="184"/>
      <c r="H748" s="182"/>
      <c r="I748" s="182"/>
      <c r="J748" s="182"/>
      <c r="K748" s="182"/>
    </row>
    <row r="749" spans="1:11">
      <c r="D749" s="478"/>
      <c r="E749" s="478"/>
      <c r="F749" s="478"/>
      <c r="G749" s="184"/>
      <c r="H749" s="182"/>
      <c r="I749" s="182"/>
      <c r="J749" s="182"/>
      <c r="K749" s="182"/>
    </row>
    <row r="750" spans="1:11">
      <c r="B750" s="472" t="s">
        <v>313</v>
      </c>
      <c r="D750" s="1246" t="s">
        <v>1169</v>
      </c>
      <c r="E750" s="1246"/>
      <c r="F750" s="1246"/>
      <c r="G750" s="184"/>
      <c r="H750" s="182"/>
      <c r="I750" s="182"/>
      <c r="J750" s="182"/>
      <c r="K750" s="182"/>
    </row>
    <row r="751" spans="1:11">
      <c r="D751" s="1246"/>
      <c r="E751" s="1246"/>
      <c r="F751" s="1246"/>
      <c r="G751" s="184"/>
      <c r="H751" s="182"/>
      <c r="I751" s="182"/>
      <c r="J751" s="182"/>
      <c r="K751" s="182"/>
    </row>
    <row r="752" spans="1:11">
      <c r="D752" s="1246"/>
      <c r="E752" s="1246"/>
      <c r="F752" s="1246"/>
      <c r="G752" s="184"/>
      <c r="H752" s="182"/>
      <c r="I752" s="182"/>
      <c r="J752" s="182"/>
      <c r="K752" s="182"/>
    </row>
    <row r="753" spans="1:11">
      <c r="D753" s="478"/>
      <c r="E753" s="478"/>
      <c r="F753" s="478"/>
      <c r="G753" s="184"/>
      <c r="H753" s="182"/>
      <c r="I753" s="182"/>
      <c r="J753" s="182"/>
      <c r="K753" s="182"/>
    </row>
    <row r="754" spans="1:11">
      <c r="A754" s="1260" t="s">
        <v>1170</v>
      </c>
      <c r="B754" s="1260"/>
      <c r="C754" s="1260"/>
      <c r="D754" s="1260"/>
      <c r="E754" s="1260"/>
      <c r="F754" s="1260"/>
      <c r="G754" s="1260"/>
    </row>
    <row r="755" spans="1:11">
      <c r="A755" s="176"/>
      <c r="B755" s="176"/>
      <c r="C755" s="176"/>
      <c r="D755" s="185"/>
      <c r="F755" s="35"/>
      <c r="G755" s="184"/>
    </row>
    <row r="756" spans="1:11">
      <c r="D756" s="1293" t="s">
        <v>1154</v>
      </c>
      <c r="E756" s="1293"/>
      <c r="F756" s="1293"/>
      <c r="G756" s="184"/>
    </row>
    <row r="757" spans="1:11">
      <c r="A757" s="348"/>
      <c r="B757" s="348"/>
      <c r="C757" s="348"/>
      <c r="D757" s="1275" t="s">
        <v>1171</v>
      </c>
      <c r="E757" s="1275"/>
      <c r="F757" s="1275"/>
      <c r="G757" s="184"/>
    </row>
    <row r="758" spans="1:11">
      <c r="D758" s="436"/>
      <c r="E758" s="436"/>
      <c r="F758" s="436"/>
      <c r="G758" s="184"/>
    </row>
    <row r="759" spans="1:11" ht="14.25">
      <c r="A759" s="177"/>
      <c r="B759" s="472" t="s">
        <v>313</v>
      </c>
      <c r="D759" s="1275" t="s">
        <v>1046</v>
      </c>
      <c r="E759" s="1275"/>
      <c r="F759" s="1275"/>
      <c r="G759" s="184"/>
    </row>
    <row r="760" spans="1:11">
      <c r="D760" s="436"/>
      <c r="E760" s="1288" t="s">
        <v>1155</v>
      </c>
      <c r="F760" s="1288"/>
      <c r="G760" s="184"/>
    </row>
    <row r="761" spans="1:11">
      <c r="A761" s="173"/>
      <c r="B761" s="173"/>
      <c r="C761" s="173"/>
      <c r="D761" s="35"/>
      <c r="G761" s="184"/>
    </row>
    <row r="762" spans="1:11">
      <c r="A762" s="1291" t="s">
        <v>466</v>
      </c>
      <c r="B762" s="1291"/>
      <c r="C762" s="1291"/>
      <c r="D762" s="1291"/>
      <c r="E762" s="1291"/>
      <c r="F762" s="1291"/>
      <c r="G762" s="1291"/>
    </row>
    <row r="763" spans="1:11">
      <c r="A763" s="173"/>
      <c r="B763" s="173"/>
      <c r="C763" s="180"/>
      <c r="D763" s="184"/>
      <c r="E763" s="184"/>
      <c r="F763" s="184"/>
      <c r="G763" s="184"/>
    </row>
    <row r="764" spans="1:11">
      <c r="A764" s="35"/>
      <c r="B764" s="1289" t="s">
        <v>1045</v>
      </c>
      <c r="C764" s="1289"/>
      <c r="D764" s="1289"/>
      <c r="E764" s="1289"/>
      <c r="F764" s="1289"/>
      <c r="G764" s="184"/>
    </row>
    <row r="765" spans="1:11">
      <c r="A765" s="13"/>
      <c r="B765" s="13"/>
      <c r="G765" s="184"/>
    </row>
    <row r="766" spans="1:11">
      <c r="A766" s="1291" t="s">
        <v>467</v>
      </c>
      <c r="B766" s="1291"/>
      <c r="C766" s="1291"/>
      <c r="D766" s="1291"/>
      <c r="E766" s="1291"/>
      <c r="F766" s="1291"/>
      <c r="G766" s="1291"/>
    </row>
    <row r="767" spans="1:11">
      <c r="A767" s="173"/>
      <c r="B767" s="173"/>
      <c r="C767" s="173"/>
      <c r="D767" s="179"/>
      <c r="G767" s="184"/>
    </row>
    <row r="768" spans="1:11">
      <c r="A768" s="35"/>
      <c r="B768" s="1256" t="s">
        <v>465</v>
      </c>
      <c r="C768" s="1256"/>
      <c r="D768" s="1256"/>
      <c r="E768" s="1256"/>
      <c r="F768" s="1256"/>
      <c r="G768" s="184"/>
    </row>
    <row r="769" spans="1:7" ht="14.25">
      <c r="A769" s="177"/>
      <c r="B769" s="177"/>
      <c r="D769" s="35"/>
      <c r="E769" s="35"/>
      <c r="F769" s="184"/>
      <c r="G769" s="184"/>
    </row>
    <row r="770" spans="1:7">
      <c r="A770" s="1291" t="s">
        <v>468</v>
      </c>
      <c r="B770" s="1291"/>
      <c r="C770" s="1291"/>
      <c r="D770" s="1291"/>
      <c r="E770" s="1291"/>
      <c r="F770" s="1291"/>
      <c r="G770" s="1291"/>
    </row>
    <row r="771" spans="1:7">
      <c r="C771" s="176"/>
      <c r="D771" s="174"/>
      <c r="E771" s="35"/>
      <c r="F771" s="184"/>
      <c r="G771" s="184"/>
    </row>
    <row r="772" spans="1:7">
      <c r="A772" s="35"/>
      <c r="B772" s="1256" t="s">
        <v>465</v>
      </c>
      <c r="C772" s="1256"/>
      <c r="D772" s="1256"/>
      <c r="E772" s="1256"/>
      <c r="F772" s="1256"/>
      <c r="G772" s="184"/>
    </row>
    <row r="773" spans="1:7">
      <c r="A773" s="35"/>
      <c r="B773" s="35"/>
      <c r="C773" s="180"/>
      <c r="D773" s="184"/>
      <c r="E773" s="184"/>
      <c r="F773" s="184"/>
      <c r="G773" s="184"/>
    </row>
    <row r="774" spans="1:7">
      <c r="A774" s="1291" t="s">
        <v>469</v>
      </c>
      <c r="B774" s="1291"/>
      <c r="C774" s="1291"/>
      <c r="D774" s="1291"/>
      <c r="E774" s="1291"/>
      <c r="F774" s="1291"/>
      <c r="G774" s="1291"/>
    </row>
    <row r="775" spans="1:7">
      <c r="A775" s="35"/>
      <c r="B775" s="35"/>
    </row>
    <row r="776" spans="1:7">
      <c r="A776" s="35"/>
      <c r="B776" s="1256" t="s">
        <v>465</v>
      </c>
      <c r="C776" s="1256"/>
      <c r="D776" s="1256"/>
      <c r="E776" s="1256"/>
      <c r="F776" s="1256"/>
    </row>
    <row r="777" spans="1:7">
      <c r="A777" s="180"/>
      <c r="B777" s="180"/>
      <c r="C777" s="180"/>
      <c r="D777" s="175"/>
      <c r="F777" s="184"/>
    </row>
    <row r="778" spans="1:7">
      <c r="A778" s="1291" t="s">
        <v>470</v>
      </c>
      <c r="B778" s="1291"/>
      <c r="C778" s="1291"/>
      <c r="D778" s="1291"/>
      <c r="E778" s="1291"/>
      <c r="F778" s="1291"/>
      <c r="G778" s="1291"/>
    </row>
    <row r="779" spans="1:7">
      <c r="A779" s="35"/>
      <c r="B779" s="35"/>
    </row>
    <row r="780" spans="1:7">
      <c r="A780" s="35"/>
      <c r="B780" s="1256" t="s">
        <v>465</v>
      </c>
      <c r="C780" s="1256"/>
      <c r="D780" s="1256"/>
      <c r="E780" s="1256"/>
      <c r="F780" s="1256"/>
    </row>
    <row r="781" spans="1:7">
      <c r="A781" s="180"/>
      <c r="B781" s="180"/>
      <c r="C781" s="180"/>
      <c r="D781" s="175"/>
      <c r="F781" s="184"/>
    </row>
    <row r="782" spans="1:7">
      <c r="A782" s="1291" t="s">
        <v>471</v>
      </c>
      <c r="B782" s="1291"/>
      <c r="C782" s="1291"/>
      <c r="D782" s="1291"/>
      <c r="E782" s="1291"/>
      <c r="F782" s="1291"/>
      <c r="G782" s="1291"/>
    </row>
    <row r="783" spans="1:7">
      <c r="A783" s="35"/>
      <c r="B783" s="35"/>
    </row>
    <row r="784" spans="1:7">
      <c r="A784" s="35"/>
      <c r="B784" s="1256" t="s">
        <v>465</v>
      </c>
      <c r="C784" s="1256"/>
      <c r="D784" s="1256"/>
      <c r="E784" s="1256"/>
      <c r="F784" s="1256"/>
    </row>
    <row r="785" spans="1:7">
      <c r="D785" s="175"/>
    </row>
    <row r="786" spans="1:7">
      <c r="A786" s="1291" t="s">
        <v>192</v>
      </c>
      <c r="B786" s="1291"/>
      <c r="C786" s="1291"/>
      <c r="D786" s="1291"/>
      <c r="E786" s="1291"/>
      <c r="F786" s="1291"/>
      <c r="G786" s="1291"/>
    </row>
    <row r="787" spans="1:7">
      <c r="A787" s="35"/>
      <c r="B787" s="35"/>
    </row>
    <row r="788" spans="1:7">
      <c r="A788" s="35"/>
      <c r="B788" s="1256" t="s">
        <v>465</v>
      </c>
      <c r="C788" s="1256"/>
      <c r="D788" s="1256"/>
      <c r="E788" s="1256"/>
      <c r="F788" s="1256"/>
    </row>
    <row r="789" spans="1:7">
      <c r="A789" s="35"/>
      <c r="B789" s="35"/>
      <c r="D789" s="175"/>
    </row>
    <row r="790" spans="1:7">
      <c r="A790" s="1291" t="s">
        <v>922</v>
      </c>
      <c r="B790" s="1291"/>
      <c r="C790" s="1291"/>
      <c r="D790" s="1291"/>
      <c r="E790" s="1291"/>
      <c r="F790" s="1291"/>
      <c r="G790" s="1291"/>
    </row>
    <row r="791" spans="1:7">
      <c r="A791" s="35"/>
      <c r="B791" s="35"/>
    </row>
    <row r="792" spans="1:7">
      <c r="A792" s="35"/>
      <c r="B792" s="1256" t="s">
        <v>465</v>
      </c>
      <c r="C792" s="1256"/>
      <c r="D792" s="1256"/>
      <c r="E792" s="1256"/>
      <c r="F792" s="1256"/>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436" customWidth="1"/>
    <col min="11" max="16384" width="8.85546875" style="436" hidden="1"/>
  </cols>
  <sheetData>
    <row r="1" spans="1:10" ht="14.25" customHeight="1"/>
    <row r="2" spans="1:10" ht="15.75">
      <c r="A2" s="1297" t="s">
        <v>2190</v>
      </c>
      <c r="B2" s="1298"/>
      <c r="C2" s="1298"/>
      <c r="D2" s="1298"/>
      <c r="E2" s="1298"/>
      <c r="F2" s="1298"/>
      <c r="G2" s="1298"/>
      <c r="H2" s="1298"/>
      <c r="I2" s="1298"/>
      <c r="J2" s="1298"/>
    </row>
    <row r="3" spans="1:10" ht="15">
      <c r="A3" s="1301" t="s">
        <v>1450</v>
      </c>
      <c r="B3" s="1302"/>
      <c r="C3" s="1302"/>
      <c r="D3" s="1302"/>
      <c r="E3" s="1302"/>
      <c r="F3" s="1302"/>
      <c r="G3" s="1302"/>
      <c r="H3" s="1302"/>
      <c r="I3" s="1302"/>
      <c r="J3" s="1302"/>
    </row>
    <row r="4" spans="1:10" ht="12.75"/>
    <row r="5" spans="1:10" ht="12.75" customHeight="1">
      <c r="A5" s="1299" t="s">
        <v>2518</v>
      </c>
      <c r="B5" s="1299"/>
      <c r="C5" s="1299"/>
      <c r="D5" s="1299"/>
      <c r="E5" s="1299"/>
      <c r="F5" s="1299"/>
      <c r="G5" s="1299"/>
      <c r="H5" s="1299"/>
      <c r="I5" s="1299"/>
      <c r="J5" s="1299"/>
    </row>
    <row r="6" spans="1:10" ht="12.75">
      <c r="A6" s="1299"/>
      <c r="B6" s="1299"/>
      <c r="C6" s="1299"/>
      <c r="D6" s="1299"/>
      <c r="E6" s="1299"/>
      <c r="F6" s="1299"/>
      <c r="G6" s="1299"/>
      <c r="H6" s="1299"/>
      <c r="I6" s="1299"/>
      <c r="J6" s="1299"/>
    </row>
    <row r="7" spans="1:10" ht="30" customHeight="1">
      <c r="A7" s="1299"/>
      <c r="B7" s="1299"/>
      <c r="C7" s="1299"/>
      <c r="D7" s="1299"/>
      <c r="E7" s="1299"/>
      <c r="F7" s="1299"/>
      <c r="G7" s="1299"/>
      <c r="H7" s="1299"/>
      <c r="I7" s="1299"/>
      <c r="J7" s="1299"/>
    </row>
    <row r="8" spans="1:10" ht="12.75">
      <c r="A8" s="450"/>
      <c r="B8" s="450"/>
      <c r="C8" s="450"/>
      <c r="D8" s="450"/>
      <c r="E8" s="450"/>
      <c r="F8" s="450"/>
      <c r="G8" s="450"/>
      <c r="H8" s="450"/>
      <c r="I8" s="450"/>
      <c r="J8" s="450"/>
    </row>
    <row r="9" spans="1:10" ht="12.75" customHeight="1">
      <c r="A9" s="436" t="s">
        <v>2193</v>
      </c>
      <c r="B9" s="450"/>
      <c r="C9" s="450"/>
      <c r="D9" s="450"/>
      <c r="E9" s="450"/>
      <c r="F9" s="450"/>
      <c r="G9" s="450"/>
      <c r="H9" s="450"/>
      <c r="I9" s="450"/>
      <c r="J9" s="450"/>
    </row>
    <row r="10" spans="1:10" ht="12.75"/>
    <row r="11" spans="1:10" ht="12.75" customHeight="1">
      <c r="A11" s="1303" t="s">
        <v>2195</v>
      </c>
      <c r="B11" s="1303"/>
      <c r="C11" s="1303"/>
      <c r="D11" s="1303"/>
      <c r="E11" s="1303"/>
      <c r="F11" s="1303"/>
      <c r="G11" s="1303"/>
      <c r="H11" s="1303"/>
      <c r="I11" s="1303"/>
      <c r="J11" s="1303"/>
    </row>
    <row r="12" spans="1:10" ht="12.75">
      <c r="A12" s="1303"/>
      <c r="B12" s="1303"/>
      <c r="C12" s="1303"/>
      <c r="D12" s="1303"/>
      <c r="E12" s="1303"/>
      <c r="F12" s="1303"/>
      <c r="G12" s="1303"/>
      <c r="H12" s="1303"/>
      <c r="I12" s="1303"/>
      <c r="J12" s="1303"/>
    </row>
    <row r="13" spans="1:10" ht="12.75">
      <c r="A13" s="1303"/>
      <c r="B13" s="1303"/>
      <c r="C13" s="1303"/>
      <c r="D13" s="1303"/>
      <c r="E13" s="1303"/>
      <c r="F13" s="1303"/>
      <c r="G13" s="1303"/>
      <c r="H13" s="1303"/>
      <c r="I13" s="1303"/>
      <c r="J13" s="1303"/>
    </row>
    <row r="14" spans="1:10" ht="12.75">
      <c r="A14" s="1303"/>
      <c r="B14" s="1303"/>
      <c r="C14" s="1303"/>
      <c r="D14" s="1303"/>
      <c r="E14" s="1303"/>
      <c r="F14" s="1303"/>
      <c r="G14" s="1303"/>
      <c r="H14" s="1303"/>
      <c r="I14" s="1303"/>
      <c r="J14" s="1303"/>
    </row>
    <row r="15" spans="1:10" ht="12.75">
      <c r="A15" s="1303"/>
      <c r="B15" s="1303"/>
      <c r="C15" s="1303"/>
      <c r="D15" s="1303"/>
      <c r="E15" s="1303"/>
      <c r="F15" s="1303"/>
      <c r="G15" s="1303"/>
      <c r="H15" s="1303"/>
      <c r="I15" s="1303"/>
      <c r="J15" s="1303"/>
    </row>
    <row r="16" spans="1:10" ht="12.75">
      <c r="A16" s="1303"/>
      <c r="B16" s="1303"/>
      <c r="C16" s="1303"/>
      <c r="D16" s="1303"/>
      <c r="E16" s="1303"/>
      <c r="F16" s="1303"/>
      <c r="G16" s="1303"/>
      <c r="H16" s="1303"/>
      <c r="I16" s="1303"/>
      <c r="J16" s="1303"/>
    </row>
    <row r="17" spans="1:10" ht="12.75">
      <c r="A17" s="562"/>
      <c r="B17" s="562"/>
      <c r="C17" s="562"/>
      <c r="D17" s="562"/>
      <c r="E17" s="562"/>
      <c r="F17" s="562"/>
      <c r="G17" s="562"/>
      <c r="H17" s="562"/>
      <c r="I17" s="562"/>
      <c r="J17" s="562"/>
    </row>
    <row r="18" spans="1:10" ht="12.75">
      <c r="A18" s="514" t="s">
        <v>2194</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302" t="s">
        <v>1354</v>
      </c>
      <c r="B20" s="1302"/>
      <c r="C20" s="1302"/>
      <c r="D20" s="1302"/>
      <c r="E20" s="130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9" t="s">
        <v>1355</v>
      </c>
      <c r="B57" s="1299"/>
      <c r="C57" s="1299"/>
      <c r="D57" s="1299"/>
      <c r="E57" s="1299"/>
      <c r="F57" s="1299"/>
      <c r="G57" s="1299"/>
      <c r="H57" s="1299"/>
      <c r="I57" s="1299"/>
      <c r="J57" s="1299"/>
    </row>
    <row r="58" spans="1:10" ht="12.75">
      <c r="A58" s="1299"/>
      <c r="B58" s="1299"/>
      <c r="C58" s="1299"/>
      <c r="D58" s="1299"/>
      <c r="E58" s="1299"/>
      <c r="F58" s="1299"/>
      <c r="G58" s="1299"/>
      <c r="H58" s="1299"/>
      <c r="I58" s="1299"/>
      <c r="J58" s="1299"/>
    </row>
    <row r="59" spans="1:10" ht="12.75">
      <c r="A59" s="1299"/>
      <c r="B59" s="1299"/>
      <c r="C59" s="1299"/>
      <c r="D59" s="1299"/>
      <c r="E59" s="1299"/>
      <c r="F59" s="1299"/>
      <c r="G59" s="1299"/>
      <c r="H59" s="1299"/>
      <c r="I59" s="1299"/>
      <c r="J59" s="1299"/>
    </row>
    <row r="60" spans="1:10" ht="12.75"/>
    <row r="61" spans="1:10" ht="12.75">
      <c r="A61" s="436"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300" t="s">
        <v>2191</v>
      </c>
      <c r="B72" s="1300"/>
      <c r="C72" s="1300"/>
      <c r="D72" s="1300"/>
      <c r="E72" s="1300"/>
      <c r="F72" s="1300"/>
      <c r="G72" s="1300"/>
      <c r="H72" s="1300"/>
      <c r="I72" s="1300"/>
    </row>
    <row r="73" spans="1:9" ht="12.75">
      <c r="A73" s="1252" t="s">
        <v>2516</v>
      </c>
      <c r="B73" s="1252"/>
      <c r="C73" s="1252"/>
      <c r="D73" s="1252"/>
      <c r="E73" s="1252"/>
    </row>
    <row r="74" spans="1:9" ht="12.75">
      <c r="A74" s="1252" t="s">
        <v>2517</v>
      </c>
      <c r="B74" s="1252"/>
      <c r="C74" s="1252"/>
      <c r="D74" s="1252"/>
      <c r="E74" s="1252"/>
    </row>
    <row r="75" spans="1:9" ht="12.75">
      <c r="A75" s="1252" t="s">
        <v>2192</v>
      </c>
      <c r="B75" s="1252"/>
      <c r="C75" s="1252"/>
      <c r="D75" s="1252"/>
      <c r="E75" s="125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5703125" style="518" customWidth="1"/>
    <col min="2" max="2" width="13.5703125" style="518" customWidth="1"/>
    <col min="3" max="3" width="2.5703125" style="518" customWidth="1"/>
    <col min="4" max="5" width="3.5703125" style="436" customWidth="1"/>
    <col min="6" max="6" width="65.5703125" style="436" customWidth="1"/>
    <col min="7" max="7" width="1.5703125" style="436" customWidth="1"/>
    <col min="8" max="8" width="3.5703125" style="436" customWidth="1"/>
    <col min="9" max="9" width="24.42578125" style="438" customWidth="1"/>
    <col min="10" max="16" width="0" style="436" hidden="1" customWidth="1"/>
    <col min="17" max="16384" width="8.85546875" style="436" hidden="1"/>
  </cols>
  <sheetData>
    <row r="1" spans="1:13"/>
    <row r="2" spans="1:13">
      <c r="A2" s="1321" t="s">
        <v>2519</v>
      </c>
      <c r="B2" s="1321"/>
      <c r="C2" s="1321"/>
      <c r="D2" s="1321"/>
      <c r="E2" s="1321"/>
      <c r="F2" s="1321"/>
      <c r="G2" s="1321"/>
      <c r="H2" s="1321"/>
      <c r="I2" s="1321"/>
    </row>
    <row r="3" spans="1:13">
      <c r="A3" s="1317" t="s">
        <v>2058</v>
      </c>
      <c r="B3" s="1317"/>
      <c r="C3" s="1317"/>
      <c r="D3" s="1317"/>
      <c r="E3" s="1317"/>
      <c r="F3" s="1317"/>
      <c r="G3" s="1317"/>
      <c r="H3" s="1317"/>
      <c r="I3" s="1317"/>
    </row>
    <row r="4" spans="1:13">
      <c r="A4" s="1317"/>
      <c r="B4" s="1317"/>
      <c r="C4" s="1302"/>
      <c r="D4" s="1302"/>
      <c r="E4" s="1302"/>
      <c r="F4" s="1302"/>
      <c r="G4" s="1302"/>
    </row>
    <row r="5" spans="1:13">
      <c r="A5" s="1317"/>
      <c r="B5" s="1317"/>
      <c r="C5" s="1302"/>
      <c r="D5" s="1302"/>
      <c r="E5" s="1302"/>
      <c r="F5" s="1302"/>
      <c r="G5" s="1302"/>
    </row>
    <row r="6" spans="1:13">
      <c r="A6" s="1321" t="s">
        <v>1224</v>
      </c>
      <c r="B6" s="1321"/>
      <c r="C6" s="1322"/>
      <c r="D6" s="1322"/>
      <c r="E6" s="1322"/>
      <c r="F6" s="1322"/>
      <c r="G6" s="1322"/>
      <c r="I6" s="528" t="s">
        <v>2202</v>
      </c>
    </row>
    <row r="7" spans="1:13">
      <c r="A7" s="1321" t="s">
        <v>1225</v>
      </c>
      <c r="B7" s="1321"/>
      <c r="C7" s="1322"/>
      <c r="D7" s="1322"/>
      <c r="E7" s="1322"/>
      <c r="F7" s="1322"/>
      <c r="G7" s="1322"/>
      <c r="I7" s="528" t="s">
        <v>2203</v>
      </c>
    </row>
    <row r="8" spans="1:13">
      <c r="A8" s="519"/>
      <c r="B8" s="519"/>
      <c r="C8" s="520"/>
      <c r="D8" s="520"/>
      <c r="E8" s="520"/>
      <c r="F8" s="520"/>
    </row>
    <row r="9" spans="1:13">
      <c r="A9" s="1260" t="s">
        <v>1227</v>
      </c>
      <c r="B9" s="1260"/>
      <c r="C9" s="1260"/>
      <c r="D9" s="1260"/>
      <c r="E9" s="1260"/>
      <c r="F9" s="1260"/>
      <c r="G9" s="1260"/>
      <c r="H9" s="1074"/>
      <c r="I9" s="1075"/>
    </row>
    <row r="10" spans="1:13">
      <c r="A10" s="520"/>
      <c r="B10" s="520"/>
      <c r="E10" s="438"/>
    </row>
    <row r="11" spans="1:13" ht="13.7" customHeight="1">
      <c r="C11" s="520"/>
      <c r="D11" s="1323" t="s">
        <v>1226</v>
      </c>
      <c r="E11" s="1323"/>
      <c r="F11" s="1323"/>
    </row>
    <row r="12" spans="1:13">
      <c r="C12" s="520"/>
      <c r="D12" s="1323"/>
      <c r="E12" s="1323"/>
      <c r="F12" s="1323"/>
    </row>
    <row r="13" spans="1:13">
      <c r="A13" s="521"/>
      <c r="B13" s="521"/>
      <c r="C13" s="521"/>
      <c r="D13" s="1273" t="s">
        <v>1209</v>
      </c>
      <c r="E13" s="1273"/>
      <c r="F13" s="1273"/>
      <c r="M13" s="96"/>
    </row>
    <row r="14" spans="1:13">
      <c r="A14" s="521"/>
      <c r="B14" s="521"/>
      <c r="C14" s="521"/>
      <c r="D14" s="514"/>
      <c r="L14" s="338"/>
    </row>
    <row r="15" spans="1:13" ht="14.25">
      <c r="A15" s="522"/>
      <c r="B15" s="523" t="s">
        <v>313</v>
      </c>
      <c r="C15" s="521"/>
      <c r="D15" s="1272" t="s">
        <v>2372</v>
      </c>
      <c r="E15" s="1272"/>
      <c r="F15" s="1272"/>
      <c r="I15" s="438" t="s">
        <v>2204</v>
      </c>
    </row>
    <row r="16" spans="1:13">
      <c r="A16" s="521"/>
      <c r="B16" s="521"/>
      <c r="C16" s="521"/>
      <c r="D16" s="1272"/>
      <c r="E16" s="1272"/>
      <c r="F16" s="1272"/>
    </row>
    <row r="17" spans="1:9">
      <c r="A17" s="521"/>
      <c r="B17" s="521"/>
      <c r="C17" s="521"/>
      <c r="D17" s="1272"/>
      <c r="E17" s="1272"/>
      <c r="F17" s="1272"/>
    </row>
    <row r="18" spans="1:9">
      <c r="A18" s="521"/>
      <c r="B18" s="521"/>
      <c r="C18" s="521"/>
      <c r="D18" s="483"/>
      <c r="E18" s="338" t="s">
        <v>2370</v>
      </c>
      <c r="F18" s="483"/>
    </row>
    <row r="19" spans="1:9">
      <c r="A19" s="521"/>
      <c r="B19" s="521"/>
      <c r="C19" s="521"/>
    </row>
    <row r="20" spans="1:9" ht="14.25">
      <c r="A20" s="522"/>
      <c r="B20" s="523" t="s">
        <v>313</v>
      </c>
      <c r="D20" s="1272" t="s">
        <v>2373</v>
      </c>
      <c r="E20" s="1272"/>
      <c r="F20" s="1272"/>
      <c r="I20" s="438" t="s">
        <v>2205</v>
      </c>
    </row>
    <row r="21" spans="1:9" ht="14.25">
      <c r="A21" s="522"/>
      <c r="D21" s="1272"/>
      <c r="E21" s="1272"/>
      <c r="F21" s="1272"/>
    </row>
    <row r="22" spans="1:9" ht="14.25">
      <c r="A22" s="522"/>
      <c r="D22" s="426"/>
      <c r="E22" s="96" t="s">
        <v>2369</v>
      </c>
      <c r="F22" s="426"/>
    </row>
    <row r="23" spans="1:9" ht="14.25">
      <c r="A23" s="522"/>
      <c r="B23" s="522"/>
      <c r="D23" s="484"/>
    </row>
    <row r="24" spans="1:9" ht="14.25">
      <c r="A24" s="522"/>
      <c r="B24" s="523" t="s">
        <v>313</v>
      </c>
      <c r="D24" s="1272" t="s">
        <v>1212</v>
      </c>
      <c r="E24" s="1272"/>
      <c r="F24" s="1272"/>
      <c r="I24" s="438" t="s">
        <v>2205</v>
      </c>
    </row>
    <row r="25" spans="1:9" ht="14.25">
      <c r="A25" s="522"/>
      <c r="B25" s="522"/>
      <c r="D25" s="1272"/>
      <c r="E25" s="1272"/>
      <c r="F25" s="1272"/>
    </row>
    <row r="26" spans="1:9"/>
    <row r="27" spans="1:9" ht="14.25">
      <c r="A27" s="522"/>
      <c r="B27" s="523" t="s">
        <v>313</v>
      </c>
      <c r="D27" s="1272" t="s">
        <v>2520</v>
      </c>
      <c r="E27" s="1272"/>
      <c r="F27" s="1272"/>
      <c r="I27" s="438" t="s">
        <v>2208</v>
      </c>
    </row>
    <row r="28" spans="1:9">
      <c r="D28" s="1272"/>
      <c r="E28" s="1272"/>
      <c r="F28" s="1272"/>
    </row>
    <row r="29" spans="1:9">
      <c r="D29" s="1272"/>
      <c r="E29" s="1272"/>
      <c r="F29" s="1272"/>
    </row>
    <row r="30" spans="1:9">
      <c r="D30" s="1272"/>
      <c r="E30" s="1272"/>
      <c r="F30" s="1272"/>
    </row>
    <row r="31" spans="1:9">
      <c r="D31" s="1272"/>
      <c r="E31" s="1272"/>
      <c r="F31" s="1272"/>
    </row>
    <row r="32" spans="1:9">
      <c r="D32" s="485"/>
    </row>
    <row r="33" spans="1:9">
      <c r="B33" s="523" t="s">
        <v>313</v>
      </c>
      <c r="D33" s="1272" t="s">
        <v>2521</v>
      </c>
      <c r="E33" s="1272"/>
      <c r="F33" s="1272"/>
      <c r="I33" s="438" t="s">
        <v>2204</v>
      </c>
    </row>
    <row r="34" spans="1:9">
      <c r="D34" s="1272"/>
      <c r="E34" s="1272"/>
      <c r="F34" s="1272"/>
    </row>
    <row r="35" spans="1:9" ht="14.25">
      <c r="A35" s="522"/>
      <c r="B35" s="522"/>
      <c r="D35" s="485"/>
    </row>
    <row r="36" spans="1:9" ht="14.45" customHeight="1">
      <c r="A36" s="522"/>
      <c r="B36" s="523" t="s">
        <v>313</v>
      </c>
      <c r="D36" s="1272" t="s">
        <v>1380</v>
      </c>
      <c r="E36" s="1272"/>
      <c r="F36" s="1272"/>
      <c r="I36" s="438" t="s">
        <v>2275</v>
      </c>
    </row>
    <row r="37" spans="1:9" ht="14.25">
      <c r="A37" s="522"/>
      <c r="B37" s="522"/>
      <c r="D37" s="1272"/>
      <c r="E37" s="1272"/>
      <c r="F37" s="1272"/>
    </row>
    <row r="38" spans="1:9" ht="14.25">
      <c r="A38" s="522"/>
      <c r="B38" s="522"/>
      <c r="D38" s="1272"/>
      <c r="E38" s="1272"/>
      <c r="F38" s="1272"/>
    </row>
    <row r="39" spans="1:9" ht="14.25">
      <c r="A39" s="522"/>
      <c r="B39" s="522"/>
      <c r="D39" s="1272"/>
      <c r="E39" s="1272"/>
      <c r="F39" s="1272"/>
    </row>
    <row r="40" spans="1:9" ht="14.25">
      <c r="A40" s="522"/>
      <c r="B40" s="522"/>
    </row>
    <row r="41" spans="1:9" ht="14.25">
      <c r="A41" s="522"/>
      <c r="B41" s="523" t="s">
        <v>313</v>
      </c>
      <c r="D41" s="1272" t="s">
        <v>1216</v>
      </c>
      <c r="E41" s="1272"/>
      <c r="F41" s="1272"/>
    </row>
    <row r="42" spans="1:9" ht="14.25">
      <c r="A42" s="522"/>
      <c r="B42" s="522"/>
      <c r="D42" s="1272"/>
      <c r="E42" s="1272"/>
      <c r="F42" s="1272"/>
    </row>
    <row r="43" spans="1:9" ht="14.25">
      <c r="A43" s="522"/>
      <c r="B43" s="522"/>
      <c r="D43" s="1272"/>
      <c r="E43" s="1272"/>
      <c r="F43" s="1272"/>
    </row>
    <row r="44" spans="1:9" ht="14.25">
      <c r="A44" s="522"/>
      <c r="B44" s="522"/>
      <c r="D44" s="1272"/>
      <c r="E44" s="1272"/>
      <c r="F44" s="1272"/>
    </row>
    <row r="45" spans="1:9" ht="14.25">
      <c r="A45" s="522"/>
      <c r="B45" s="522"/>
      <c r="D45" s="1272"/>
      <c r="E45" s="1272"/>
      <c r="F45" s="1272"/>
    </row>
    <row r="46" spans="1:9" ht="14.25">
      <c r="A46" s="522"/>
      <c r="B46" s="522"/>
      <c r="D46" s="483"/>
      <c r="E46" s="483"/>
      <c r="F46" s="483"/>
    </row>
    <row r="47" spans="1:9" ht="14.25">
      <c r="A47" s="522"/>
      <c r="B47" s="523" t="s">
        <v>313</v>
      </c>
      <c r="D47" s="1272" t="s">
        <v>1217</v>
      </c>
      <c r="E47" s="1272"/>
      <c r="F47" s="1272"/>
      <c r="I47" s="438" t="s">
        <v>2275</v>
      </c>
    </row>
    <row r="48" spans="1:9" ht="14.25">
      <c r="A48" s="522"/>
      <c r="B48" s="522"/>
      <c r="D48" s="1272"/>
      <c r="E48" s="1272"/>
      <c r="F48" s="1272"/>
    </row>
    <row r="49" spans="1:9" ht="14.25">
      <c r="A49" s="522"/>
      <c r="B49" s="522"/>
      <c r="D49" s="1272"/>
      <c r="E49" s="1272"/>
      <c r="F49" s="1272"/>
    </row>
    <row r="50" spans="1:9" ht="23.25" customHeight="1">
      <c r="A50" s="522"/>
      <c r="B50" s="522"/>
      <c r="D50" s="1272"/>
      <c r="E50" s="1272"/>
      <c r="F50" s="1272"/>
    </row>
    <row r="51" spans="1:9" ht="14.25">
      <c r="A51" s="522"/>
      <c r="B51" s="522"/>
      <c r="D51" s="484"/>
    </row>
    <row r="52" spans="1:9" ht="14.45" customHeight="1">
      <c r="A52" s="522"/>
      <c r="B52" s="523" t="s">
        <v>313</v>
      </c>
      <c r="D52" s="1272" t="s">
        <v>1218</v>
      </c>
      <c r="E52" s="1272"/>
      <c r="F52" s="1272"/>
      <c r="I52" s="438" t="s">
        <v>2275</v>
      </c>
    </row>
    <row r="53" spans="1:9" ht="14.25">
      <c r="A53" s="522"/>
      <c r="B53" s="522"/>
      <c r="D53" s="1272"/>
      <c r="E53" s="1272"/>
      <c r="F53" s="1272"/>
    </row>
    <row r="54" spans="1:9" ht="14.25">
      <c r="A54" s="522"/>
      <c r="B54" s="522"/>
      <c r="D54" s="1272"/>
      <c r="E54" s="1272"/>
      <c r="F54" s="1272"/>
    </row>
    <row r="55" spans="1:9" ht="14.25">
      <c r="A55" s="522"/>
      <c r="B55" s="522"/>
    </row>
    <row r="56" spans="1:9" ht="14.25">
      <c r="A56" s="522"/>
      <c r="B56" s="523" t="s">
        <v>313</v>
      </c>
      <c r="D56" s="1319" t="s">
        <v>1219</v>
      </c>
      <c r="E56" s="1319"/>
      <c r="F56" s="1319"/>
    </row>
    <row r="57" spans="1:9" ht="14.25">
      <c r="A57" s="522"/>
      <c r="B57" s="522"/>
      <c r="D57" s="1319"/>
      <c r="E57" s="1319"/>
      <c r="F57" s="1319"/>
    </row>
    <row r="58" spans="1:9" ht="14.25">
      <c r="A58" s="522"/>
      <c r="B58" s="522"/>
      <c r="D58" s="426" t="s">
        <v>2371</v>
      </c>
      <c r="E58" s="483"/>
      <c r="F58" s="483"/>
    </row>
    <row r="59" spans="1:9" ht="14.25">
      <c r="A59" s="522"/>
      <c r="B59" s="522"/>
      <c r="D59" s="483"/>
      <c r="E59" s="338" t="s">
        <v>2370</v>
      </c>
      <c r="F59" s="483"/>
    </row>
    <row r="60" spans="1:9">
      <c r="D60" s="485"/>
    </row>
    <row r="61" spans="1:9" ht="14.25">
      <c r="A61" s="522"/>
      <c r="B61" s="523" t="s">
        <v>313</v>
      </c>
      <c r="D61" s="1272" t="s">
        <v>1220</v>
      </c>
      <c r="E61" s="1272"/>
      <c r="F61" s="1272"/>
      <c r="I61" s="438" t="s">
        <v>2206</v>
      </c>
    </row>
    <row r="62" spans="1:9">
      <c r="D62" s="1272"/>
      <c r="E62" s="1272"/>
      <c r="F62" s="1272"/>
    </row>
    <row r="63" spans="1:9">
      <c r="D63" s="1272"/>
      <c r="E63" s="1272"/>
      <c r="F63" s="1272"/>
    </row>
    <row r="64" spans="1:9"/>
    <row r="65" spans="1:9" ht="14.25">
      <c r="A65" s="522"/>
      <c r="B65" s="523" t="s">
        <v>313</v>
      </c>
      <c r="D65" s="1272" t="s">
        <v>1221</v>
      </c>
      <c r="E65" s="1272"/>
      <c r="F65" s="1272"/>
      <c r="I65" s="438" t="s">
        <v>2207</v>
      </c>
    </row>
    <row r="66" spans="1:9">
      <c r="D66" s="1272"/>
      <c r="E66" s="1272"/>
      <c r="F66" s="1272"/>
    </row>
    <row r="67" spans="1:9"/>
    <row r="68" spans="1:9" ht="14.25">
      <c r="A68" s="522"/>
      <c r="B68" s="523" t="s">
        <v>313</v>
      </c>
      <c r="D68" s="1272" t="s">
        <v>1222</v>
      </c>
      <c r="E68" s="1272"/>
      <c r="F68" s="1272"/>
    </row>
    <row r="69" spans="1:9">
      <c r="D69" s="1272"/>
      <c r="E69" s="1272"/>
      <c r="F69" s="1272"/>
      <c r="I69" s="438" t="s">
        <v>2208</v>
      </c>
    </row>
    <row r="70" spans="1:9">
      <c r="D70" s="1272"/>
      <c r="E70" s="1272"/>
      <c r="F70" s="1272"/>
    </row>
    <row r="71" spans="1:9"/>
    <row r="72" spans="1:9" ht="14.25">
      <c r="A72" s="522"/>
      <c r="B72" s="523" t="s">
        <v>313</v>
      </c>
      <c r="D72" s="1272" t="s">
        <v>1223</v>
      </c>
      <c r="E72" s="1272"/>
      <c r="F72" s="1272"/>
      <c r="I72" s="438" t="s">
        <v>2208</v>
      </c>
    </row>
    <row r="73" spans="1:9">
      <c r="D73" s="1272"/>
      <c r="E73" s="1272"/>
      <c r="F73" s="1272"/>
    </row>
    <row r="74" spans="1:9" ht="14.25">
      <c r="A74" s="522"/>
      <c r="B74" s="522"/>
      <c r="D74" s="484"/>
    </row>
    <row r="75" spans="1:9">
      <c r="A75" s="1260" t="s">
        <v>1130</v>
      </c>
      <c r="B75" s="1260"/>
      <c r="C75" s="1260"/>
      <c r="D75" s="1260"/>
      <c r="E75" s="1260"/>
      <c r="F75" s="1260"/>
      <c r="G75" s="1260"/>
      <c r="H75" s="1074"/>
      <c r="I75" s="1075"/>
    </row>
    <row r="76" spans="1:9"/>
    <row r="77" spans="1:9">
      <c r="C77" s="524"/>
      <c r="D77" s="1274" t="s">
        <v>1228</v>
      </c>
      <c r="E77" s="1274"/>
      <c r="F77" s="1274"/>
    </row>
    <row r="78" spans="1:9">
      <c r="A78" s="484"/>
      <c r="B78" s="484"/>
      <c r="D78" s="1272" t="s">
        <v>1255</v>
      </c>
      <c r="E78" s="1272"/>
      <c r="F78" s="1272"/>
    </row>
    <row r="79" spans="1:9">
      <c r="A79" s="484"/>
      <c r="B79" s="484"/>
    </row>
    <row r="80" spans="1:9" ht="13.7" customHeight="1">
      <c r="A80" s="522"/>
      <c r="B80" s="523" t="s">
        <v>313</v>
      </c>
      <c r="D80" s="1272" t="s">
        <v>1424</v>
      </c>
      <c r="E80" s="1272"/>
      <c r="F80" s="1272"/>
      <c r="I80" s="438" t="s">
        <v>2209</v>
      </c>
    </row>
    <row r="81" spans="1:9" ht="14.25">
      <c r="A81" s="522"/>
      <c r="B81" s="522"/>
      <c r="D81" s="1272"/>
      <c r="E81" s="1272"/>
      <c r="F81" s="1272"/>
    </row>
    <row r="82" spans="1:9" ht="14.25">
      <c r="A82" s="522"/>
      <c r="B82" s="522"/>
      <c r="D82" s="1272"/>
      <c r="E82" s="1272"/>
      <c r="F82" s="1272"/>
    </row>
    <row r="83" spans="1:9" ht="14.25">
      <c r="A83" s="522"/>
      <c r="B83" s="522"/>
      <c r="D83" s="1272"/>
      <c r="E83" s="1272"/>
      <c r="F83" s="1272"/>
    </row>
    <row r="84" spans="1:9" ht="14.25">
      <c r="A84" s="522"/>
      <c r="B84" s="522"/>
      <c r="D84" s="1272"/>
      <c r="E84" s="1272"/>
      <c r="F84" s="1272"/>
    </row>
    <row r="85" spans="1:9" ht="14.25">
      <c r="A85" s="522"/>
      <c r="B85" s="522"/>
      <c r="D85" s="1272"/>
      <c r="E85" s="1272"/>
      <c r="F85" s="1272"/>
    </row>
    <row r="86" spans="1:9" ht="14.25">
      <c r="A86" s="522"/>
      <c r="B86" s="522"/>
      <c r="D86" s="1272"/>
      <c r="E86" s="1272"/>
      <c r="F86" s="1272"/>
    </row>
    <row r="87" spans="1:9" ht="14.25">
      <c r="A87" s="522"/>
      <c r="B87" s="522"/>
      <c r="D87" s="1272"/>
      <c r="E87" s="1272"/>
      <c r="F87" s="1272"/>
    </row>
    <row r="88" spans="1:9" ht="14.25">
      <c r="A88" s="522"/>
      <c r="B88" s="522"/>
      <c r="D88" s="419"/>
      <c r="E88" s="419"/>
      <c r="F88" s="419"/>
    </row>
    <row r="89" spans="1:9" ht="15" customHeight="1">
      <c r="A89" s="522"/>
      <c r="B89" s="523" t="s">
        <v>313</v>
      </c>
      <c r="D89" s="1272" t="s">
        <v>2059</v>
      </c>
      <c r="E89" s="1272"/>
      <c r="F89" s="1272"/>
      <c r="I89" s="438" t="s">
        <v>2210</v>
      </c>
    </row>
    <row r="90" spans="1:9" ht="14.25">
      <c r="A90" s="522"/>
      <c r="B90" s="522"/>
      <c r="D90" s="1272"/>
      <c r="E90" s="1272"/>
      <c r="F90" s="1272"/>
    </row>
    <row r="91" spans="1:9" ht="14.25">
      <c r="A91" s="522"/>
      <c r="B91" s="522"/>
      <c r="D91" s="483"/>
      <c r="E91" s="483"/>
      <c r="F91" s="483"/>
    </row>
    <row r="92" spans="1:9" ht="14.25">
      <c r="A92" s="522"/>
      <c r="B92" s="523" t="s">
        <v>313</v>
      </c>
      <c r="D92" s="1272" t="s">
        <v>2062</v>
      </c>
      <c r="E92" s="1272"/>
      <c r="F92" s="1272"/>
      <c r="I92" s="438" t="s">
        <v>2211</v>
      </c>
    </row>
    <row r="93" spans="1:9" ht="14.25">
      <c r="A93" s="522"/>
      <c r="B93" s="522"/>
      <c r="D93" s="1272"/>
      <c r="E93" s="1272"/>
      <c r="F93" s="1272"/>
    </row>
    <row r="94" spans="1:9" ht="14.25">
      <c r="A94" s="522"/>
      <c r="B94" s="522"/>
      <c r="D94" s="1272"/>
      <c r="E94" s="1272"/>
      <c r="F94" s="1272"/>
    </row>
    <row r="95" spans="1:9" ht="14.25">
      <c r="A95" s="522"/>
      <c r="B95" s="522"/>
      <c r="D95" s="483"/>
      <c r="E95" s="483"/>
      <c r="F95" s="483"/>
    </row>
    <row r="96" spans="1:9" ht="14.25">
      <c r="A96" s="522"/>
      <c r="B96" s="523" t="s">
        <v>313</v>
      </c>
      <c r="D96" s="1272" t="s">
        <v>2061</v>
      </c>
      <c r="E96" s="1272"/>
      <c r="F96" s="1272"/>
      <c r="I96" s="438" t="s">
        <v>2256</v>
      </c>
    </row>
    <row r="97" spans="1:9" s="1027" customFormat="1" ht="14.25">
      <c r="A97" s="1025"/>
      <c r="B97" s="1025"/>
      <c r="C97" s="1026"/>
      <c r="D97" s="1272"/>
      <c r="E97" s="1272"/>
      <c r="F97" s="1272"/>
      <c r="I97" s="1066"/>
    </row>
    <row r="98" spans="1:9" ht="14.25">
      <c r="A98" s="522"/>
      <c r="B98" s="522"/>
      <c r="D98" s="426"/>
      <c r="E98" s="338" t="s">
        <v>2374</v>
      </c>
      <c r="F98" s="483"/>
    </row>
    <row r="99" spans="1:9" ht="14.25">
      <c r="A99" s="522"/>
      <c r="B99" s="522"/>
      <c r="D99" s="419"/>
      <c r="E99" s="419"/>
      <c r="F99" s="419"/>
    </row>
    <row r="100" spans="1:9" ht="14.25">
      <c r="A100" s="522"/>
      <c r="B100" s="523" t="s">
        <v>313</v>
      </c>
      <c r="D100" s="1272" t="s">
        <v>2060</v>
      </c>
      <c r="E100" s="1272"/>
      <c r="F100" s="1272"/>
      <c r="I100" s="438" t="s">
        <v>2212</v>
      </c>
    </row>
    <row r="101" spans="1:9" ht="14.25">
      <c r="A101" s="522"/>
      <c r="B101" s="522"/>
      <c r="D101" s="1272"/>
      <c r="E101" s="1272"/>
      <c r="F101" s="1272"/>
    </row>
    <row r="102" spans="1:9" ht="14.25">
      <c r="A102" s="522"/>
      <c r="B102" s="522"/>
      <c r="D102" s="483"/>
      <c r="E102" s="483"/>
      <c r="F102" s="483"/>
    </row>
    <row r="103" spans="1:9" ht="14.45" customHeight="1">
      <c r="A103" s="522"/>
      <c r="B103" s="523" t="s">
        <v>313</v>
      </c>
      <c r="D103" s="1272" t="s">
        <v>1359</v>
      </c>
      <c r="E103" s="1272"/>
      <c r="F103" s="1272"/>
      <c r="I103" s="438" t="s">
        <v>2213</v>
      </c>
    </row>
    <row r="104" spans="1:9" ht="14.25">
      <c r="A104" s="522"/>
      <c r="B104" s="522"/>
      <c r="D104" s="1272"/>
      <c r="E104" s="1272"/>
      <c r="F104" s="1272"/>
    </row>
    <row r="105" spans="1:9" ht="14.25">
      <c r="A105" s="522"/>
      <c r="B105" s="522"/>
      <c r="D105" s="1272"/>
      <c r="E105" s="1272"/>
      <c r="F105" s="1272"/>
    </row>
    <row r="106" spans="1:9" ht="14.25">
      <c r="A106" s="522"/>
      <c r="B106" s="522"/>
      <c r="D106" s="1272"/>
      <c r="E106" s="1272"/>
      <c r="F106" s="1272"/>
    </row>
    <row r="107" spans="1:9" ht="14.25">
      <c r="A107" s="522"/>
      <c r="B107" s="522"/>
      <c r="D107" s="1272"/>
      <c r="E107" s="1272"/>
      <c r="F107" s="1272"/>
    </row>
    <row r="108" spans="1:9" ht="14.25">
      <c r="A108" s="522"/>
      <c r="B108" s="522"/>
      <c r="D108" s="1272"/>
      <c r="E108" s="1272"/>
      <c r="F108" s="1272"/>
    </row>
    <row r="109" spans="1:9" ht="14.25">
      <c r="A109" s="522"/>
      <c r="B109" s="522"/>
      <c r="D109" s="1272"/>
      <c r="E109" s="1272"/>
      <c r="F109" s="1272"/>
    </row>
    <row r="110" spans="1:9" ht="14.25">
      <c r="A110" s="522"/>
      <c r="B110" s="522"/>
      <c r="D110" s="1272"/>
      <c r="E110" s="1272"/>
      <c r="F110" s="1272"/>
    </row>
    <row r="111" spans="1:9" ht="14.25">
      <c r="A111" s="522"/>
      <c r="B111" s="522"/>
      <c r="D111" s="1272"/>
      <c r="E111" s="1272"/>
      <c r="F111" s="1272"/>
    </row>
    <row r="112" spans="1:9" ht="14.25">
      <c r="A112" s="522"/>
      <c r="B112" s="522"/>
      <c r="D112" s="1272"/>
      <c r="E112" s="1272"/>
      <c r="F112" s="1272"/>
    </row>
    <row r="113" spans="1:9" ht="14.25">
      <c r="A113" s="522"/>
      <c r="B113" s="522"/>
      <c r="D113" s="1272"/>
      <c r="E113" s="1272"/>
      <c r="F113" s="1272"/>
    </row>
    <row r="114" spans="1:9" ht="14.25">
      <c r="A114" s="522"/>
      <c r="B114" s="522"/>
      <c r="D114" s="1272"/>
      <c r="E114" s="1272"/>
      <c r="F114" s="1272"/>
    </row>
    <row r="115" spans="1:9" ht="14.25">
      <c r="A115" s="522"/>
      <c r="B115" s="522"/>
      <c r="D115" s="1272"/>
      <c r="E115" s="1272"/>
      <c r="F115" s="1272"/>
    </row>
    <row r="116" spans="1:9" ht="14.25">
      <c r="A116" s="522"/>
      <c r="B116" s="522"/>
      <c r="D116" s="1272"/>
      <c r="E116" s="1272"/>
      <c r="F116" s="1272"/>
    </row>
    <row r="117" spans="1:9" ht="14.25">
      <c r="A117" s="522"/>
      <c r="B117" s="522"/>
      <c r="D117" s="1272"/>
      <c r="E117" s="1272"/>
      <c r="F117" s="1272"/>
    </row>
    <row r="118" spans="1:9" ht="14.25">
      <c r="A118" s="522"/>
      <c r="B118" s="522"/>
      <c r="D118" s="562"/>
      <c r="E118" s="562"/>
      <c r="F118" s="562"/>
    </row>
    <row r="119" spans="1:9" ht="14.25" customHeight="1">
      <c r="A119" s="522"/>
      <c r="B119" s="523" t="s">
        <v>313</v>
      </c>
      <c r="D119" s="1284" t="s">
        <v>1230</v>
      </c>
      <c r="E119" s="1284"/>
      <c r="F119" s="1284"/>
    </row>
    <row r="120" spans="1:9" ht="14.25">
      <c r="A120" s="522"/>
      <c r="B120" s="522"/>
      <c r="D120" s="1284"/>
      <c r="E120" s="1284"/>
      <c r="F120" s="1284"/>
    </row>
    <row r="121" spans="1:9" ht="14.25">
      <c r="A121" s="522"/>
      <c r="B121" s="522"/>
      <c r="D121" s="1284"/>
      <c r="E121" s="1284"/>
      <c r="F121" s="1284"/>
    </row>
    <row r="122" spans="1:9" ht="14.25">
      <c r="A122" s="522"/>
      <c r="B122" s="522"/>
      <c r="D122" s="1284"/>
      <c r="E122" s="1284"/>
      <c r="F122" s="1284"/>
    </row>
    <row r="123" spans="1:9" ht="14.25">
      <c r="A123" s="522"/>
      <c r="B123" s="522"/>
      <c r="D123" s="1284"/>
      <c r="E123" s="1284"/>
      <c r="F123" s="1284"/>
    </row>
    <row r="124" spans="1:9" ht="14.25">
      <c r="A124" s="522"/>
      <c r="B124" s="522"/>
      <c r="D124" s="1284"/>
      <c r="E124" s="1284"/>
      <c r="F124" s="1284"/>
    </row>
    <row r="125" spans="1:9" ht="14.25">
      <c r="A125" s="522"/>
      <c r="B125" s="522"/>
      <c r="D125" s="1284"/>
      <c r="E125" s="1284"/>
      <c r="F125" s="1284"/>
    </row>
    <row r="126" spans="1:9" ht="14.25">
      <c r="A126" s="522"/>
      <c r="B126" s="522"/>
      <c r="D126" s="1284"/>
      <c r="E126" s="1284"/>
      <c r="F126" s="1284"/>
    </row>
    <row r="127" spans="1:9">
      <c r="C127" s="436"/>
      <c r="D127" s="563"/>
      <c r="E127" s="563"/>
      <c r="F127" s="563"/>
    </row>
    <row r="128" spans="1:9" ht="14.25">
      <c r="A128" s="522"/>
      <c r="B128" s="523" t="s">
        <v>313</v>
      </c>
      <c r="C128" s="436"/>
      <c r="D128" s="1284" t="s">
        <v>2522</v>
      </c>
      <c r="E128" s="1284"/>
      <c r="F128" s="1284"/>
      <c r="I128" s="438" t="s">
        <v>2214</v>
      </c>
    </row>
    <row r="129" spans="1:9" ht="14.25">
      <c r="A129" s="522"/>
      <c r="B129" s="522"/>
      <c r="C129" s="436"/>
      <c r="D129" s="1284"/>
      <c r="E129" s="1284"/>
      <c r="F129" s="1284"/>
    </row>
    <row r="130" spans="1:9"/>
    <row r="131" spans="1:9" ht="14.25">
      <c r="A131" s="522"/>
      <c r="B131" s="523" t="s">
        <v>313</v>
      </c>
      <c r="D131" s="1272" t="s">
        <v>1233</v>
      </c>
      <c r="E131" s="1272"/>
      <c r="F131" s="1272"/>
      <c r="I131" s="438" t="s">
        <v>2214</v>
      </c>
    </row>
    <row r="132" spans="1:9">
      <c r="D132" s="1272"/>
      <c r="E132" s="1272"/>
      <c r="F132" s="1272"/>
    </row>
    <row r="133" spans="1:9">
      <c r="D133" s="1272"/>
      <c r="E133" s="1272"/>
      <c r="F133" s="1272"/>
    </row>
    <row r="134" spans="1:9">
      <c r="D134" s="1272"/>
      <c r="E134" s="1272"/>
      <c r="F134" s="1272"/>
    </row>
    <row r="135" spans="1:9">
      <c r="D135" s="1272"/>
      <c r="E135" s="1272"/>
      <c r="F135" s="1272"/>
    </row>
    <row r="136" spans="1:9"/>
    <row r="137" spans="1:9" ht="14.25">
      <c r="A137" s="522"/>
      <c r="B137" s="523" t="s">
        <v>313</v>
      </c>
      <c r="D137" s="1272" t="s">
        <v>1234</v>
      </c>
      <c r="E137" s="1272"/>
      <c r="F137" s="1272"/>
      <c r="I137" s="438" t="s">
        <v>2215</v>
      </c>
    </row>
    <row r="138" spans="1:9" s="451" customFormat="1" ht="13.7" customHeight="1">
      <c r="A138" s="526"/>
      <c r="B138" s="526"/>
      <c r="C138" s="526"/>
      <c r="D138" s="1272"/>
      <c r="E138" s="1272"/>
      <c r="F138" s="1272"/>
      <c r="I138" s="1067"/>
    </row>
    <row r="139" spans="1:9" ht="13.7" customHeight="1">
      <c r="D139" s="1272"/>
      <c r="E139" s="1272"/>
      <c r="F139" s="1272"/>
    </row>
    <row r="140" spans="1:9" ht="13.7" customHeight="1">
      <c r="D140" s="1272"/>
      <c r="E140" s="1272"/>
      <c r="F140" s="1272"/>
    </row>
    <row r="141" spans="1:9" ht="13.7" customHeight="1">
      <c r="D141" s="1272"/>
      <c r="E141" s="1272"/>
      <c r="F141" s="1272"/>
    </row>
    <row r="142" spans="1:9" ht="13.7" customHeight="1">
      <c r="A142" s="527"/>
      <c r="B142" s="527"/>
      <c r="D142" s="1272"/>
      <c r="E142" s="1272"/>
      <c r="F142" s="1272"/>
    </row>
    <row r="143" spans="1:9" ht="13.7" customHeight="1">
      <c r="D143" s="1272"/>
      <c r="E143" s="1272"/>
      <c r="F143" s="1272"/>
    </row>
    <row r="144" spans="1:9" ht="13.7" customHeight="1">
      <c r="D144" s="1272"/>
      <c r="E144" s="1272"/>
      <c r="F144" s="1272"/>
    </row>
    <row r="145" spans="2:9" ht="13.7" customHeight="1">
      <c r="D145" s="1272"/>
      <c r="E145" s="1272"/>
      <c r="F145" s="1272"/>
    </row>
    <row r="146" spans="2:9" ht="13.7" customHeight="1">
      <c r="D146" s="1272"/>
      <c r="E146" s="1272"/>
      <c r="F146" s="1272"/>
    </row>
    <row r="147" spans="2:9" ht="13.7" customHeight="1">
      <c r="D147" s="1272"/>
      <c r="E147" s="1272"/>
      <c r="F147" s="1272"/>
    </row>
    <row r="148" spans="2:9" ht="13.7" customHeight="1">
      <c r="D148" s="1272"/>
      <c r="E148" s="1272"/>
      <c r="F148" s="1272"/>
    </row>
    <row r="149" spans="2:9" ht="13.7" customHeight="1">
      <c r="D149" s="1272"/>
      <c r="E149" s="1272"/>
      <c r="F149" s="1272"/>
    </row>
    <row r="150" spans="2:9" ht="13.7" customHeight="1">
      <c r="D150" s="514"/>
      <c r="E150" s="484"/>
      <c r="F150" s="484"/>
    </row>
    <row r="151" spans="2:9" ht="13.7" customHeight="1">
      <c r="B151" s="523" t="s">
        <v>313</v>
      </c>
      <c r="D151" s="1272" t="s">
        <v>1342</v>
      </c>
      <c r="E151" s="1272"/>
      <c r="F151" s="1272"/>
      <c r="I151" s="438" t="s">
        <v>2216</v>
      </c>
    </row>
    <row r="152" spans="2:9" ht="13.7" customHeight="1">
      <c r="D152" s="1272"/>
      <c r="E152" s="1272"/>
      <c r="F152" s="1272"/>
    </row>
    <row r="153" spans="2:9" ht="13.7" customHeight="1">
      <c r="D153" s="1272"/>
      <c r="E153" s="1272"/>
      <c r="F153" s="1272"/>
    </row>
    <row r="154" spans="2:9" ht="13.7" customHeight="1">
      <c r="D154" s="1272"/>
      <c r="E154" s="1272"/>
      <c r="F154" s="1272"/>
    </row>
    <row r="155" spans="2:9" ht="13.7" customHeight="1">
      <c r="D155" s="1272"/>
      <c r="E155" s="1272"/>
      <c r="F155" s="1272"/>
    </row>
    <row r="156" spans="2:9" ht="13.7" customHeight="1">
      <c r="D156" s="1272"/>
      <c r="E156" s="1272"/>
      <c r="F156" s="1272"/>
    </row>
    <row r="157" spans="2:9" ht="13.7" customHeight="1">
      <c r="D157" s="1272"/>
      <c r="E157" s="1272"/>
      <c r="F157" s="1272"/>
    </row>
    <row r="158" spans="2:9" ht="13.7" customHeight="1">
      <c r="D158" s="1272"/>
      <c r="E158" s="1272"/>
      <c r="F158" s="1272"/>
    </row>
    <row r="159" spans="2:9" ht="13.7" customHeight="1">
      <c r="D159" s="1272"/>
      <c r="E159" s="1272"/>
      <c r="F159" s="1272"/>
    </row>
    <row r="160" spans="2:9" ht="13.7" customHeight="1">
      <c r="D160" s="1272"/>
      <c r="E160" s="1272"/>
      <c r="F160" s="1272"/>
    </row>
    <row r="161" spans="1:9" ht="13.7" customHeight="1">
      <c r="D161" s="1272"/>
      <c r="E161" s="1272"/>
      <c r="F161" s="1272"/>
    </row>
    <row r="162" spans="1:9" ht="13.7" customHeight="1">
      <c r="D162" s="1272"/>
      <c r="E162" s="1272"/>
      <c r="F162" s="1272"/>
    </row>
    <row r="163" spans="1:9" ht="13.7" customHeight="1">
      <c r="D163" s="1272"/>
      <c r="E163" s="1272"/>
      <c r="F163" s="1272"/>
    </row>
    <row r="164" spans="1:9" ht="13.7" customHeight="1">
      <c r="D164" s="1272"/>
      <c r="E164" s="1272"/>
      <c r="F164" s="1272"/>
    </row>
    <row r="165" spans="1:9" ht="13.7" customHeight="1">
      <c r="D165" s="1272"/>
      <c r="E165" s="1272"/>
      <c r="F165" s="1272"/>
    </row>
    <row r="166" spans="1:9" ht="13.7" customHeight="1">
      <c r="D166" s="1272"/>
      <c r="E166" s="1272"/>
      <c r="F166" s="1272"/>
    </row>
    <row r="167" spans="1:9" ht="13.7" customHeight="1">
      <c r="D167" s="1272"/>
      <c r="E167" s="1272"/>
      <c r="F167" s="1272"/>
    </row>
    <row r="168" spans="1:9" ht="13.7" customHeight="1">
      <c r="D168" s="1272"/>
      <c r="E168" s="1272"/>
      <c r="F168" s="1272"/>
    </row>
    <row r="169" spans="1:9" ht="13.7" customHeight="1">
      <c r="D169" s="1318" t="s">
        <v>2547</v>
      </c>
      <c r="E169" s="1318"/>
      <c r="F169" s="1318"/>
      <c r="G169" s="545"/>
    </row>
    <row r="170" spans="1:9" ht="13.7" customHeight="1">
      <c r="D170" s="1258"/>
      <c r="E170" s="1258"/>
      <c r="F170" s="1258"/>
      <c r="G170" s="1258"/>
    </row>
    <row r="171" spans="1:9" ht="14.45" customHeight="1">
      <c r="A171" s="527"/>
      <c r="B171" s="523" t="s">
        <v>313</v>
      </c>
      <c r="C171" s="514"/>
      <c r="D171" s="1254" t="s">
        <v>1390</v>
      </c>
      <c r="E171" s="1254"/>
      <c r="F171" s="1254"/>
      <c r="G171" s="514"/>
      <c r="I171" s="438" t="s">
        <v>2211</v>
      </c>
    </row>
    <row r="172" spans="1:9" ht="14.45" customHeight="1">
      <c r="A172" s="527"/>
      <c r="B172" s="527"/>
      <c r="C172" s="514"/>
      <c r="D172" s="1254"/>
      <c r="E172" s="1254"/>
      <c r="F172" s="1254"/>
      <c r="G172" s="514"/>
    </row>
    <row r="173" spans="1:9" ht="13.7" customHeight="1">
      <c r="A173" s="527"/>
      <c r="B173" s="527"/>
      <c r="C173" s="514"/>
      <c r="D173" s="1254"/>
      <c r="E173" s="1254"/>
      <c r="F173" s="1254"/>
      <c r="G173" s="514"/>
    </row>
    <row r="174" spans="1:9" ht="13.7" customHeight="1">
      <c r="A174" s="527"/>
      <c r="B174" s="527"/>
      <c r="C174" s="514"/>
      <c r="D174" s="514"/>
      <c r="E174" s="514"/>
      <c r="F174" s="514"/>
      <c r="G174" s="514"/>
    </row>
    <row r="175" spans="1:9" ht="13.7" customHeight="1">
      <c r="A175" s="527"/>
      <c r="B175" s="523" t="s">
        <v>313</v>
      </c>
      <c r="C175" s="514"/>
      <c r="D175" s="1254" t="s">
        <v>1236</v>
      </c>
      <c r="E175" s="1254"/>
      <c r="F175" s="1254"/>
      <c r="G175" s="514"/>
      <c r="I175" s="438" t="s">
        <v>2217</v>
      </c>
    </row>
    <row r="176" spans="1:9" ht="13.7" customHeight="1">
      <c r="A176" s="527"/>
      <c r="B176" s="527"/>
      <c r="C176" s="514"/>
      <c r="D176" s="1254"/>
      <c r="E176" s="1254"/>
      <c r="F176" s="1254"/>
      <c r="G176" s="514"/>
    </row>
    <row r="177" spans="1:9" ht="13.7" customHeight="1">
      <c r="A177" s="527"/>
      <c r="B177" s="527"/>
      <c r="C177" s="514"/>
      <c r="D177" s="1254"/>
      <c r="E177" s="1254"/>
      <c r="F177" s="1254"/>
      <c r="G177" s="514"/>
    </row>
    <row r="178" spans="1:9" ht="13.7" customHeight="1">
      <c r="A178" s="527"/>
      <c r="B178" s="527"/>
      <c r="C178" s="514"/>
      <c r="D178" s="1254"/>
      <c r="E178" s="1254"/>
      <c r="F178" s="1254"/>
      <c r="G178" s="514"/>
    </row>
    <row r="179" spans="1:9" ht="13.7" customHeight="1">
      <c r="D179" s="484"/>
      <c r="E179" s="484"/>
      <c r="F179" s="484"/>
    </row>
    <row r="180" spans="1:9" ht="13.7" customHeight="1">
      <c r="B180" s="523" t="s">
        <v>313</v>
      </c>
      <c r="D180" s="1259" t="s">
        <v>2523</v>
      </c>
      <c r="E180" s="1259"/>
      <c r="F180" s="1259"/>
      <c r="I180" s="438" t="s">
        <v>2218</v>
      </c>
    </row>
    <row r="181" spans="1:9" ht="13.7" customHeight="1">
      <c r="D181" s="1259"/>
      <c r="E181" s="1259"/>
      <c r="F181" s="1259"/>
    </row>
    <row r="182" spans="1:9" ht="13.7" customHeight="1">
      <c r="D182" s="1259"/>
      <c r="E182" s="1259"/>
      <c r="F182" s="1259"/>
    </row>
    <row r="183" spans="1:9" ht="13.7" customHeight="1">
      <c r="A183" s="528"/>
      <c r="B183" s="528"/>
      <c r="E183" s="484"/>
      <c r="F183" s="484"/>
    </row>
    <row r="184" spans="1:9">
      <c r="A184" s="1260" t="s">
        <v>2524</v>
      </c>
      <c r="B184" s="1260"/>
      <c r="C184" s="1260"/>
      <c r="D184" s="1260"/>
      <c r="E184" s="1260"/>
      <c r="F184" s="1260"/>
      <c r="G184" s="1260"/>
      <c r="H184" s="1074"/>
      <c r="I184" s="1075"/>
    </row>
    <row r="185" spans="1:9" ht="12" customHeight="1">
      <c r="D185" s="484"/>
      <c r="E185" s="484"/>
      <c r="F185" s="484"/>
    </row>
    <row r="186" spans="1:9">
      <c r="B186" s="1275" t="s">
        <v>465</v>
      </c>
      <c r="C186" s="1275"/>
      <c r="D186" s="1275"/>
      <c r="E186" s="1275"/>
      <c r="F186" s="1275"/>
    </row>
    <row r="187" spans="1:9">
      <c r="B187" s="426" t="s">
        <v>2196</v>
      </c>
      <c r="C187" s="426"/>
      <c r="D187" s="426"/>
      <c r="E187" s="426"/>
      <c r="F187" s="426"/>
    </row>
    <row r="188" spans="1:9" ht="12" customHeight="1">
      <c r="A188" s="520"/>
      <c r="B188" s="520"/>
      <c r="C188" s="520"/>
    </row>
    <row r="189" spans="1:9">
      <c r="A189" s="1260" t="s">
        <v>1132</v>
      </c>
      <c r="B189" s="1260"/>
      <c r="C189" s="1260"/>
      <c r="D189" s="1260"/>
      <c r="E189" s="1260"/>
      <c r="F189" s="1260"/>
      <c r="G189" s="1260"/>
      <c r="H189" s="1074"/>
      <c r="I189" s="1075"/>
    </row>
    <row r="190" spans="1:9" ht="12" customHeight="1">
      <c r="A190" s="438"/>
      <c r="B190" s="438"/>
      <c r="E190" s="438"/>
    </row>
    <row r="191" spans="1:9" ht="13.7" customHeight="1">
      <c r="A191" s="438"/>
      <c r="B191" s="438"/>
      <c r="D191" s="1274" t="s">
        <v>2063</v>
      </c>
      <c r="E191" s="1274"/>
      <c r="F191" s="1274"/>
    </row>
    <row r="192" spans="1:9">
      <c r="A192" s="438"/>
      <c r="B192" s="438"/>
      <c r="D192" s="1274"/>
      <c r="E192" s="1274"/>
      <c r="F192" s="1274"/>
    </row>
    <row r="193" spans="1:9">
      <c r="A193" s="438"/>
      <c r="B193" s="438"/>
      <c r="D193" s="1275" t="s">
        <v>1360</v>
      </c>
      <c r="E193" s="1275"/>
      <c r="F193" s="1275"/>
    </row>
    <row r="194" spans="1:9">
      <c r="A194" s="438"/>
      <c r="B194" s="438"/>
      <c r="D194" s="426"/>
      <c r="E194" s="426"/>
      <c r="F194" s="426"/>
    </row>
    <row r="195" spans="1:9">
      <c r="A195" s="438"/>
      <c r="B195" s="523" t="s">
        <v>313</v>
      </c>
      <c r="D195" s="1256" t="s">
        <v>2064</v>
      </c>
      <c r="E195" s="1256"/>
      <c r="F195" s="1256"/>
      <c r="I195" s="438" t="s">
        <v>2267</v>
      </c>
    </row>
    <row r="196" spans="1:9">
      <c r="A196" s="438"/>
      <c r="B196" s="438"/>
      <c r="D196" s="1289" t="s">
        <v>2352</v>
      </c>
      <c r="E196" s="1289"/>
      <c r="F196" s="1289"/>
    </row>
    <row r="197" spans="1:9">
      <c r="A197" s="438"/>
      <c r="B197" s="438"/>
      <c r="D197" s="96" t="s">
        <v>2065</v>
      </c>
      <c r="E197" s="1320" t="s">
        <v>2375</v>
      </c>
      <c r="F197" s="1320"/>
    </row>
    <row r="198" spans="1:9">
      <c r="A198" s="438"/>
      <c r="B198" s="438"/>
      <c r="D198" s="3"/>
      <c r="E198" s="3"/>
      <c r="F198" s="3"/>
    </row>
    <row r="199" spans="1:9">
      <c r="A199" s="438"/>
      <c r="B199" s="523" t="s">
        <v>313</v>
      </c>
      <c r="D199" s="1289" t="s">
        <v>2066</v>
      </c>
      <c r="E199" s="1289"/>
      <c r="F199" s="1289"/>
      <c r="I199" s="438" t="s">
        <v>2268</v>
      </c>
    </row>
    <row r="200" spans="1:9">
      <c r="A200" s="438"/>
      <c r="B200" s="438"/>
      <c r="D200" s="1256" t="s">
        <v>2352</v>
      </c>
      <c r="E200" s="1256"/>
      <c r="F200" s="1256"/>
    </row>
    <row r="201" spans="1:9">
      <c r="A201" s="438"/>
      <c r="B201" s="438"/>
      <c r="D201" s="57" t="s">
        <v>2067</v>
      </c>
      <c r="E201" s="1320" t="s">
        <v>2376</v>
      </c>
      <c r="F201" s="1320"/>
    </row>
    <row r="202" spans="1:9">
      <c r="A202" s="438"/>
      <c r="B202" s="438"/>
      <c r="D202" s="3"/>
      <c r="E202" s="3"/>
      <c r="F202" s="3"/>
    </row>
    <row r="203" spans="1:9">
      <c r="A203" s="438"/>
      <c r="B203" s="523" t="s">
        <v>313</v>
      </c>
      <c r="D203" s="1289" t="s">
        <v>2068</v>
      </c>
      <c r="E203" s="1289"/>
      <c r="F203" s="1289"/>
      <c r="I203" s="438" t="s">
        <v>2269</v>
      </c>
    </row>
    <row r="204" spans="1:9">
      <c r="A204" s="438"/>
      <c r="B204" s="438"/>
      <c r="D204" s="1256" t="s">
        <v>2352</v>
      </c>
      <c r="E204" s="1256"/>
      <c r="F204" s="1256"/>
    </row>
    <row r="205" spans="1:9">
      <c r="A205" s="438"/>
      <c r="B205" s="438"/>
      <c r="D205" s="57" t="s">
        <v>2065</v>
      </c>
      <c r="E205" s="1320" t="s">
        <v>2377</v>
      </c>
      <c r="F205" s="1320"/>
    </row>
    <row r="206" spans="1:9">
      <c r="A206" s="438"/>
      <c r="B206" s="438"/>
      <c r="D206" s="426"/>
      <c r="E206" s="426"/>
      <c r="F206" s="426"/>
    </row>
    <row r="207" spans="1:9" ht="14.25" customHeight="1">
      <c r="A207" s="522"/>
      <c r="B207" s="523" t="s">
        <v>313</v>
      </c>
      <c r="D207" s="420" t="s">
        <v>2345</v>
      </c>
      <c r="E207" s="419"/>
      <c r="F207" s="419"/>
      <c r="I207" s="438" t="s">
        <v>2270</v>
      </c>
    </row>
    <row r="208" spans="1:9" ht="14.25">
      <c r="A208" s="522"/>
      <c r="B208" s="522"/>
      <c r="D208" s="1256" t="s">
        <v>2352</v>
      </c>
      <c r="E208" s="1256"/>
      <c r="F208" s="1256"/>
    </row>
    <row r="209" spans="1:9">
      <c r="D209" s="419"/>
      <c r="E209" s="1320" t="s">
        <v>2378</v>
      </c>
      <c r="F209" s="1320"/>
    </row>
    <row r="210" spans="1:9">
      <c r="D210" s="485"/>
    </row>
    <row r="211" spans="1:9">
      <c r="B211" s="523" t="s">
        <v>313</v>
      </c>
      <c r="D211" s="1289" t="s">
        <v>2069</v>
      </c>
      <c r="E211" s="1289"/>
      <c r="F211" s="1289"/>
      <c r="I211" s="438" t="s">
        <v>2271</v>
      </c>
    </row>
    <row r="212" spans="1:9">
      <c r="D212" s="1256" t="s">
        <v>2352</v>
      </c>
      <c r="E212" s="1256"/>
      <c r="F212" s="1256"/>
    </row>
    <row r="213" spans="1:9">
      <c r="D213" s="57" t="s">
        <v>2065</v>
      </c>
      <c r="E213" s="1320" t="s">
        <v>2379</v>
      </c>
      <c r="F213" s="1320"/>
    </row>
    <row r="214" spans="1:9">
      <c r="D214" s="489"/>
      <c r="E214" s="489"/>
      <c r="F214" s="489"/>
    </row>
    <row r="215" spans="1:9" ht="14.25">
      <c r="A215" s="522"/>
      <c r="B215" s="523" t="s">
        <v>313</v>
      </c>
      <c r="D215" s="1272" t="s">
        <v>1382</v>
      </c>
      <c r="E215" s="1272"/>
      <c r="F215" s="1272"/>
    </row>
    <row r="216" spans="1:9" ht="14.45" customHeight="1">
      <c r="A216" s="522"/>
      <c r="B216" s="436"/>
      <c r="D216" s="1272"/>
      <c r="E216" s="1272"/>
      <c r="F216" s="1272"/>
    </row>
    <row r="217" spans="1:9" ht="14.25">
      <c r="A217" s="522"/>
      <c r="D217" s="1272"/>
      <c r="E217" s="1272"/>
      <c r="F217" s="1272"/>
    </row>
    <row r="218" spans="1:9" ht="14.25">
      <c r="A218" s="522"/>
      <c r="D218" s="1272"/>
      <c r="E218" s="1272"/>
      <c r="F218" s="1272"/>
    </row>
    <row r="219" spans="1:9">
      <c r="D219" s="489"/>
      <c r="E219" s="489"/>
      <c r="F219" s="489"/>
    </row>
    <row r="220" spans="1:9">
      <c r="A220" s="1260" t="s">
        <v>1133</v>
      </c>
      <c r="B220" s="1260"/>
      <c r="C220" s="1260"/>
      <c r="D220" s="1260"/>
      <c r="E220" s="1260"/>
      <c r="F220" s="1260"/>
      <c r="G220" s="1260"/>
      <c r="H220" s="1074"/>
      <c r="I220" s="1075"/>
    </row>
    <row r="221" spans="1:9" ht="12" customHeight="1">
      <c r="D221" s="484"/>
      <c r="E221" s="484"/>
      <c r="F221" s="484"/>
    </row>
    <row r="222" spans="1:9">
      <c r="C222" s="524"/>
      <c r="D222" s="1271" t="s">
        <v>214</v>
      </c>
      <c r="E222" s="1271"/>
      <c r="F222" s="1271"/>
    </row>
    <row r="223" spans="1:9">
      <c r="A223" s="520"/>
      <c r="B223" s="520"/>
      <c r="C223" s="520"/>
      <c r="D223" s="1273" t="s">
        <v>1262</v>
      </c>
      <c r="E223" s="1273"/>
      <c r="F223" s="1273"/>
    </row>
    <row r="224" spans="1:9" ht="12" customHeight="1">
      <c r="A224" s="528"/>
      <c r="B224" s="528"/>
      <c r="C224" s="528"/>
    </row>
    <row r="225" spans="1:9" ht="13.7" customHeight="1">
      <c r="A225" s="528"/>
      <c r="C225" s="528"/>
      <c r="D225" s="1271" t="s">
        <v>572</v>
      </c>
      <c r="E225" s="1271"/>
      <c r="F225" s="1271"/>
      <c r="I225" s="438" t="s">
        <v>2219</v>
      </c>
    </row>
    <row r="226" spans="1:9" ht="14.25">
      <c r="A226" s="522"/>
      <c r="B226" s="523" t="s">
        <v>313</v>
      </c>
      <c r="D226" s="1272" t="s">
        <v>2070</v>
      </c>
      <c r="E226" s="1272"/>
      <c r="F226" s="1272"/>
    </row>
    <row r="227" spans="1:9" ht="14.25" customHeight="1">
      <c r="A227" s="522"/>
      <c r="B227" s="522"/>
      <c r="D227" s="1272"/>
      <c r="E227" s="1272"/>
      <c r="F227" s="1272"/>
    </row>
    <row r="228" spans="1:9" ht="14.25" customHeight="1">
      <c r="A228" s="522"/>
      <c r="B228" s="522"/>
      <c r="D228" s="1272"/>
      <c r="E228" s="1272"/>
      <c r="F228" s="1272"/>
    </row>
    <row r="229" spans="1:9" ht="14.25">
      <c r="A229" s="522"/>
      <c r="B229" s="522"/>
      <c r="D229" s="1272"/>
      <c r="E229" s="1272"/>
      <c r="F229" s="1272"/>
    </row>
    <row r="230" spans="1:9" ht="14.25">
      <c r="A230" s="522"/>
      <c r="B230" s="522"/>
      <c r="D230" s="483"/>
      <c r="E230" s="483"/>
      <c r="F230" s="483"/>
    </row>
    <row r="231" spans="1:9" ht="14.25">
      <c r="A231" s="522"/>
      <c r="B231" s="523" t="s">
        <v>313</v>
      </c>
      <c r="D231" s="1272" t="s">
        <v>2071</v>
      </c>
      <c r="E231" s="1272"/>
      <c r="F231" s="1272"/>
      <c r="I231" s="438" t="s">
        <v>2220</v>
      </c>
    </row>
    <row r="232" spans="1:9" ht="14.25">
      <c r="A232" s="522"/>
      <c r="B232" s="522"/>
      <c r="D232" s="1272"/>
      <c r="E232" s="1272"/>
      <c r="F232" s="1272"/>
    </row>
    <row r="233" spans="1:9" ht="14.25">
      <c r="A233" s="522"/>
      <c r="B233" s="522"/>
      <c r="D233" s="1272"/>
      <c r="E233" s="1272"/>
      <c r="F233" s="1272"/>
    </row>
    <row r="234" spans="1:9" ht="14.25">
      <c r="A234" s="522"/>
      <c r="B234" s="522"/>
      <c r="D234" s="1272"/>
      <c r="E234" s="1272"/>
      <c r="F234" s="1272"/>
    </row>
    <row r="235" spans="1:9" ht="14.25" customHeight="1">
      <c r="A235" s="522"/>
      <c r="B235" s="522"/>
      <c r="D235" s="1272"/>
      <c r="E235" s="1272"/>
      <c r="F235" s="1272"/>
    </row>
    <row r="236" spans="1:9" ht="14.25" customHeight="1">
      <c r="A236" s="522"/>
      <c r="B236" s="522"/>
      <c r="D236" s="483"/>
      <c r="E236" s="483"/>
      <c r="F236" s="483"/>
    </row>
    <row r="237" spans="1:9" ht="14.25">
      <c r="A237" s="522"/>
      <c r="B237" s="522"/>
      <c r="D237" s="1272" t="s">
        <v>1258</v>
      </c>
      <c r="E237" s="1272"/>
      <c r="F237" s="1272"/>
      <c r="I237" s="438" t="s">
        <v>2219</v>
      </c>
    </row>
    <row r="238" spans="1:9" ht="14.25">
      <c r="A238" s="522"/>
      <c r="B238" s="522"/>
      <c r="D238" s="1272"/>
      <c r="E238" s="1272"/>
      <c r="F238" s="1272"/>
    </row>
    <row r="239" spans="1:9" ht="14.25">
      <c r="A239" s="522"/>
      <c r="B239" s="522"/>
      <c r="D239" s="1272"/>
      <c r="E239" s="1272"/>
      <c r="F239" s="1272"/>
    </row>
    <row r="240" spans="1:9" ht="14.25">
      <c r="A240" s="522"/>
      <c r="B240" s="522"/>
      <c r="D240" s="1272"/>
      <c r="E240" s="1272"/>
      <c r="F240" s="1272"/>
    </row>
    <row r="241" spans="1:9" ht="14.25">
      <c r="A241" s="522"/>
      <c r="B241" s="522"/>
      <c r="D241" s="1272"/>
      <c r="E241" s="1272"/>
      <c r="F241" s="1272"/>
    </row>
    <row r="242" spans="1:9" ht="14.25">
      <c r="A242" s="522"/>
      <c r="B242" s="522"/>
      <c r="D242" s="484"/>
      <c r="E242" s="484"/>
      <c r="F242" s="484"/>
    </row>
    <row r="243" spans="1:9" ht="14.25">
      <c r="A243" s="522"/>
      <c r="B243" s="523" t="s">
        <v>313</v>
      </c>
      <c r="D243" s="1272" t="s">
        <v>2525</v>
      </c>
      <c r="E243" s="1272"/>
      <c r="F243" s="1272"/>
      <c r="I243" s="438" t="s">
        <v>2258</v>
      </c>
    </row>
    <row r="244" spans="1:9" ht="14.25">
      <c r="A244" s="522"/>
      <c r="B244" s="522"/>
      <c r="D244" s="1272"/>
      <c r="E244" s="1272"/>
      <c r="F244" s="1272"/>
    </row>
    <row r="245" spans="1:9" ht="14.25">
      <c r="A245" s="522"/>
      <c r="B245" s="522"/>
      <c r="D245" s="1272"/>
      <c r="E245" s="1272"/>
      <c r="F245" s="1272"/>
    </row>
    <row r="246" spans="1:9" ht="14.25">
      <c r="A246" s="522"/>
      <c r="B246" s="522"/>
      <c r="E246" s="1123" t="s">
        <v>2346</v>
      </c>
    </row>
    <row r="247" spans="1:9" ht="14.25">
      <c r="A247" s="522"/>
      <c r="B247" s="522"/>
      <c r="D247" s="484"/>
      <c r="E247" s="484"/>
      <c r="F247" s="484"/>
    </row>
    <row r="248" spans="1:9" ht="14.45" customHeight="1">
      <c r="A248" s="522"/>
      <c r="B248" s="523" t="s">
        <v>313</v>
      </c>
      <c r="D248" s="1272" t="s">
        <v>2526</v>
      </c>
      <c r="E248" s="1272"/>
      <c r="F248" s="1272"/>
      <c r="I248" s="438" t="s">
        <v>2276</v>
      </c>
    </row>
    <row r="249" spans="1:9" ht="14.25">
      <c r="A249" s="522"/>
      <c r="B249" s="522"/>
      <c r="D249" s="1272"/>
      <c r="E249" s="1272"/>
      <c r="F249" s="1272"/>
    </row>
    <row r="250" spans="1:9" ht="14.25">
      <c r="A250" s="522"/>
      <c r="B250" s="522"/>
      <c r="D250" s="1272"/>
      <c r="E250" s="1272"/>
      <c r="F250" s="1272"/>
    </row>
    <row r="251" spans="1:9" ht="14.25">
      <c r="A251" s="522"/>
      <c r="B251" s="522"/>
      <c r="D251" s="1272"/>
      <c r="E251" s="1272"/>
      <c r="F251" s="1272"/>
    </row>
    <row r="252" spans="1:9" ht="14.25">
      <c r="A252" s="522"/>
      <c r="B252" s="522"/>
      <c r="D252" s="1272"/>
      <c r="E252" s="1272"/>
      <c r="F252" s="1272"/>
    </row>
    <row r="253" spans="1:9" ht="14.25">
      <c r="A253" s="522"/>
      <c r="B253" s="522"/>
      <c r="D253" s="483"/>
      <c r="E253" s="483"/>
      <c r="F253" s="483"/>
    </row>
    <row r="254" spans="1:9" ht="14.25">
      <c r="A254" s="522"/>
      <c r="B254" s="523" t="s">
        <v>313</v>
      </c>
      <c r="D254" s="426" t="s">
        <v>2527</v>
      </c>
      <c r="E254" s="483"/>
      <c r="F254" s="483"/>
      <c r="I254" s="438" t="s">
        <v>2257</v>
      </c>
    </row>
    <row r="255" spans="1:9" ht="14.25">
      <c r="A255" s="522"/>
      <c r="B255" s="522"/>
      <c r="E255" s="1123" t="s">
        <v>2347</v>
      </c>
    </row>
    <row r="256" spans="1:9">
      <c r="D256" s="484"/>
      <c r="E256" s="484"/>
      <c r="F256" s="484"/>
    </row>
    <row r="257" spans="1:9" ht="14.25">
      <c r="A257" s="522"/>
      <c r="B257" s="523" t="s">
        <v>313</v>
      </c>
      <c r="D257" s="1272" t="s">
        <v>1260</v>
      </c>
      <c r="E257" s="1272"/>
      <c r="F257" s="1272"/>
    </row>
    <row r="258" spans="1:9" ht="14.25">
      <c r="A258" s="522"/>
      <c r="B258" s="522"/>
      <c r="D258" s="1272"/>
      <c r="E258" s="1272"/>
      <c r="F258" s="1272"/>
    </row>
    <row r="259" spans="1:9">
      <c r="D259" s="529"/>
    </row>
    <row r="260" spans="1:9">
      <c r="A260" s="1260" t="s">
        <v>1134</v>
      </c>
      <c r="B260" s="1260"/>
      <c r="C260" s="1260"/>
      <c r="D260" s="1260"/>
      <c r="E260" s="1260"/>
      <c r="F260" s="1260"/>
      <c r="G260" s="1260"/>
      <c r="H260" s="1074"/>
      <c r="I260" s="1075"/>
    </row>
    <row r="261" spans="1:9">
      <c r="D261" s="529"/>
    </row>
    <row r="262" spans="1:9">
      <c r="C262" s="524"/>
      <c r="D262" s="1271" t="s">
        <v>1263</v>
      </c>
      <c r="E262" s="1271"/>
      <c r="F262" s="1271"/>
    </row>
    <row r="263" spans="1:9">
      <c r="A263" s="520"/>
      <c r="B263" s="520"/>
      <c r="C263" s="520"/>
      <c r="D263" s="484"/>
      <c r="E263" s="484"/>
      <c r="F263" s="484"/>
    </row>
    <row r="264" spans="1:9">
      <c r="A264" s="521"/>
      <c r="B264" s="521"/>
      <c r="C264" s="521"/>
      <c r="D264" s="1271" t="s">
        <v>275</v>
      </c>
      <c r="E264" s="1271"/>
      <c r="F264" s="1271"/>
      <c r="I264" s="438" t="s">
        <v>2259</v>
      </c>
    </row>
    <row r="265" spans="1:9" ht="14.45" customHeight="1">
      <c r="A265" s="522"/>
      <c r="B265" s="523" t="s">
        <v>313</v>
      </c>
      <c r="D265" s="1272" t="s">
        <v>1361</v>
      </c>
      <c r="E265" s="1272"/>
      <c r="F265" s="1272"/>
    </row>
    <row r="266" spans="1:9">
      <c r="D266" s="1272"/>
      <c r="E266" s="1272"/>
      <c r="F266" s="1272"/>
    </row>
    <row r="267" spans="1:9">
      <c r="E267" s="1123" t="s">
        <v>2348</v>
      </c>
    </row>
    <row r="268" spans="1:9">
      <c r="D268" s="484"/>
      <c r="E268" s="484"/>
      <c r="F268" s="484"/>
    </row>
    <row r="269" spans="1:9" ht="14.45" customHeight="1">
      <c r="A269" s="522"/>
      <c r="B269" s="523" t="s">
        <v>313</v>
      </c>
      <c r="D269" s="1272" t="s">
        <v>2528</v>
      </c>
      <c r="E269" s="1272"/>
      <c r="F269" s="1272"/>
      <c r="I269" s="438" t="s">
        <v>2277</v>
      </c>
    </row>
    <row r="270" spans="1:9">
      <c r="D270" s="1272"/>
      <c r="E270" s="1272"/>
      <c r="F270" s="1272"/>
    </row>
    <row r="271" spans="1:9">
      <c r="D271" s="1272"/>
      <c r="E271" s="1272"/>
      <c r="F271" s="1272"/>
    </row>
    <row r="272" spans="1:9">
      <c r="D272" s="1272"/>
      <c r="E272" s="1272"/>
      <c r="F272" s="1272"/>
    </row>
    <row r="273" spans="1:9">
      <c r="D273" s="1272"/>
      <c r="E273" s="1272"/>
      <c r="F273" s="1272"/>
    </row>
    <row r="274" spans="1:9">
      <c r="D274" s="1272"/>
      <c r="E274" s="1272"/>
      <c r="F274" s="1272"/>
    </row>
    <row r="275" spans="1:9">
      <c r="D275" s="484"/>
      <c r="E275" s="484"/>
      <c r="F275" s="484"/>
    </row>
    <row r="276" spans="1:9" ht="14.25">
      <c r="A276" s="522"/>
      <c r="B276" s="523" t="s">
        <v>313</v>
      </c>
      <c r="D276" s="1272" t="s">
        <v>1266</v>
      </c>
      <c r="E276" s="1272"/>
      <c r="F276" s="1272"/>
    </row>
    <row r="277" spans="1:9">
      <c r="D277" s="1272"/>
      <c r="E277" s="1272"/>
      <c r="F277" s="1272"/>
    </row>
    <row r="278" spans="1:9">
      <c r="D278" s="1272"/>
      <c r="E278" s="1272"/>
      <c r="F278" s="1272"/>
    </row>
    <row r="279" spans="1:9">
      <c r="D279" s="530"/>
      <c r="E279" s="484"/>
      <c r="F279" s="484"/>
    </row>
    <row r="280" spans="1:9">
      <c r="A280" s="1260" t="s">
        <v>1135</v>
      </c>
      <c r="B280" s="1260"/>
      <c r="C280" s="1260"/>
      <c r="D280" s="1260"/>
      <c r="E280" s="1260"/>
      <c r="F280" s="1260"/>
      <c r="G280" s="1260"/>
      <c r="H280" s="1074"/>
      <c r="I280" s="1075"/>
    </row>
    <row r="281" spans="1:9">
      <c r="D281" s="530"/>
      <c r="E281" s="484"/>
      <c r="F281" s="484"/>
    </row>
    <row r="282" spans="1:9">
      <c r="C282" s="520"/>
      <c r="D282" s="1274" t="s">
        <v>1268</v>
      </c>
      <c r="E282" s="1274"/>
      <c r="F282" s="1274"/>
    </row>
    <row r="283" spans="1:9">
      <c r="C283" s="520"/>
      <c r="D283" s="1274"/>
      <c r="E283" s="1274"/>
      <c r="F283" s="1274"/>
    </row>
    <row r="284" spans="1:9">
      <c r="A284" s="521"/>
      <c r="B284" s="521"/>
      <c r="C284" s="521"/>
      <c r="D284" s="438"/>
    </row>
    <row r="285" spans="1:9">
      <c r="C285" s="521"/>
      <c r="D285" s="1271" t="s">
        <v>215</v>
      </c>
      <c r="E285" s="1271"/>
      <c r="F285" s="1271"/>
    </row>
    <row r="286" spans="1:9" ht="15.75" customHeight="1">
      <c r="A286" s="522"/>
      <c r="B286" s="522"/>
      <c r="D286" s="1324" t="s">
        <v>1269</v>
      </c>
      <c r="E286" s="1324"/>
      <c r="F286" s="1324"/>
    </row>
    <row r="287" spans="1:9">
      <c r="E287" s="484"/>
      <c r="F287" s="484"/>
    </row>
    <row r="288" spans="1:9" ht="14.25">
      <c r="A288" s="522"/>
      <c r="B288" s="523" t="s">
        <v>313</v>
      </c>
      <c r="D288" s="1272" t="s">
        <v>1270</v>
      </c>
      <c r="E288" s="1272"/>
      <c r="F288" s="1272"/>
      <c r="I288" s="438" t="s">
        <v>2221</v>
      </c>
    </row>
    <row r="289" spans="1:9" ht="14.25">
      <c r="A289" s="522"/>
      <c r="B289" s="522"/>
      <c r="D289" s="1272"/>
      <c r="E289" s="1272"/>
      <c r="F289" s="1272"/>
    </row>
    <row r="290" spans="1:9">
      <c r="D290" s="484"/>
      <c r="E290" s="484"/>
      <c r="F290" s="484"/>
    </row>
    <row r="291" spans="1:9" ht="14.25">
      <c r="A291" s="522"/>
      <c r="B291" s="523" t="s">
        <v>313</v>
      </c>
      <c r="D291" s="1272" t="s">
        <v>1271</v>
      </c>
      <c r="E291" s="1272"/>
      <c r="F291" s="1272"/>
      <c r="I291" s="438" t="s">
        <v>2221</v>
      </c>
    </row>
    <row r="292" spans="1:9" ht="14.25">
      <c r="A292" s="522"/>
      <c r="B292" s="522"/>
      <c r="D292" s="1272"/>
      <c r="E292" s="1272"/>
      <c r="F292" s="1272"/>
    </row>
    <row r="293" spans="1:9" ht="14.25">
      <c r="A293" s="522"/>
      <c r="B293" s="522"/>
      <c r="D293" s="1272"/>
      <c r="E293" s="1272"/>
      <c r="F293" s="1272"/>
    </row>
    <row r="294" spans="1:9">
      <c r="D294" s="484"/>
      <c r="E294" s="484"/>
      <c r="F294" s="484"/>
    </row>
    <row r="295" spans="1:9" ht="14.25">
      <c r="A295" s="522"/>
      <c r="B295" s="523" t="s">
        <v>313</v>
      </c>
      <c r="D295" s="1272" t="s">
        <v>1272</v>
      </c>
      <c r="E295" s="1272"/>
      <c r="F295" s="1272"/>
      <c r="I295" s="438" t="s">
        <v>2221</v>
      </c>
    </row>
    <row r="296" spans="1:9" ht="14.25">
      <c r="A296" s="522"/>
      <c r="B296" s="522"/>
      <c r="D296" s="1272"/>
      <c r="E296" s="1272"/>
      <c r="F296" s="1272"/>
    </row>
    <row r="297" spans="1:9">
      <c r="A297" s="528"/>
      <c r="B297" s="528"/>
      <c r="E297" s="484"/>
      <c r="F297" s="484"/>
    </row>
    <row r="298" spans="1:9">
      <c r="A298" s="1260" t="s">
        <v>1136</v>
      </c>
      <c r="B298" s="1260"/>
      <c r="C298" s="1260"/>
      <c r="D298" s="1260"/>
      <c r="E298" s="1260"/>
      <c r="F298" s="1260"/>
      <c r="G298" s="1260"/>
      <c r="H298" s="1074"/>
      <c r="I298" s="1075"/>
    </row>
    <row r="299" spans="1:9">
      <c r="A299" s="528"/>
      <c r="B299" s="528"/>
      <c r="D299" s="484"/>
      <c r="E299" s="484"/>
      <c r="F299" s="484"/>
    </row>
    <row r="300" spans="1:9">
      <c r="C300" s="528"/>
      <c r="D300" s="1271" t="s">
        <v>709</v>
      </c>
      <c r="E300" s="1271"/>
      <c r="F300" s="1271"/>
    </row>
    <row r="301" spans="1:9">
      <c r="C301" s="528"/>
      <c r="D301" s="1273" t="s">
        <v>1273</v>
      </c>
      <c r="E301" s="1273"/>
      <c r="F301" s="1273"/>
    </row>
    <row r="302" spans="1:9">
      <c r="C302" s="528"/>
      <c r="D302" s="531"/>
    </row>
    <row r="303" spans="1:9">
      <c r="B303" s="523" t="s">
        <v>313</v>
      </c>
      <c r="D303" s="1273" t="s">
        <v>1274</v>
      </c>
      <c r="E303" s="1273"/>
      <c r="F303" s="1273"/>
      <c r="I303" s="438" t="s">
        <v>2222</v>
      </c>
    </row>
    <row r="304" spans="1:9" ht="14.25">
      <c r="A304" s="522"/>
      <c r="B304" s="522"/>
      <c r="D304" s="532"/>
      <c r="E304" s="533"/>
      <c r="F304" s="533"/>
    </row>
    <row r="305" spans="1:9" ht="13.7" customHeight="1">
      <c r="B305" s="523" t="s">
        <v>313</v>
      </c>
      <c r="D305" s="1327" t="s">
        <v>1386</v>
      </c>
      <c r="E305" s="1327"/>
      <c r="F305" s="1327"/>
      <c r="I305" s="438" t="s">
        <v>2222</v>
      </c>
    </row>
    <row r="306" spans="1:9" ht="14.25">
      <c r="A306" s="522"/>
      <c r="B306" s="522"/>
      <c r="D306" s="1327"/>
      <c r="E306" s="1327"/>
      <c r="F306" s="1327"/>
    </row>
    <row r="307" spans="1:9" ht="14.25">
      <c r="A307" s="522"/>
      <c r="B307" s="522"/>
      <c r="D307" s="1327"/>
      <c r="E307" s="1327"/>
      <c r="F307" s="1327"/>
    </row>
    <row r="308" spans="1:9" ht="14.25">
      <c r="A308" s="522"/>
      <c r="B308" s="522"/>
      <c r="D308" s="1327"/>
      <c r="E308" s="1327"/>
      <c r="F308" s="1327"/>
    </row>
    <row r="309" spans="1:9" ht="14.25">
      <c r="A309" s="522"/>
      <c r="B309" s="522"/>
      <c r="D309" s="1327"/>
      <c r="E309" s="1327"/>
      <c r="F309" s="1327"/>
    </row>
    <row r="310" spans="1:9" ht="14.25">
      <c r="A310" s="522"/>
      <c r="B310" s="522"/>
      <c r="D310" s="532"/>
      <c r="E310" s="533"/>
      <c r="F310" s="533"/>
    </row>
    <row r="311" spans="1:9" ht="13.7" customHeight="1">
      <c r="B311" s="523" t="s">
        <v>313</v>
      </c>
      <c r="D311" s="1327" t="s">
        <v>1276</v>
      </c>
      <c r="E311" s="1327"/>
      <c r="F311" s="1327"/>
      <c r="I311" s="438" t="s">
        <v>2222</v>
      </c>
    </row>
    <row r="312" spans="1:9">
      <c r="D312" s="1327"/>
      <c r="E312" s="1327"/>
      <c r="F312" s="1327"/>
    </row>
    <row r="313" spans="1:9" ht="14.25">
      <c r="A313" s="522"/>
      <c r="B313" s="522"/>
      <c r="D313" s="532"/>
      <c r="E313" s="533"/>
      <c r="F313" s="533"/>
    </row>
    <row r="314" spans="1:9">
      <c r="B314" s="523" t="s">
        <v>313</v>
      </c>
      <c r="D314" s="1273" t="s">
        <v>1277</v>
      </c>
      <c r="E314" s="1273"/>
      <c r="F314" s="1273"/>
      <c r="I314" s="438" t="s">
        <v>2208</v>
      </c>
    </row>
    <row r="315" spans="1:9">
      <c r="E315" s="484"/>
      <c r="F315" s="484"/>
    </row>
    <row r="316" spans="1:9" ht="14.25">
      <c r="A316" s="522"/>
      <c r="B316" s="523" t="s">
        <v>313</v>
      </c>
      <c r="D316" s="1272" t="s">
        <v>2548</v>
      </c>
      <c r="E316" s="1272"/>
      <c r="F316" s="1272"/>
      <c r="I316" s="438" t="s">
        <v>2223</v>
      </c>
    </row>
    <row r="317" spans="1:9" ht="14.25">
      <c r="A317" s="522"/>
      <c r="B317" s="522"/>
      <c r="D317" s="1272"/>
      <c r="E317" s="1272"/>
      <c r="F317" s="1272"/>
    </row>
    <row r="318" spans="1:9" ht="14.25">
      <c r="A318" s="522"/>
      <c r="B318" s="522"/>
      <c r="D318" s="1272"/>
      <c r="E318" s="1272"/>
      <c r="F318" s="1272"/>
    </row>
    <row r="319" spans="1:9" ht="14.25">
      <c r="A319" s="522"/>
      <c r="B319" s="522"/>
      <c r="D319" s="1272"/>
      <c r="E319" s="1272"/>
      <c r="F319" s="1272"/>
    </row>
    <row r="320" spans="1:9" ht="14.25">
      <c r="A320" s="522"/>
      <c r="B320" s="522"/>
      <c r="D320" s="1272"/>
      <c r="E320" s="1272"/>
      <c r="F320" s="1272"/>
    </row>
    <row r="321" spans="1:9" ht="14.25">
      <c r="A321" s="522"/>
      <c r="B321" s="522"/>
      <c r="D321" s="1272"/>
      <c r="E321" s="1272"/>
      <c r="F321" s="1272"/>
    </row>
    <row r="322" spans="1:9" ht="14.25">
      <c r="A322" s="522"/>
      <c r="B322" s="522"/>
      <c r="D322" s="1272"/>
      <c r="E322" s="1272"/>
      <c r="F322" s="1272"/>
    </row>
    <row r="323" spans="1:9" ht="14.25">
      <c r="A323" s="522"/>
      <c r="B323" s="522"/>
      <c r="D323" s="1272"/>
      <c r="E323" s="1272"/>
      <c r="F323" s="1272"/>
    </row>
    <row r="324" spans="1:9" ht="14.25">
      <c r="A324" s="522"/>
      <c r="B324" s="522"/>
      <c r="D324" s="1272"/>
      <c r="E324" s="1272"/>
      <c r="F324" s="1272"/>
    </row>
    <row r="325" spans="1:9" ht="14.25">
      <c r="A325" s="522"/>
      <c r="B325" s="522"/>
      <c r="D325" s="1272"/>
      <c r="E325" s="1272"/>
      <c r="F325" s="1272"/>
    </row>
    <row r="326" spans="1:9" ht="14.25">
      <c r="A326" s="522"/>
      <c r="B326" s="522"/>
      <c r="D326" s="1272"/>
      <c r="E326" s="1272"/>
      <c r="F326" s="1272"/>
    </row>
    <row r="327" spans="1:9" ht="14.25">
      <c r="A327" s="522"/>
      <c r="B327" s="522"/>
      <c r="D327" s="1272"/>
      <c r="E327" s="1272"/>
      <c r="F327" s="1272"/>
    </row>
    <row r="328" spans="1:9" ht="14.25">
      <c r="A328" s="522"/>
      <c r="B328" s="522"/>
      <c r="D328" s="1272"/>
      <c r="E328" s="1272"/>
      <c r="F328" s="1272"/>
    </row>
    <row r="329" spans="1:9" ht="14.25">
      <c r="A329" s="522"/>
      <c r="B329" s="522"/>
      <c r="D329" s="1272"/>
      <c r="E329" s="1272"/>
      <c r="F329" s="1272"/>
    </row>
    <row r="330" spans="1:9" ht="14.25">
      <c r="A330" s="522"/>
      <c r="B330" s="522"/>
      <c r="D330" s="1272"/>
      <c r="E330" s="1272"/>
      <c r="F330" s="1272"/>
    </row>
    <row r="331" spans="1:9">
      <c r="D331" s="484"/>
      <c r="E331" s="484"/>
      <c r="F331" s="484"/>
    </row>
    <row r="332" spans="1:9" ht="14.25">
      <c r="A332" s="522"/>
      <c r="B332" s="523" t="s">
        <v>313</v>
      </c>
      <c r="D332" s="1272" t="s">
        <v>1279</v>
      </c>
      <c r="E332" s="1272"/>
      <c r="F332" s="1272"/>
      <c r="I332" s="438" t="s">
        <v>2223</v>
      </c>
    </row>
    <row r="333" spans="1:9">
      <c r="D333" s="1272"/>
      <c r="E333" s="1272"/>
      <c r="F333" s="1272"/>
    </row>
    <row r="334" spans="1:9">
      <c r="D334" s="1272"/>
      <c r="E334" s="1272"/>
      <c r="F334" s="1272"/>
    </row>
    <row r="335" spans="1:9">
      <c r="D335" s="1272"/>
      <c r="E335" s="1272"/>
      <c r="F335" s="1272"/>
    </row>
    <row r="336" spans="1:9">
      <c r="D336" s="1272"/>
      <c r="E336" s="1272"/>
      <c r="F336" s="1272"/>
    </row>
    <row r="337" spans="1:9">
      <c r="D337" s="1272"/>
      <c r="E337" s="1272"/>
      <c r="F337" s="1272"/>
    </row>
    <row r="338" spans="1:9">
      <c r="D338" s="1272"/>
      <c r="E338" s="1272"/>
      <c r="F338" s="1272"/>
    </row>
    <row r="339" spans="1:9">
      <c r="D339" s="1272"/>
      <c r="E339" s="1272"/>
      <c r="F339" s="1272"/>
    </row>
    <row r="340" spans="1:9">
      <c r="D340" s="1272"/>
      <c r="E340" s="1272"/>
      <c r="F340" s="1272"/>
    </row>
    <row r="341" spans="1:9">
      <c r="D341" s="484"/>
      <c r="E341" s="484"/>
      <c r="F341" s="484"/>
    </row>
    <row r="342" spans="1:9" ht="14.25" customHeight="1">
      <c r="A342" s="522"/>
      <c r="B342" s="523" t="s">
        <v>313</v>
      </c>
      <c r="D342" s="1272" t="s">
        <v>2353</v>
      </c>
      <c r="E342" s="1272"/>
      <c r="F342" s="1272"/>
      <c r="I342" s="438" t="s">
        <v>2260</v>
      </c>
    </row>
    <row r="343" spans="1:9">
      <c r="D343" s="1272"/>
      <c r="E343" s="1272"/>
      <c r="F343" s="1272"/>
    </row>
    <row r="344" spans="1:9">
      <c r="D344" s="1272"/>
      <c r="E344" s="1272"/>
      <c r="F344" s="1272"/>
    </row>
    <row r="345" spans="1:9">
      <c r="D345" s="1272"/>
      <c r="E345" s="1272"/>
      <c r="F345" s="1272"/>
    </row>
    <row r="346" spans="1:9">
      <c r="D346" s="420" t="s">
        <v>2352</v>
      </c>
      <c r="E346" s="419"/>
      <c r="F346" s="419"/>
    </row>
    <row r="347" spans="1:9">
      <c r="D347" s="419"/>
      <c r="E347" s="96" t="s">
        <v>2349</v>
      </c>
      <c r="G347" s="96"/>
    </row>
    <row r="348" spans="1:9">
      <c r="D348" s="483"/>
      <c r="E348" s="483"/>
      <c r="F348" s="483"/>
    </row>
    <row r="349" spans="1:9" ht="13.5" thickBot="1">
      <c r="A349" s="1062"/>
      <c r="B349" s="1062"/>
      <c r="C349" s="1062"/>
      <c r="D349" s="1316" t="s">
        <v>1039</v>
      </c>
      <c r="E349" s="1316"/>
      <c r="F349" s="1316"/>
      <c r="G349" s="1072"/>
      <c r="H349" s="1072"/>
      <c r="I349" s="1073"/>
    </row>
    <row r="350" spans="1:9" ht="13.5" thickTop="1">
      <c r="D350" s="1328" t="s">
        <v>1281</v>
      </c>
      <c r="E350" s="1328"/>
      <c r="F350" s="1328"/>
    </row>
    <row r="351" spans="1:9">
      <c r="D351" s="484"/>
      <c r="E351" s="484"/>
      <c r="F351" s="484"/>
    </row>
    <row r="352" spans="1:9">
      <c r="A352" s="514"/>
      <c r="B352" s="514"/>
      <c r="C352" s="514"/>
      <c r="D352" s="485"/>
      <c r="E352" s="485"/>
      <c r="F352" s="484"/>
      <c r="I352" s="438" t="s">
        <v>2224</v>
      </c>
    </row>
    <row r="353" spans="1:9" ht="14.25">
      <c r="A353" s="522"/>
      <c r="B353" s="523" t="s">
        <v>313</v>
      </c>
      <c r="C353" s="525"/>
      <c r="D353" s="1273" t="s">
        <v>2351</v>
      </c>
      <c r="E353" s="1273"/>
      <c r="F353" s="1273"/>
      <c r="I353" s="1330" t="s">
        <v>2274</v>
      </c>
    </row>
    <row r="354" spans="1:9" ht="12.75" customHeight="1">
      <c r="D354" s="1124"/>
      <c r="E354" s="96" t="s">
        <v>2350</v>
      </c>
      <c r="F354" s="1124"/>
      <c r="I354" s="1331"/>
    </row>
    <row r="355" spans="1:9">
      <c r="D355" s="1272" t="s">
        <v>1409</v>
      </c>
      <c r="E355" s="1272"/>
      <c r="F355" s="1272"/>
      <c r="I355" s="1331"/>
    </row>
    <row r="356" spans="1:9">
      <c r="D356" s="1272"/>
      <c r="E356" s="1272"/>
      <c r="F356" s="1272"/>
      <c r="I356" s="1331"/>
    </row>
    <row r="357" spans="1:9">
      <c r="D357" s="1272"/>
      <c r="E357" s="1272"/>
      <c r="F357" s="1272"/>
      <c r="I357" s="1332"/>
    </row>
    <row r="358" spans="1:9" ht="14.25">
      <c r="A358" s="522"/>
      <c r="B358" s="523" t="s">
        <v>313</v>
      </c>
      <c r="C358" s="514"/>
      <c r="D358" s="1258" t="s">
        <v>2529</v>
      </c>
      <c r="E358" s="1258"/>
      <c r="F358" s="1258"/>
      <c r="I358" s="436"/>
    </row>
    <row r="359" spans="1:9">
      <c r="A359" s="514"/>
      <c r="B359" s="514"/>
      <c r="C359" s="514"/>
      <c r="D359" s="485"/>
      <c r="E359" s="485"/>
      <c r="F359" s="484"/>
    </row>
    <row r="360" spans="1:9">
      <c r="A360" s="514"/>
      <c r="B360" s="523" t="s">
        <v>313</v>
      </c>
      <c r="C360" s="514"/>
      <c r="D360" s="1254" t="s">
        <v>2530</v>
      </c>
      <c r="E360" s="1254"/>
      <c r="F360" s="1254"/>
    </row>
    <row r="361" spans="1:9">
      <c r="A361" s="514"/>
      <c r="B361" s="514"/>
      <c r="C361" s="514"/>
      <c r="D361" s="1254"/>
      <c r="E361" s="1254"/>
      <c r="F361" s="1254"/>
    </row>
    <row r="362" spans="1:9">
      <c r="A362" s="514"/>
      <c r="B362" s="514"/>
      <c r="C362" s="514"/>
      <c r="D362" s="1254"/>
      <c r="E362" s="1254"/>
      <c r="F362" s="1254"/>
    </row>
    <row r="363" spans="1:9">
      <c r="A363" s="514"/>
      <c r="B363" s="514"/>
      <c r="C363" s="514"/>
      <c r="D363" s="1254"/>
      <c r="E363" s="1254"/>
      <c r="F363" s="1254"/>
    </row>
    <row r="364" spans="1:9">
      <c r="A364" s="514"/>
      <c r="B364" s="514"/>
      <c r="C364" s="514"/>
      <c r="D364" s="1254"/>
      <c r="E364" s="1254"/>
      <c r="F364" s="1254"/>
    </row>
    <row r="365" spans="1:9">
      <c r="A365" s="514"/>
      <c r="B365" s="514"/>
      <c r="C365" s="514"/>
      <c r="D365" s="1254"/>
      <c r="E365" s="1254"/>
      <c r="F365" s="1254"/>
    </row>
    <row r="366" spans="1:9">
      <c r="A366" s="514"/>
      <c r="B366" s="514"/>
      <c r="C366" s="514"/>
      <c r="D366" s="1254"/>
      <c r="E366" s="1254"/>
      <c r="F366" s="1254"/>
    </row>
    <row r="367" spans="1:9">
      <c r="A367" s="514"/>
      <c r="B367" s="514"/>
      <c r="C367" s="514"/>
      <c r="D367" s="1254"/>
      <c r="E367" s="1254"/>
      <c r="F367" s="1254"/>
    </row>
    <row r="368" spans="1:9">
      <c r="A368" s="514"/>
      <c r="B368" s="514"/>
      <c r="C368" s="514"/>
      <c r="D368" s="1254"/>
      <c r="E368" s="1254"/>
      <c r="F368" s="1254"/>
    </row>
    <row r="369" spans="1:6">
      <c r="A369" s="514"/>
      <c r="B369" s="514"/>
      <c r="C369" s="514"/>
      <c r="D369" s="1254"/>
      <c r="E369" s="1254"/>
      <c r="F369" s="1254"/>
    </row>
    <row r="370" spans="1:6">
      <c r="A370" s="514"/>
      <c r="B370" s="514"/>
      <c r="C370" s="514"/>
      <c r="D370" s="1254"/>
      <c r="E370" s="1254"/>
      <c r="F370" s="1254"/>
    </row>
    <row r="371" spans="1:6">
      <c r="A371" s="514"/>
      <c r="B371" s="514"/>
      <c r="C371" s="514"/>
      <c r="D371" s="1254"/>
      <c r="E371" s="1254"/>
      <c r="F371" s="1254"/>
    </row>
    <row r="372" spans="1:6">
      <c r="A372" s="514"/>
      <c r="B372" s="514"/>
      <c r="C372" s="514"/>
      <c r="D372" s="489"/>
      <c r="E372" s="489"/>
      <c r="F372" s="489"/>
    </row>
    <row r="373" spans="1:6" ht="12.4" customHeight="1">
      <c r="A373" s="514"/>
      <c r="B373" s="523" t="s">
        <v>313</v>
      </c>
      <c r="C373" s="514"/>
      <c r="D373" s="1303" t="s">
        <v>1389</v>
      </c>
      <c r="E373" s="1303"/>
      <c r="F373" s="1303"/>
    </row>
    <row r="374" spans="1:6">
      <c r="A374" s="514"/>
      <c r="B374" s="514"/>
      <c r="C374" s="514"/>
      <c r="D374" s="1303"/>
      <c r="E374" s="1303"/>
      <c r="F374" s="1303"/>
    </row>
    <row r="375" spans="1:6">
      <c r="A375" s="514"/>
      <c r="B375" s="514"/>
      <c r="C375" s="514"/>
      <c r="D375" s="1303"/>
      <c r="E375" s="1303"/>
      <c r="F375" s="1303"/>
    </row>
    <row r="376" spans="1:6">
      <c r="A376" s="514"/>
      <c r="B376" s="514"/>
      <c r="C376" s="514"/>
      <c r="D376" s="1303"/>
      <c r="E376" s="1303"/>
      <c r="F376" s="1303"/>
    </row>
    <row r="377" spans="1:6">
      <c r="A377" s="514"/>
      <c r="B377" s="514"/>
      <c r="C377" s="514"/>
      <c r="D377" s="562"/>
      <c r="E377" s="562"/>
      <c r="F377" s="562"/>
    </row>
    <row r="378" spans="1:6">
      <c r="A378" s="514"/>
      <c r="B378" s="523" t="s">
        <v>313</v>
      </c>
      <c r="C378" s="514"/>
      <c r="D378" s="436" t="s">
        <v>2152</v>
      </c>
      <c r="E378" s="562"/>
      <c r="F378" s="562"/>
    </row>
    <row r="379" spans="1:6">
      <c r="A379" s="514"/>
      <c r="B379" s="514"/>
      <c r="C379" s="514"/>
      <c r="D379" s="436" t="s">
        <v>2153</v>
      </c>
      <c r="E379" s="562"/>
      <c r="F379" s="562"/>
    </row>
    <row r="380" spans="1:6">
      <c r="A380" s="514"/>
      <c r="B380" s="514"/>
      <c r="C380" s="514"/>
      <c r="D380" s="436" t="s">
        <v>2154</v>
      </c>
      <c r="E380" s="562"/>
      <c r="F380" s="562"/>
    </row>
    <row r="381" spans="1:6">
      <c r="A381" s="514"/>
      <c r="B381" s="514"/>
      <c r="C381" s="514"/>
      <c r="D381" s="436" t="s">
        <v>2155</v>
      </c>
      <c r="E381" s="562"/>
      <c r="F381" s="562"/>
    </row>
    <row r="382" spans="1:6">
      <c r="A382" s="514"/>
      <c r="B382" s="514"/>
      <c r="C382" s="514"/>
      <c r="D382" s="436" t="s">
        <v>2156</v>
      </c>
      <c r="E382" s="562"/>
      <c r="F382" s="562"/>
    </row>
    <row r="383" spans="1:6">
      <c r="A383" s="514"/>
      <c r="B383" s="514"/>
      <c r="C383" s="514"/>
      <c r="D383" s="436" t="s">
        <v>2157</v>
      </c>
      <c r="E383" s="562"/>
      <c r="F383" s="562"/>
    </row>
    <row r="384" spans="1:6">
      <c r="A384" s="514"/>
      <c r="B384" s="514"/>
      <c r="C384" s="514"/>
      <c r="E384" s="485"/>
      <c r="F384" s="484"/>
    </row>
    <row r="385" spans="1:6" ht="14.25">
      <c r="A385" s="522"/>
      <c r="B385" s="523" t="s">
        <v>313</v>
      </c>
      <c r="C385" s="514"/>
      <c r="D385" s="1254" t="s">
        <v>1284</v>
      </c>
      <c r="E385" s="1254"/>
      <c r="F385" s="1254"/>
    </row>
    <row r="386" spans="1:6">
      <c r="A386" s="514"/>
      <c r="B386" s="514"/>
      <c r="C386" s="514"/>
      <c r="D386" s="1254"/>
      <c r="E386" s="1254"/>
      <c r="F386" s="1254"/>
    </row>
    <row r="387" spans="1:6">
      <c r="A387" s="514"/>
      <c r="B387" s="514"/>
      <c r="C387" s="514"/>
      <c r="D387" s="1254"/>
      <c r="E387" s="1254"/>
      <c r="F387" s="1254"/>
    </row>
    <row r="388" spans="1:6">
      <c r="A388" s="514"/>
      <c r="B388" s="514"/>
      <c r="C388" s="514"/>
      <c r="D388" s="1254"/>
      <c r="E388" s="1254"/>
      <c r="F388" s="1254"/>
    </row>
    <row r="389" spans="1:6">
      <c r="A389" s="514"/>
      <c r="B389" s="514"/>
      <c r="C389" s="514"/>
      <c r="D389" s="485"/>
      <c r="E389" s="485"/>
      <c r="F389" s="484"/>
    </row>
    <row r="390" spans="1:6">
      <c r="A390" s="514"/>
      <c r="B390" s="514"/>
      <c r="C390" s="514"/>
      <c r="D390" s="1254" t="s">
        <v>1285</v>
      </c>
      <c r="E390" s="1254"/>
      <c r="F390" s="1254"/>
    </row>
    <row r="391" spans="1:6">
      <c r="A391" s="514"/>
      <c r="B391" s="514"/>
      <c r="C391" s="514"/>
      <c r="D391" s="1254"/>
      <c r="E391" s="1254"/>
      <c r="F391" s="1254"/>
    </row>
    <row r="392" spans="1:6">
      <c r="A392" s="514"/>
      <c r="B392" s="514"/>
      <c r="C392" s="514"/>
      <c r="D392" s="1254"/>
      <c r="E392" s="1254"/>
      <c r="F392" s="1254"/>
    </row>
    <row r="393" spans="1:6">
      <c r="A393" s="514"/>
      <c r="B393" s="514"/>
      <c r="C393" s="514"/>
      <c r="D393" s="1254"/>
      <c r="E393" s="1254"/>
      <c r="F393" s="1254"/>
    </row>
    <row r="394" spans="1:6" ht="18" customHeight="1">
      <c r="A394" s="514"/>
      <c r="B394" s="514"/>
      <c r="C394" s="514"/>
      <c r="D394" s="1254"/>
      <c r="E394" s="1254"/>
      <c r="F394" s="1254"/>
    </row>
    <row r="395" spans="1:6">
      <c r="A395" s="514"/>
      <c r="B395" s="514"/>
      <c r="C395" s="514"/>
      <c r="D395" s="1254"/>
      <c r="E395" s="1254"/>
      <c r="F395" s="1254"/>
    </row>
    <row r="396" spans="1:6">
      <c r="A396" s="514"/>
      <c r="B396" s="514"/>
      <c r="C396" s="514"/>
      <c r="D396" s="1254"/>
      <c r="E396" s="1254"/>
      <c r="F396" s="1254"/>
    </row>
    <row r="397" spans="1:6">
      <c r="A397" s="514"/>
      <c r="B397" s="514"/>
      <c r="C397" s="514"/>
      <c r="D397" s="1254"/>
      <c r="E397" s="1254"/>
      <c r="F397" s="1254"/>
    </row>
    <row r="398" spans="1:6" ht="8.25" customHeight="1">
      <c r="A398" s="514"/>
      <c r="B398" s="514"/>
      <c r="C398" s="514"/>
      <c r="D398" s="1254"/>
      <c r="E398" s="1254"/>
      <c r="F398" s="1254"/>
    </row>
    <row r="399" spans="1:6" ht="13.7" customHeight="1">
      <c r="A399" s="514"/>
      <c r="B399" s="514"/>
      <c r="C399" s="514"/>
      <c r="D399" s="1254" t="s">
        <v>1286</v>
      </c>
      <c r="E399" s="1254"/>
      <c r="F399" s="1254"/>
    </row>
    <row r="400" spans="1:6">
      <c r="A400" s="514"/>
      <c r="B400" s="514"/>
      <c r="C400" s="514"/>
      <c r="D400" s="1254"/>
      <c r="E400" s="1254"/>
      <c r="F400" s="1254"/>
    </row>
    <row r="401" spans="1:6">
      <c r="A401" s="514"/>
      <c r="B401" s="514"/>
      <c r="C401" s="514"/>
      <c r="D401" s="1254"/>
      <c r="E401" s="1254"/>
      <c r="F401" s="1254"/>
    </row>
    <row r="402" spans="1:6">
      <c r="A402" s="514"/>
      <c r="B402" s="514"/>
      <c r="C402" s="514"/>
      <c r="D402" s="1254"/>
      <c r="E402" s="1254"/>
      <c r="F402" s="1254"/>
    </row>
    <row r="403" spans="1:6">
      <c r="A403" s="514"/>
      <c r="B403" s="514"/>
      <c r="C403" s="514"/>
      <c r="D403" s="1254"/>
      <c r="E403" s="1254"/>
      <c r="F403" s="1254"/>
    </row>
    <row r="404" spans="1:6">
      <c r="A404" s="514"/>
      <c r="B404" s="514"/>
      <c r="C404" s="514"/>
      <c r="D404" s="1254"/>
      <c r="E404" s="1254"/>
      <c r="F404" s="1254"/>
    </row>
    <row r="405" spans="1:6">
      <c r="A405" s="514"/>
      <c r="B405" s="514"/>
      <c r="C405" s="514"/>
      <c r="D405" s="1254"/>
      <c r="E405" s="1254"/>
      <c r="F405" s="1254"/>
    </row>
    <row r="406" spans="1:6">
      <c r="A406" s="514"/>
      <c r="B406" s="514"/>
      <c r="C406" s="514"/>
      <c r="D406" s="1254"/>
      <c r="E406" s="1254"/>
      <c r="F406" s="1254"/>
    </row>
    <row r="407" spans="1:6">
      <c r="A407" s="514"/>
      <c r="B407" s="514"/>
      <c r="C407" s="514"/>
      <c r="D407" s="1254"/>
      <c r="E407" s="1254"/>
      <c r="F407" s="1254"/>
    </row>
    <row r="408" spans="1:6">
      <c r="A408" s="514"/>
      <c r="B408" s="514"/>
      <c r="C408" s="514"/>
      <c r="D408" s="1254"/>
      <c r="E408" s="1254"/>
      <c r="F408" s="1254"/>
    </row>
    <row r="409" spans="1:6">
      <c r="A409" s="514"/>
      <c r="B409" s="514"/>
      <c r="C409" s="514"/>
      <c r="D409" s="1254"/>
      <c r="E409" s="1254"/>
      <c r="F409" s="1254"/>
    </row>
    <row r="410" spans="1:6">
      <c r="A410" s="514"/>
      <c r="B410" s="514"/>
      <c r="C410" s="514"/>
      <c r="D410" s="1254"/>
      <c r="E410" s="1254"/>
      <c r="F410" s="1254"/>
    </row>
    <row r="411" spans="1:6">
      <c r="A411" s="514"/>
      <c r="B411" s="514"/>
      <c r="C411" s="534"/>
      <c r="D411" s="1254"/>
      <c r="E411" s="1254"/>
      <c r="F411" s="1254"/>
    </row>
    <row r="412" spans="1:6">
      <c r="A412" s="514"/>
      <c r="B412" s="514"/>
      <c r="C412" s="534"/>
      <c r="D412" s="1254"/>
      <c r="E412" s="1254"/>
      <c r="F412" s="1254"/>
    </row>
    <row r="413" spans="1:6">
      <c r="A413" s="514"/>
      <c r="B413" s="514"/>
      <c r="C413" s="514"/>
      <c r="D413" s="1254"/>
      <c r="E413" s="1254"/>
      <c r="F413" s="1254"/>
    </row>
    <row r="414" spans="1:6">
      <c r="A414" s="514"/>
      <c r="B414" s="514"/>
      <c r="C414" s="534"/>
      <c r="D414" s="1254"/>
      <c r="E414" s="1254"/>
      <c r="F414" s="1254"/>
    </row>
    <row r="415" spans="1:6">
      <c r="A415" s="514"/>
      <c r="B415" s="514"/>
      <c r="C415" s="534"/>
      <c r="D415" s="1254"/>
      <c r="E415" s="1254"/>
      <c r="F415" s="1254"/>
    </row>
    <row r="416" spans="1:6">
      <c r="A416" s="514"/>
      <c r="B416" s="514"/>
      <c r="C416" s="534"/>
      <c r="D416" s="1254"/>
      <c r="E416" s="1254"/>
      <c r="F416" s="1254"/>
    </row>
    <row r="417" spans="1:6">
      <c r="A417" s="514"/>
      <c r="B417" s="514"/>
      <c r="C417" s="514"/>
      <c r="D417" s="485"/>
      <c r="E417" s="485"/>
      <c r="F417" s="484"/>
    </row>
    <row r="418" spans="1:6">
      <c r="A418" s="514"/>
      <c r="B418" s="523" t="s">
        <v>313</v>
      </c>
      <c r="C418" s="514"/>
      <c r="D418" s="1254" t="s">
        <v>1287</v>
      </c>
      <c r="E418" s="1254"/>
      <c r="F418" s="1254"/>
    </row>
    <row r="419" spans="1:6">
      <c r="A419" s="514"/>
      <c r="B419" s="514"/>
      <c r="C419" s="514"/>
      <c r="D419" s="1254"/>
      <c r="E419" s="1254"/>
      <c r="F419" s="1254"/>
    </row>
    <row r="420" spans="1:6">
      <c r="A420" s="514"/>
      <c r="B420" s="514"/>
      <c r="C420" s="514"/>
      <c r="D420" s="489"/>
      <c r="E420" s="489"/>
      <c r="F420" s="489"/>
    </row>
    <row r="421" spans="1:6" ht="14.45" customHeight="1">
      <c r="A421" s="522"/>
      <c r="B421" s="523" t="s">
        <v>313</v>
      </c>
      <c r="D421" s="1254" t="s">
        <v>2261</v>
      </c>
      <c r="E421" s="1254"/>
      <c r="F421" s="1254"/>
    </row>
    <row r="422" spans="1:6" ht="14.45" customHeight="1">
      <c r="A422" s="522"/>
      <c r="D422" s="1254"/>
      <c r="E422" s="1254"/>
      <c r="F422" s="1254"/>
    </row>
    <row r="423" spans="1:6" ht="14.45" customHeight="1">
      <c r="A423" s="522"/>
      <c r="D423" s="1254"/>
      <c r="E423" s="1254"/>
      <c r="F423" s="1254"/>
    </row>
    <row r="424" spans="1:6" ht="14.45" customHeight="1">
      <c r="A424" s="522"/>
      <c r="D424" s="1254"/>
      <c r="E424" s="1254"/>
      <c r="F424" s="1254"/>
    </row>
    <row r="425" spans="1:6" ht="14.45" customHeight="1">
      <c r="A425" s="522"/>
      <c r="D425" s="1254"/>
      <c r="E425" s="1254"/>
      <c r="F425" s="1254"/>
    </row>
    <row r="426" spans="1:6" ht="14.45" customHeight="1">
      <c r="A426" s="522"/>
      <c r="D426" s="419"/>
      <c r="E426" s="419"/>
      <c r="F426" s="419"/>
    </row>
    <row r="427" spans="1:6" ht="13.7" customHeight="1">
      <c r="A427" s="522"/>
      <c r="B427" s="523" t="s">
        <v>313</v>
      </c>
      <c r="C427" s="514"/>
      <c r="D427" s="1254" t="s">
        <v>1411</v>
      </c>
      <c r="E427" s="1254"/>
      <c r="F427" s="1254"/>
    </row>
    <row r="428" spans="1:6" ht="14.25">
      <c r="A428" s="535"/>
      <c r="B428" s="535"/>
      <c r="C428" s="514"/>
      <c r="D428" s="1254"/>
      <c r="E428" s="1254"/>
      <c r="F428" s="1254"/>
    </row>
    <row r="429" spans="1:6" ht="14.25">
      <c r="A429" s="535"/>
      <c r="B429" s="535"/>
      <c r="C429" s="514"/>
      <c r="D429" s="1254"/>
      <c r="E429" s="1254"/>
      <c r="F429" s="1254"/>
    </row>
    <row r="430" spans="1:6" ht="14.25">
      <c r="A430" s="535"/>
      <c r="B430" s="535"/>
      <c r="C430" s="514"/>
      <c r="D430" s="1254"/>
      <c r="E430" s="1254"/>
      <c r="F430" s="1254"/>
    </row>
    <row r="431" spans="1:6" ht="15.75" customHeight="1">
      <c r="A431" s="535"/>
      <c r="B431" s="535"/>
      <c r="C431" s="514"/>
      <c r="D431" s="1329" t="s">
        <v>2549</v>
      </c>
      <c r="E431" s="1254"/>
      <c r="F431" s="1254"/>
    </row>
    <row r="432" spans="1:6">
      <c r="D432" s="484"/>
      <c r="E432" s="484"/>
      <c r="F432" s="484"/>
    </row>
    <row r="433" spans="1:6" ht="14.25">
      <c r="A433" s="522"/>
      <c r="B433" s="523" t="s">
        <v>313</v>
      </c>
      <c r="C433" s="525"/>
      <c r="D433" s="1272" t="s">
        <v>2531</v>
      </c>
      <c r="E433" s="1272"/>
      <c r="F433" s="1272"/>
    </row>
    <row r="434" spans="1:6" ht="14.25">
      <c r="A434" s="522"/>
      <c r="B434" s="522"/>
      <c r="D434" s="1272"/>
      <c r="E434" s="1272"/>
      <c r="F434" s="1272"/>
    </row>
    <row r="435" spans="1:6">
      <c r="D435" s="1272"/>
      <c r="E435" s="1272"/>
      <c r="F435" s="1272"/>
    </row>
    <row r="436" spans="1:6">
      <c r="D436" s="1272"/>
      <c r="E436" s="1272"/>
      <c r="F436" s="1272"/>
    </row>
    <row r="437" spans="1:6">
      <c r="D437" s="1272"/>
      <c r="E437" s="1272"/>
      <c r="F437" s="1272"/>
    </row>
    <row r="438" spans="1:6">
      <c r="D438" s="1272"/>
      <c r="E438" s="1272"/>
      <c r="F438" s="1272"/>
    </row>
    <row r="439" spans="1:6">
      <c r="D439" s="1272"/>
      <c r="E439" s="1272"/>
      <c r="F439" s="1272"/>
    </row>
    <row r="440" spans="1:6">
      <c r="D440" s="1272"/>
      <c r="E440" s="1272"/>
      <c r="F440" s="1272"/>
    </row>
    <row r="441" spans="1:6">
      <c r="D441" s="1272"/>
      <c r="E441" s="1272"/>
      <c r="F441" s="1272"/>
    </row>
    <row r="442" spans="1:6">
      <c r="D442" s="1272"/>
      <c r="E442" s="1272"/>
      <c r="F442" s="1272"/>
    </row>
    <row r="443" spans="1:6">
      <c r="D443" s="1272"/>
      <c r="E443" s="1272"/>
      <c r="F443" s="1272"/>
    </row>
    <row r="444" spans="1:6">
      <c r="D444" s="1272"/>
      <c r="E444" s="1272"/>
      <c r="F444" s="1272"/>
    </row>
    <row r="445" spans="1:6">
      <c r="D445" s="1272"/>
      <c r="E445" s="1272"/>
      <c r="F445" s="1272"/>
    </row>
    <row r="446" spans="1:6">
      <c r="A446" s="436"/>
      <c r="B446" s="436"/>
      <c r="C446" s="436"/>
      <c r="D446" s="1272"/>
      <c r="E446" s="1272"/>
      <c r="F446" s="1272"/>
    </row>
    <row r="447" spans="1:6">
      <c r="A447" s="436"/>
      <c r="B447" s="436"/>
      <c r="C447" s="436"/>
      <c r="D447" s="1272"/>
      <c r="E447" s="1272"/>
      <c r="F447" s="1272"/>
    </row>
    <row r="448" spans="1:6">
      <c r="A448" s="436"/>
      <c r="B448" s="436"/>
      <c r="C448" s="436"/>
      <c r="D448" s="1272"/>
      <c r="E448" s="1272"/>
      <c r="F448" s="1272"/>
    </row>
    <row r="449" spans="1:6">
      <c r="A449" s="436"/>
      <c r="B449" s="436"/>
      <c r="C449" s="436"/>
      <c r="D449" s="1272"/>
      <c r="E449" s="1272"/>
      <c r="F449" s="1272"/>
    </row>
    <row r="450" spans="1:6">
      <c r="A450" s="436"/>
      <c r="B450" s="436"/>
      <c r="C450" s="436"/>
      <c r="D450" s="1272"/>
      <c r="E450" s="1272"/>
      <c r="F450" s="1272"/>
    </row>
    <row r="451" spans="1:6">
      <c r="A451" s="436"/>
      <c r="B451" s="436"/>
      <c r="C451" s="436"/>
      <c r="D451" s="1272"/>
      <c r="E451" s="1272"/>
      <c r="F451" s="1272"/>
    </row>
    <row r="452" spans="1:6">
      <c r="A452" s="436"/>
      <c r="B452" s="436"/>
      <c r="C452" s="436"/>
      <c r="D452" s="1272"/>
      <c r="E452" s="1272"/>
      <c r="F452" s="1272"/>
    </row>
    <row r="453" spans="1:6">
      <c r="A453" s="436"/>
      <c r="B453" s="436"/>
      <c r="C453" s="436"/>
      <c r="D453" s="1272"/>
      <c r="E453" s="1272"/>
      <c r="F453" s="1272"/>
    </row>
    <row r="454" spans="1:6">
      <c r="A454" s="436"/>
      <c r="B454" s="436"/>
      <c r="C454" s="436"/>
      <c r="D454" s="1272"/>
      <c r="E454" s="1272"/>
      <c r="F454" s="1272"/>
    </row>
    <row r="455" spans="1:6">
      <c r="A455" s="436"/>
      <c r="B455" s="436"/>
      <c r="C455" s="436"/>
      <c r="D455" s="1272"/>
      <c r="E455" s="1272"/>
      <c r="F455" s="1272"/>
    </row>
    <row r="456" spans="1:6">
      <c r="A456" s="436"/>
      <c r="B456" s="436"/>
      <c r="C456" s="436"/>
      <c r="D456" s="1272"/>
      <c r="E456" s="1272"/>
      <c r="F456" s="1272"/>
    </row>
    <row r="457" spans="1:6">
      <c r="A457" s="436"/>
      <c r="B457" s="436"/>
      <c r="C457" s="436"/>
      <c r="D457" s="1272"/>
      <c r="E457" s="1272"/>
      <c r="F457" s="1272"/>
    </row>
    <row r="458" spans="1:6">
      <c r="A458" s="436"/>
      <c r="B458" s="436"/>
      <c r="C458" s="436"/>
      <c r="D458" s="1272"/>
      <c r="E458" s="1272"/>
      <c r="F458" s="1272"/>
    </row>
    <row r="459" spans="1:6">
      <c r="A459" s="436"/>
      <c r="B459" s="436"/>
      <c r="C459" s="436"/>
      <c r="D459" s="1272"/>
      <c r="E459" s="1272"/>
      <c r="F459" s="1272"/>
    </row>
    <row r="460" spans="1:6">
      <c r="A460" s="436"/>
      <c r="B460" s="436"/>
      <c r="C460" s="436"/>
      <c r="D460" s="1272"/>
      <c r="E460" s="1272"/>
      <c r="F460" s="1272"/>
    </row>
    <row r="461" spans="1:6">
      <c r="A461" s="436"/>
      <c r="B461" s="436"/>
      <c r="C461" s="436"/>
      <c r="D461" s="1272"/>
      <c r="E461" s="1272"/>
      <c r="F461" s="1272"/>
    </row>
    <row r="462" spans="1:6">
      <c r="D462" s="1272"/>
      <c r="E462" s="1272"/>
      <c r="F462" s="1272"/>
    </row>
    <row r="463" spans="1:6" ht="40.700000000000003" customHeight="1">
      <c r="D463" s="1272"/>
      <c r="E463" s="1272"/>
      <c r="F463" s="1272"/>
    </row>
    <row r="464" spans="1:6">
      <c r="D464" s="484"/>
      <c r="E464" s="484"/>
      <c r="F464" s="484"/>
    </row>
    <row r="465" spans="1:6" ht="14.25">
      <c r="A465" s="522"/>
      <c r="B465" s="523" t="s">
        <v>313</v>
      </c>
      <c r="C465" s="525"/>
      <c r="D465" s="1272" t="s">
        <v>1292</v>
      </c>
      <c r="E465" s="1272"/>
      <c r="F465" s="1272"/>
    </row>
    <row r="466" spans="1:6">
      <c r="D466" s="1272"/>
      <c r="E466" s="1272"/>
      <c r="F466" s="1272"/>
    </row>
    <row r="467" spans="1:6">
      <c r="D467" s="1272"/>
      <c r="E467" s="1272"/>
      <c r="F467" s="1272"/>
    </row>
    <row r="468" spans="1:6">
      <c r="D468" s="483"/>
      <c r="E468" s="483"/>
      <c r="F468" s="483"/>
    </row>
    <row r="469" spans="1:6" ht="14.25">
      <c r="B469" s="523" t="s">
        <v>313</v>
      </c>
      <c r="C469" s="522"/>
      <c r="D469" s="1272" t="s">
        <v>1362</v>
      </c>
      <c r="E469" s="1272"/>
      <c r="F469" s="1272"/>
    </row>
    <row r="470" spans="1:6">
      <c r="D470" s="1272"/>
      <c r="E470" s="1272"/>
      <c r="F470" s="1272"/>
    </row>
    <row r="471" spans="1:6">
      <c r="D471" s="484"/>
      <c r="E471" s="484"/>
      <c r="F471" s="484"/>
    </row>
    <row r="472" spans="1:6" ht="14.25">
      <c r="B472" s="523" t="s">
        <v>313</v>
      </c>
      <c r="C472" s="522"/>
      <c r="D472" s="1272" t="s">
        <v>1294</v>
      </c>
      <c r="E472" s="1272"/>
      <c r="F472" s="1272"/>
    </row>
    <row r="473" spans="1:6">
      <c r="D473" s="1272"/>
      <c r="E473" s="1272"/>
      <c r="F473" s="1272"/>
    </row>
    <row r="474" spans="1:6">
      <c r="D474" s="1272"/>
      <c r="E474" s="1272"/>
      <c r="F474" s="1272"/>
    </row>
    <row r="475" spans="1:6">
      <c r="D475" s="1272"/>
      <c r="E475" s="1272"/>
      <c r="F475" s="1272"/>
    </row>
    <row r="476" spans="1:6">
      <c r="B476" s="523" t="s">
        <v>313</v>
      </c>
      <c r="D476" s="1272"/>
      <c r="E476" s="1272"/>
      <c r="F476" s="1272"/>
    </row>
    <row r="477" spans="1:6">
      <c r="A477" s="436"/>
      <c r="B477" s="436"/>
      <c r="C477" s="436"/>
      <c r="D477" s="1272"/>
      <c r="E477" s="1272"/>
      <c r="F477" s="1272"/>
    </row>
    <row r="478" spans="1:6">
      <c r="A478" s="436"/>
      <c r="C478" s="436"/>
      <c r="D478" s="1272"/>
      <c r="E478" s="1272"/>
      <c r="F478" s="1272"/>
    </row>
    <row r="479" spans="1:6">
      <c r="A479" s="436"/>
      <c r="B479" s="523" t="s">
        <v>313</v>
      </c>
      <c r="C479" s="436"/>
      <c r="D479" s="1272"/>
      <c r="E479" s="1272"/>
      <c r="F479" s="1272"/>
    </row>
    <row r="480" spans="1:6">
      <c r="A480" s="436"/>
      <c r="B480" s="436"/>
      <c r="C480" s="436"/>
      <c r="D480" s="1272"/>
      <c r="E480" s="1272"/>
      <c r="F480" s="1272"/>
    </row>
    <row r="481" spans="1:9">
      <c r="A481" s="436"/>
      <c r="C481" s="436"/>
      <c r="D481" s="1272"/>
      <c r="E481" s="1272"/>
      <c r="F481" s="1272"/>
    </row>
    <row r="482" spans="1:9">
      <c r="A482" s="436"/>
      <c r="C482" s="436"/>
      <c r="D482" s="1272"/>
      <c r="E482" s="1272"/>
      <c r="F482" s="1272"/>
    </row>
    <row r="483" spans="1:9">
      <c r="A483" s="436"/>
      <c r="C483" s="436"/>
      <c r="D483" s="1272"/>
      <c r="E483" s="1272"/>
      <c r="F483" s="1272"/>
    </row>
    <row r="484" spans="1:9">
      <c r="A484" s="436"/>
      <c r="B484" s="523" t="s">
        <v>313</v>
      </c>
      <c r="C484" s="436"/>
      <c r="D484" s="1272"/>
      <c r="E484" s="1272"/>
      <c r="F484" s="1272"/>
    </row>
    <row r="485" spans="1:9">
      <c r="A485" s="436"/>
      <c r="C485" s="436"/>
      <c r="D485" s="1272"/>
      <c r="E485" s="1272"/>
      <c r="F485" s="1272"/>
    </row>
    <row r="486" spans="1:9">
      <c r="A486" s="436"/>
      <c r="B486" s="523" t="s">
        <v>313</v>
      </c>
      <c r="C486" s="436"/>
      <c r="D486" s="1272" t="s">
        <v>1295</v>
      </c>
      <c r="E486" s="1272"/>
      <c r="F486" s="1272"/>
    </row>
    <row r="487" spans="1:9">
      <c r="A487" s="436"/>
      <c r="B487" s="436"/>
      <c r="C487" s="436"/>
      <c r="D487" s="1272"/>
      <c r="E487" s="1272"/>
      <c r="F487" s="1272"/>
    </row>
    <row r="488" spans="1:9">
      <c r="A488" s="436"/>
      <c r="B488" s="436"/>
      <c r="C488" s="436"/>
      <c r="D488" s="1272"/>
      <c r="E488" s="1272"/>
      <c r="F488" s="1272"/>
    </row>
    <row r="489" spans="1:9">
      <c r="A489" s="436"/>
      <c r="B489" s="436"/>
      <c r="C489" s="436"/>
      <c r="D489" s="1272"/>
      <c r="E489" s="1272"/>
      <c r="F489" s="1272"/>
    </row>
    <row r="490" spans="1:9">
      <c r="D490" s="1272"/>
      <c r="E490" s="1272"/>
      <c r="F490" s="1272"/>
    </row>
    <row r="491" spans="1:9">
      <c r="D491" s="484"/>
      <c r="E491" s="484"/>
      <c r="F491" s="484"/>
    </row>
    <row r="492" spans="1:9">
      <c r="B492" s="523" t="s">
        <v>313</v>
      </c>
      <c r="D492" s="1273" t="s">
        <v>1296</v>
      </c>
      <c r="E492" s="1273"/>
      <c r="F492" s="1273"/>
    </row>
    <row r="493" spans="1:9">
      <c r="A493" s="484"/>
      <c r="B493" s="484"/>
    </row>
    <row r="494" spans="1:9">
      <c r="A494" s="1260" t="s">
        <v>1137</v>
      </c>
      <c r="B494" s="1260"/>
      <c r="C494" s="1260"/>
      <c r="D494" s="1260"/>
      <c r="E494" s="1260"/>
      <c r="F494" s="1260"/>
      <c r="G494" s="1260"/>
      <c r="H494" s="1074"/>
      <c r="I494" s="1075"/>
    </row>
    <row r="495" spans="1:9">
      <c r="A495" s="484"/>
      <c r="B495" s="484"/>
    </row>
    <row r="496" spans="1:9">
      <c r="D496" s="1257" t="s">
        <v>932</v>
      </c>
      <c r="E496" s="1257"/>
      <c r="F496" s="1257"/>
    </row>
    <row r="497" spans="1:9" ht="14.25">
      <c r="A497" s="522"/>
      <c r="B497" s="522"/>
      <c r="D497" s="1258" t="s">
        <v>1297</v>
      </c>
      <c r="E497" s="1258"/>
      <c r="F497" s="1258"/>
    </row>
    <row r="498" spans="1:9" ht="14.25">
      <c r="A498" s="522"/>
      <c r="B498" s="522"/>
      <c r="D498" s="485"/>
    </row>
    <row r="499" spans="1:9" ht="14.25">
      <c r="A499" s="522"/>
      <c r="B499" s="523" t="s">
        <v>313</v>
      </c>
      <c r="D499" s="1254" t="s">
        <v>1298</v>
      </c>
      <c r="E499" s="1254"/>
      <c r="F499" s="1254"/>
      <c r="I499" s="438" t="s">
        <v>2225</v>
      </c>
    </row>
    <row r="500" spans="1:9" ht="14.25">
      <c r="A500" s="522"/>
      <c r="B500" s="522"/>
      <c r="D500" s="1254"/>
      <c r="E500" s="1254"/>
      <c r="F500" s="1254"/>
    </row>
    <row r="501" spans="1:9" ht="14.25">
      <c r="A501" s="522"/>
      <c r="B501" s="522"/>
      <c r="D501" s="484"/>
    </row>
    <row r="502" spans="1:9" ht="12.75" customHeight="1">
      <c r="B502" s="523" t="s">
        <v>313</v>
      </c>
      <c r="D502" s="1259" t="s">
        <v>1455</v>
      </c>
      <c r="E502" s="1259"/>
      <c r="F502" s="1259"/>
      <c r="I502" s="438" t="s">
        <v>2226</v>
      </c>
    </row>
    <row r="503" spans="1:9" ht="14.25">
      <c r="A503" s="522"/>
      <c r="D503" s="1259"/>
      <c r="E503" s="1259"/>
      <c r="F503" s="1259"/>
    </row>
    <row r="504" spans="1:9" ht="14.25">
      <c r="A504" s="522"/>
      <c r="B504" s="522"/>
      <c r="D504" s="1259"/>
      <c r="E504" s="1259"/>
      <c r="F504" s="1259"/>
    </row>
    <row r="505" spans="1:9" ht="14.25">
      <c r="A505" s="522"/>
      <c r="B505" s="522"/>
      <c r="D505" s="1259"/>
      <c r="E505" s="1259"/>
      <c r="F505" s="1259"/>
    </row>
    <row r="506" spans="1:9" ht="14.25">
      <c r="A506" s="522"/>
      <c r="D506" s="558"/>
      <c r="E506" s="558"/>
      <c r="F506" s="558"/>
    </row>
    <row r="507" spans="1:9" ht="14.25">
      <c r="A507" s="522"/>
      <c r="B507" s="523" t="s">
        <v>313</v>
      </c>
      <c r="D507" s="1273" t="s">
        <v>1301</v>
      </c>
      <c r="E507" s="1273"/>
      <c r="F507" s="1273"/>
      <c r="I507" s="438" t="s">
        <v>2227</v>
      </c>
    </row>
    <row r="508" spans="1:9" ht="14.25">
      <c r="A508" s="522"/>
      <c r="B508" s="522"/>
      <c r="D508" s="484"/>
    </row>
    <row r="509" spans="1:9" ht="14.25">
      <c r="A509" s="522"/>
      <c r="B509" s="523" t="s">
        <v>313</v>
      </c>
      <c r="D509" s="1272" t="s">
        <v>1302</v>
      </c>
      <c r="E509" s="1272"/>
      <c r="F509" s="1272"/>
      <c r="I509" s="438" t="s">
        <v>2227</v>
      </c>
    </row>
    <row r="510" spans="1:9" ht="14.25">
      <c r="A510" s="522"/>
      <c r="D510" s="1272"/>
      <c r="E510" s="1272"/>
      <c r="F510" s="1272"/>
    </row>
    <row r="511" spans="1:9">
      <c r="A511" s="528"/>
      <c r="B511" s="528"/>
      <c r="D511" s="485"/>
    </row>
    <row r="512" spans="1:9">
      <c r="A512" s="528"/>
      <c r="B512" s="523" t="s">
        <v>313</v>
      </c>
      <c r="D512" s="1273" t="s">
        <v>1303</v>
      </c>
      <c r="E512" s="1273"/>
      <c r="F512" s="1273"/>
      <c r="I512" s="438" t="s">
        <v>2280</v>
      </c>
    </row>
    <row r="513" spans="1:9" ht="14.25">
      <c r="A513" s="522"/>
      <c r="B513" s="522"/>
      <c r="D513" s="484"/>
    </row>
    <row r="514" spans="1:9">
      <c r="A514" s="1260" t="s">
        <v>1138</v>
      </c>
      <c r="B514" s="1260"/>
      <c r="C514" s="1260"/>
      <c r="D514" s="1260"/>
      <c r="E514" s="1260"/>
      <c r="F514" s="1260"/>
      <c r="G514" s="1260"/>
      <c r="H514" s="1074"/>
      <c r="I514" s="1075"/>
    </row>
    <row r="515" spans="1:9" ht="12" customHeight="1">
      <c r="A515" s="522"/>
      <c r="B515" s="522"/>
      <c r="D515" s="484"/>
    </row>
    <row r="516" spans="1:9">
      <c r="C516" s="520"/>
      <c r="D516" s="1271" t="s">
        <v>836</v>
      </c>
      <c r="E516" s="1271"/>
      <c r="F516" s="1271"/>
    </row>
    <row r="517" spans="1:9">
      <c r="C517" s="520"/>
      <c r="D517" s="544" t="s">
        <v>1364</v>
      </c>
      <c r="E517" s="544"/>
      <c r="F517" s="544"/>
    </row>
    <row r="518" spans="1:9">
      <c r="C518" s="520"/>
      <c r="D518" s="544" t="s">
        <v>1365</v>
      </c>
      <c r="E518" s="544"/>
      <c r="F518" s="544"/>
    </row>
    <row r="519" spans="1:9">
      <c r="C519" s="520"/>
      <c r="D519" s="519"/>
      <c r="E519" s="519"/>
      <c r="F519" s="519"/>
    </row>
    <row r="520" spans="1:9" ht="13.7" customHeight="1">
      <c r="A520" s="521"/>
      <c r="B520" s="523" t="s">
        <v>313</v>
      </c>
      <c r="C520" s="521"/>
      <c r="D520" s="1254" t="s">
        <v>2532</v>
      </c>
      <c r="E520" s="1254"/>
      <c r="F520" s="1254"/>
      <c r="I520" s="438" t="s">
        <v>2262</v>
      </c>
    </row>
    <row r="521" spans="1:9">
      <c r="A521" s="521"/>
      <c r="B521" s="521"/>
      <c r="C521" s="521"/>
      <c r="D521" s="1254"/>
      <c r="E521" s="1254"/>
      <c r="F521" s="1254"/>
    </row>
    <row r="522" spans="1:9">
      <c r="A522" s="521"/>
      <c r="B522" s="521"/>
      <c r="C522" s="521"/>
      <c r="D522" s="489"/>
      <c r="E522" s="489"/>
      <c r="F522" s="489"/>
      <c r="I522" s="436"/>
    </row>
    <row r="523" spans="1:9" ht="12.75" customHeight="1">
      <c r="A523" s="521"/>
      <c r="B523" s="523" t="s">
        <v>313</v>
      </c>
      <c r="D523" s="420" t="s">
        <v>2354</v>
      </c>
      <c r="E523" s="419"/>
      <c r="F523" s="419"/>
      <c r="I523" s="438" t="s">
        <v>2228</v>
      </c>
    </row>
    <row r="524" spans="1:9">
      <c r="A524" s="521"/>
      <c r="B524" s="1125"/>
      <c r="D524" s="419"/>
      <c r="E524" s="96" t="s">
        <v>2355</v>
      </c>
    </row>
    <row r="525" spans="1:9">
      <c r="A525" s="521"/>
      <c r="B525" s="521"/>
      <c r="D525" s="1303" t="s">
        <v>2533</v>
      </c>
      <c r="E525" s="1303"/>
      <c r="F525" s="1303"/>
    </row>
    <row r="526" spans="1:9">
      <c r="A526" s="521"/>
      <c r="B526" s="521"/>
      <c r="D526" s="1303"/>
      <c r="E526" s="1303"/>
      <c r="F526" s="1303"/>
    </row>
    <row r="527" spans="1:9">
      <c r="A527" s="521"/>
      <c r="B527" s="521"/>
      <c r="C527" s="521"/>
      <c r="D527" s="1303"/>
      <c r="E527" s="1303"/>
      <c r="F527" s="1303"/>
    </row>
    <row r="528" spans="1:9">
      <c r="A528" s="521"/>
      <c r="B528" s="521"/>
      <c r="C528" s="521"/>
      <c r="D528" s="536"/>
      <c r="F528" s="484"/>
    </row>
    <row r="529" spans="1:9" ht="13.15" customHeight="1">
      <c r="A529" s="521"/>
      <c r="B529" s="523" t="s">
        <v>313</v>
      </c>
      <c r="C529" s="521"/>
      <c r="D529" s="1272" t="s">
        <v>2534</v>
      </c>
      <c r="E529" s="1272"/>
      <c r="F529" s="1272"/>
      <c r="I529" s="438" t="s">
        <v>2228</v>
      </c>
    </row>
    <row r="530" spans="1:9">
      <c r="A530" s="521"/>
      <c r="B530" s="521"/>
      <c r="C530" s="521"/>
      <c r="D530" s="1272"/>
      <c r="E530" s="1272"/>
      <c r="F530" s="1272"/>
    </row>
    <row r="531" spans="1:9" ht="12" customHeight="1">
      <c r="A531" s="484"/>
      <c r="B531" s="484"/>
      <c r="C531" s="525"/>
      <c r="D531" s="484"/>
      <c r="F531" s="486"/>
    </row>
    <row r="532" spans="1:9">
      <c r="A532" s="1260" t="s">
        <v>1139</v>
      </c>
      <c r="B532" s="1260"/>
      <c r="C532" s="1260"/>
      <c r="D532" s="1260"/>
      <c r="E532" s="1260"/>
      <c r="F532" s="1260"/>
      <c r="G532" s="1260"/>
      <c r="H532" s="1074"/>
      <c r="I532" s="1075"/>
    </row>
    <row r="533" spans="1:9">
      <c r="A533" s="484"/>
      <c r="B533" s="484"/>
      <c r="C533" s="525"/>
      <c r="F533" s="486"/>
    </row>
    <row r="534" spans="1:9">
      <c r="B534" s="1275" t="s">
        <v>465</v>
      </c>
      <c r="C534" s="1275"/>
      <c r="D534" s="1275"/>
      <c r="E534" s="1275"/>
      <c r="F534" s="1275"/>
    </row>
    <row r="535" spans="1:9">
      <c r="A535" s="484"/>
      <c r="B535" s="484"/>
      <c r="C535" s="525"/>
      <c r="D535" s="484"/>
      <c r="F535" s="484"/>
    </row>
    <row r="536" spans="1:9">
      <c r="A536" s="1292" t="s">
        <v>1140</v>
      </c>
      <c r="B536" s="1292"/>
      <c r="C536" s="1292"/>
      <c r="D536" s="1292"/>
      <c r="E536" s="1292"/>
      <c r="F536" s="1292"/>
      <c r="G536" s="1292"/>
      <c r="H536" s="1074"/>
      <c r="I536" s="1075"/>
    </row>
    <row r="537" spans="1:9">
      <c r="A537" s="484"/>
      <c r="B537" s="484"/>
      <c r="C537" s="525"/>
      <c r="D537" s="484"/>
      <c r="F537" s="484"/>
    </row>
    <row r="538" spans="1:9">
      <c r="C538" s="525"/>
      <c r="D538" s="1271" t="s">
        <v>710</v>
      </c>
      <c r="E538" s="1271"/>
      <c r="F538" s="1271"/>
    </row>
    <row r="539" spans="1:9">
      <c r="C539" s="525"/>
      <c r="D539" s="1273" t="s">
        <v>1197</v>
      </c>
      <c r="E539" s="1273"/>
      <c r="F539" s="1273"/>
    </row>
    <row r="540" spans="1:9">
      <c r="C540" s="525"/>
      <c r="D540" s="484"/>
      <c r="E540" s="484"/>
      <c r="F540" s="484"/>
    </row>
    <row r="541" spans="1:9" ht="13.7" customHeight="1">
      <c r="A541" s="522"/>
      <c r="B541" s="523" t="s">
        <v>313</v>
      </c>
      <c r="C541" s="525"/>
      <c r="D541" s="1273" t="s">
        <v>933</v>
      </c>
      <c r="E541" s="1273"/>
      <c r="F541" s="1273"/>
      <c r="I541" s="438" t="s">
        <v>2278</v>
      </c>
    </row>
    <row r="542" spans="1:9" ht="13.7" customHeight="1">
      <c r="A542" s="525"/>
      <c r="B542" s="525"/>
      <c r="C542" s="525"/>
      <c r="D542" s="484"/>
    </row>
    <row r="543" spans="1:9" ht="14.25">
      <c r="A543" s="522"/>
      <c r="B543" s="523" t="s">
        <v>313</v>
      </c>
      <c r="C543" s="525"/>
      <c r="D543" s="1272" t="s">
        <v>1198</v>
      </c>
      <c r="E543" s="1272"/>
      <c r="F543" s="1272"/>
      <c r="I543" s="438" t="s">
        <v>2278</v>
      </c>
    </row>
    <row r="544" spans="1:9">
      <c r="A544" s="525"/>
      <c r="B544" s="525"/>
      <c r="C544" s="525"/>
      <c r="D544" s="1272"/>
      <c r="E544" s="1272"/>
      <c r="F544" s="1272"/>
    </row>
    <row r="545" spans="1:9">
      <c r="A545" s="525"/>
      <c r="B545" s="525"/>
      <c r="C545" s="525"/>
      <c r="D545" s="484"/>
      <c r="E545" s="484"/>
      <c r="F545" s="484"/>
    </row>
    <row r="546" spans="1:9" ht="14.25">
      <c r="A546" s="522"/>
      <c r="B546" s="523" t="s">
        <v>313</v>
      </c>
      <c r="C546" s="525"/>
      <c r="D546" s="1272" t="s">
        <v>1199</v>
      </c>
      <c r="E546" s="1272"/>
      <c r="F546" s="1272"/>
      <c r="I546" s="438" t="s">
        <v>2229</v>
      </c>
    </row>
    <row r="547" spans="1:9">
      <c r="A547" s="525"/>
      <c r="B547" s="525"/>
      <c r="C547" s="525"/>
      <c r="D547" s="1272"/>
      <c r="E547" s="1272"/>
      <c r="F547" s="1272"/>
    </row>
    <row r="548" spans="1:9">
      <c r="A548" s="525"/>
      <c r="B548" s="525"/>
      <c r="C548" s="525"/>
      <c r="D548" s="484"/>
      <c r="E548" s="484"/>
      <c r="F548" s="484"/>
    </row>
    <row r="549" spans="1:9" ht="14.25">
      <c r="A549" s="522"/>
      <c r="B549" s="523" t="s">
        <v>313</v>
      </c>
      <c r="C549" s="525"/>
      <c r="D549" s="1272" t="s">
        <v>1200</v>
      </c>
      <c r="E549" s="1272"/>
      <c r="F549" s="1272"/>
      <c r="I549" s="438" t="s">
        <v>2230</v>
      </c>
    </row>
    <row r="550" spans="1:9">
      <c r="A550" s="525"/>
      <c r="B550" s="525"/>
      <c r="C550" s="525"/>
      <c r="D550" s="1272"/>
      <c r="E550" s="1272"/>
      <c r="F550" s="1272"/>
    </row>
    <row r="551" spans="1:9">
      <c r="A551" s="525"/>
      <c r="B551" s="525"/>
      <c r="C551" s="525"/>
      <c r="D551" s="484"/>
      <c r="E551" s="484"/>
      <c r="F551" s="484"/>
    </row>
    <row r="552" spans="1:9" ht="14.25">
      <c r="A552" s="522"/>
      <c r="B552" s="523" t="s">
        <v>313</v>
      </c>
      <c r="C552" s="525"/>
      <c r="D552" s="1272" t="s">
        <v>1201</v>
      </c>
      <c r="E552" s="1272"/>
      <c r="F552" s="1272"/>
      <c r="I552" s="438" t="s">
        <v>2279</v>
      </c>
    </row>
    <row r="553" spans="1:9">
      <c r="A553" s="525"/>
      <c r="B553" s="525"/>
      <c r="C553" s="525"/>
      <c r="D553" s="1272"/>
      <c r="E553" s="1272"/>
      <c r="F553" s="1272"/>
    </row>
    <row r="554" spans="1:9">
      <c r="A554" s="525"/>
      <c r="B554" s="525"/>
      <c r="C554" s="525"/>
      <c r="D554" s="1272"/>
      <c r="E554" s="1272"/>
      <c r="F554" s="1272"/>
    </row>
    <row r="555" spans="1:9">
      <c r="A555" s="525"/>
      <c r="B555" s="525"/>
      <c r="C555" s="525"/>
      <c r="D555" s="484"/>
      <c r="E555" s="484"/>
      <c r="F555" s="484"/>
    </row>
    <row r="556" spans="1:9" ht="14.25">
      <c r="A556" s="522"/>
      <c r="B556" s="523" t="s">
        <v>313</v>
      </c>
      <c r="C556" s="525"/>
      <c r="D556" s="1272" t="s">
        <v>1319</v>
      </c>
      <c r="E556" s="1272"/>
      <c r="F556" s="1272"/>
      <c r="I556" s="438" t="s">
        <v>2278</v>
      </c>
    </row>
    <row r="557" spans="1:9">
      <c r="A557" s="525"/>
      <c r="B557" s="525"/>
      <c r="C557" s="525"/>
      <c r="D557" s="1272"/>
      <c r="E557" s="1272"/>
      <c r="F557" s="1272"/>
    </row>
    <row r="558" spans="1:9">
      <c r="A558" s="525"/>
      <c r="B558" s="525"/>
      <c r="C558" s="525"/>
      <c r="D558" s="484"/>
      <c r="E558" s="484"/>
      <c r="F558" s="484"/>
    </row>
    <row r="559" spans="1:9" ht="14.25">
      <c r="A559" s="522"/>
      <c r="B559" s="523" t="s">
        <v>313</v>
      </c>
      <c r="C559" s="525"/>
      <c r="D559" s="1272" t="s">
        <v>1203</v>
      </c>
      <c r="E559" s="1272"/>
      <c r="F559" s="1272"/>
      <c r="I559" s="438" t="s">
        <v>2278</v>
      </c>
    </row>
    <row r="560" spans="1:9">
      <c r="A560" s="525"/>
      <c r="B560" s="525"/>
      <c r="C560" s="525"/>
      <c r="D560" s="1272"/>
      <c r="E560" s="1272"/>
      <c r="F560" s="1272"/>
    </row>
    <row r="561" spans="1:9">
      <c r="A561" s="525"/>
      <c r="B561" s="525"/>
      <c r="C561" s="525"/>
      <c r="D561" s="484"/>
      <c r="E561" s="484"/>
      <c r="F561" s="484"/>
    </row>
    <row r="562" spans="1:9" ht="14.25">
      <c r="A562" s="522"/>
      <c r="B562" s="523" t="s">
        <v>313</v>
      </c>
      <c r="C562" s="525"/>
      <c r="D562" s="1273" t="s">
        <v>1204</v>
      </c>
      <c r="E562" s="1273"/>
      <c r="F562" s="1273"/>
      <c r="I562" s="438" t="s">
        <v>2281</v>
      </c>
    </row>
    <row r="563" spans="1:9">
      <c r="A563" s="528"/>
      <c r="B563" s="528"/>
      <c r="C563" s="525"/>
      <c r="D563" s="1273" t="s">
        <v>2357</v>
      </c>
      <c r="E563" s="1273"/>
      <c r="F563" s="1273"/>
    </row>
    <row r="564" spans="1:9">
      <c r="A564" s="528"/>
      <c r="B564" s="528"/>
      <c r="C564" s="525"/>
      <c r="E564" s="96" t="s">
        <v>2356</v>
      </c>
      <c r="F564" s="438"/>
    </row>
    <row r="565" spans="1:9" ht="14.25">
      <c r="A565" s="522"/>
      <c r="B565" s="522"/>
      <c r="C565" s="525"/>
      <c r="E565" s="484"/>
      <c r="F565" s="484"/>
    </row>
    <row r="566" spans="1:9" ht="14.25">
      <c r="A566" s="522"/>
      <c r="B566" s="523" t="s">
        <v>313</v>
      </c>
      <c r="C566" s="525"/>
      <c r="D566" s="1273" t="s">
        <v>1206</v>
      </c>
      <c r="E566" s="1273"/>
      <c r="F566" s="1273"/>
      <c r="I566" s="438" t="s">
        <v>2231</v>
      </c>
    </row>
    <row r="567" spans="1:9">
      <c r="C567" s="525"/>
      <c r="D567" s="1272" t="s">
        <v>1207</v>
      </c>
      <c r="E567" s="1272"/>
      <c r="F567" s="1272"/>
    </row>
    <row r="568" spans="1:9">
      <c r="A568" s="525"/>
      <c r="B568" s="525"/>
      <c r="C568" s="525"/>
      <c r="D568" s="1272"/>
      <c r="E568" s="1272"/>
      <c r="F568" s="1272"/>
    </row>
    <row r="569" spans="1:9">
      <c r="A569" s="525"/>
      <c r="B569" s="525"/>
      <c r="C569" s="525"/>
      <c r="D569" s="1272"/>
      <c r="E569" s="1272"/>
      <c r="F569" s="1272"/>
    </row>
    <row r="570" spans="1:9">
      <c r="A570" s="525"/>
      <c r="B570" s="525"/>
      <c r="C570" s="525"/>
      <c r="D570" s="484"/>
      <c r="E570" s="484"/>
      <c r="F570" s="484"/>
    </row>
    <row r="571" spans="1:9" ht="14.25">
      <c r="A571" s="522"/>
      <c r="B571" s="523" t="s">
        <v>313</v>
      </c>
      <c r="C571" s="525"/>
      <c r="D571" s="1272" t="s">
        <v>2535</v>
      </c>
      <c r="E571" s="1272"/>
      <c r="F571" s="1272"/>
      <c r="I571" s="438" t="s">
        <v>2232</v>
      </c>
    </row>
    <row r="572" spans="1:9" ht="14.25">
      <c r="A572" s="522"/>
      <c r="B572" s="522"/>
      <c r="C572" s="525"/>
      <c r="D572" s="1272"/>
      <c r="E572" s="1272"/>
      <c r="F572" s="1272"/>
    </row>
    <row r="573" spans="1:9" ht="14.25">
      <c r="A573" s="522"/>
      <c r="B573" s="522"/>
      <c r="C573" s="525"/>
      <c r="D573" s="1272"/>
      <c r="E573" s="1272"/>
      <c r="F573" s="1272"/>
    </row>
    <row r="574" spans="1:9" ht="14.25">
      <c r="A574" s="522"/>
      <c r="B574" s="522"/>
      <c r="C574" s="525"/>
      <c r="D574" s="1272"/>
      <c r="E574" s="1272"/>
      <c r="F574" s="1272"/>
    </row>
    <row r="575" spans="1:9" ht="14.25">
      <c r="A575" s="522"/>
      <c r="B575" s="522"/>
      <c r="C575" s="525"/>
      <c r="D575" s="484"/>
      <c r="E575" s="484"/>
      <c r="F575" s="484"/>
    </row>
    <row r="576" spans="1:9">
      <c r="A576" s="1260" t="s">
        <v>1141</v>
      </c>
      <c r="B576" s="1260"/>
      <c r="C576" s="1260"/>
      <c r="D576" s="1260"/>
      <c r="E576" s="1260"/>
      <c r="F576" s="1260"/>
      <c r="G576" s="1260"/>
      <c r="H576" s="1074"/>
      <c r="I576" s="1075"/>
    </row>
    <row r="577" spans="1:9">
      <c r="A577" s="525"/>
      <c r="B577" s="525"/>
      <c r="C577" s="525"/>
      <c r="E577" s="484"/>
      <c r="F577" s="484"/>
    </row>
    <row r="578" spans="1:9" ht="12.75" customHeight="1">
      <c r="C578" s="520"/>
      <c r="D578" s="1274" t="s">
        <v>216</v>
      </c>
      <c r="E578" s="1274"/>
      <c r="F578" s="1274"/>
    </row>
    <row r="579" spans="1:9">
      <c r="A579" s="521"/>
      <c r="B579" s="521"/>
      <c r="C579" s="521"/>
      <c r="D579" s="1259" t="s">
        <v>1157</v>
      </c>
      <c r="E579" s="1259"/>
      <c r="F579" s="1259"/>
    </row>
    <row r="580" spans="1:9">
      <c r="A580" s="436"/>
      <c r="B580" s="436"/>
      <c r="C580" s="521"/>
      <c r="D580" s="537"/>
      <c r="I580" s="438" t="s">
        <v>2233</v>
      </c>
    </row>
    <row r="581" spans="1:9">
      <c r="A581" s="521"/>
      <c r="B581" s="523" t="s">
        <v>313</v>
      </c>
      <c r="D581" s="1259" t="s">
        <v>939</v>
      </c>
      <c r="E581" s="1259"/>
      <c r="F581" s="1259"/>
    </row>
    <row r="582" spans="1:9">
      <c r="A582" s="528"/>
      <c r="B582" s="528"/>
      <c r="D582" s="514"/>
    </row>
    <row r="583" spans="1:9">
      <c r="A583" s="528"/>
      <c r="B583" s="523" t="s">
        <v>313</v>
      </c>
      <c r="D583" s="1259" t="s">
        <v>2536</v>
      </c>
      <c r="E583" s="1259"/>
      <c r="F583" s="1259"/>
      <c r="I583" s="438" t="s">
        <v>2235</v>
      </c>
    </row>
    <row r="584" spans="1:9">
      <c r="A584" s="528"/>
      <c r="B584" s="528"/>
      <c r="D584" s="1259"/>
      <c r="E584" s="1259"/>
      <c r="F584" s="1259"/>
      <c r="I584" s="438" t="s">
        <v>2234</v>
      </c>
    </row>
    <row r="585" spans="1:9">
      <c r="A585" s="528"/>
      <c r="B585" s="528"/>
      <c r="D585" s="1259"/>
      <c r="E585" s="1259"/>
      <c r="F585" s="1259"/>
    </row>
    <row r="586" spans="1:9">
      <c r="A586" s="528"/>
      <c r="B586" s="528"/>
      <c r="D586" s="1259"/>
      <c r="E586" s="1259"/>
      <c r="F586" s="1259"/>
    </row>
    <row r="587" spans="1:9">
      <c r="A587" s="528"/>
      <c r="B587" s="523" t="s">
        <v>313</v>
      </c>
      <c r="D587" s="1259" t="s">
        <v>1159</v>
      </c>
      <c r="E587" s="1259"/>
      <c r="F587" s="1259"/>
    </row>
    <row r="588" spans="1:9">
      <c r="A588" s="528"/>
      <c r="B588" s="528"/>
      <c r="D588" s="1259"/>
      <c r="E588" s="1259"/>
      <c r="F588" s="1259"/>
    </row>
    <row r="589" spans="1:9">
      <c r="A589" s="528"/>
      <c r="B589" s="528"/>
      <c r="D589" s="1259"/>
      <c r="E589" s="1259"/>
      <c r="F589" s="1259"/>
    </row>
    <row r="590" spans="1:9">
      <c r="A590" s="528"/>
      <c r="B590" s="528"/>
      <c r="D590" s="1259"/>
      <c r="E590" s="1259"/>
      <c r="F590" s="1259"/>
    </row>
    <row r="591" spans="1:9">
      <c r="A591" s="528"/>
      <c r="B591" s="528"/>
      <c r="D591" s="477"/>
      <c r="E591" s="477"/>
      <c r="F591" s="477"/>
    </row>
    <row r="592" spans="1:9">
      <c r="A592" s="528"/>
      <c r="B592" s="523" t="s">
        <v>313</v>
      </c>
      <c r="D592" s="1259" t="s">
        <v>2537</v>
      </c>
      <c r="E592" s="1259"/>
      <c r="F592" s="1259"/>
    </row>
    <row r="593" spans="1:9">
      <c r="A593" s="528"/>
      <c r="B593" s="528"/>
      <c r="D593" s="1259"/>
      <c r="E593" s="1259"/>
      <c r="F593" s="1259"/>
    </row>
    <row r="594" spans="1:9">
      <c r="A594" s="528"/>
      <c r="B594" s="528"/>
      <c r="D594" s="537"/>
    </row>
    <row r="595" spans="1:9">
      <c r="A595" s="528"/>
      <c r="B595" s="523" t="s">
        <v>313</v>
      </c>
      <c r="D595" s="1259" t="s">
        <v>1161</v>
      </c>
      <c r="E595" s="1259"/>
      <c r="F595" s="1259"/>
      <c r="I595" s="438" t="s">
        <v>2282</v>
      </c>
    </row>
    <row r="596" spans="1:9">
      <c r="A596" s="528"/>
      <c r="B596" s="528"/>
      <c r="D596" s="1259"/>
      <c r="E596" s="1259"/>
      <c r="F596" s="1259"/>
    </row>
    <row r="597" spans="1:9" ht="14.25">
      <c r="A597" s="522"/>
      <c r="B597" s="522"/>
      <c r="D597" s="537"/>
    </row>
    <row r="598" spans="1:9">
      <c r="A598" s="1260" t="s">
        <v>1142</v>
      </c>
      <c r="B598" s="1260"/>
      <c r="C598" s="1260"/>
      <c r="D598" s="1260"/>
      <c r="E598" s="1260"/>
      <c r="F598" s="1260"/>
      <c r="G598" s="1260"/>
      <c r="H598" s="1074"/>
      <c r="I598" s="1075"/>
    </row>
    <row r="599" spans="1:9"/>
    <row r="600" spans="1:9">
      <c r="D600" s="1271" t="s">
        <v>1242</v>
      </c>
      <c r="E600" s="1271"/>
      <c r="F600" s="1271"/>
    </row>
    <row r="601" spans="1:9">
      <c r="D601" s="1295" t="s">
        <v>1243</v>
      </c>
      <c r="E601" s="1295"/>
      <c r="F601" s="1295"/>
    </row>
    <row r="602" spans="1:9">
      <c r="D602" s="482"/>
    </row>
    <row r="603" spans="1:9" ht="14.25" customHeight="1">
      <c r="A603" s="522"/>
      <c r="B603" s="523" t="s">
        <v>313</v>
      </c>
      <c r="D603" s="1315" t="s">
        <v>2358</v>
      </c>
      <c r="E603" s="1315"/>
      <c r="F603" s="1315"/>
      <c r="I603" s="438" t="s">
        <v>2263</v>
      </c>
    </row>
    <row r="604" spans="1:9">
      <c r="D604" s="1315"/>
      <c r="E604" s="1315"/>
      <c r="F604" s="1315"/>
    </row>
    <row r="605" spans="1:9">
      <c r="D605" s="419"/>
      <c r="E605" s="1123" t="s">
        <v>2359</v>
      </c>
      <c r="F605" s="419"/>
    </row>
    <row r="606" spans="1:9"/>
    <row r="607" spans="1:9">
      <c r="A607" s="1260" t="s">
        <v>1143</v>
      </c>
      <c r="B607" s="1260"/>
      <c r="C607" s="1260"/>
      <c r="D607" s="1260"/>
      <c r="E607" s="1260"/>
      <c r="F607" s="1260"/>
      <c r="G607" s="1260"/>
      <c r="H607" s="1074"/>
      <c r="I607" s="1075"/>
    </row>
    <row r="608" spans="1:9">
      <c r="A608" s="484"/>
      <c r="B608" s="484"/>
    </row>
    <row r="609" spans="1:9">
      <c r="A609" s="520"/>
      <c r="B609" s="520"/>
      <c r="C609" s="520"/>
      <c r="D609" s="1296" t="s">
        <v>1245</v>
      </c>
      <c r="E609" s="1296"/>
      <c r="F609" s="1296"/>
    </row>
    <row r="610" spans="1:9">
      <c r="A610" s="520"/>
      <c r="B610" s="520"/>
      <c r="C610" s="520"/>
      <c r="D610" s="1296"/>
      <c r="E610" s="1296"/>
      <c r="F610" s="1296"/>
    </row>
    <row r="611" spans="1:9">
      <c r="C611" s="521"/>
      <c r="D611" s="1295" t="s">
        <v>1246</v>
      </c>
      <c r="E611" s="1295"/>
      <c r="F611" s="1295"/>
    </row>
    <row r="612" spans="1:9">
      <c r="C612" s="521"/>
      <c r="D612" s="482"/>
      <c r="E612" s="482"/>
      <c r="F612" s="482"/>
    </row>
    <row r="613" spans="1:9" ht="12.75" customHeight="1">
      <c r="A613" s="528"/>
      <c r="B613" s="523" t="s">
        <v>313</v>
      </c>
      <c r="D613" s="1270" t="s">
        <v>1247</v>
      </c>
      <c r="E613" s="1270"/>
      <c r="F613" s="1270"/>
      <c r="I613" s="438" t="s">
        <v>2283</v>
      </c>
    </row>
    <row r="614" spans="1:9">
      <c r="D614" s="1270"/>
      <c r="E614" s="1270"/>
      <c r="F614" s="1270"/>
    </row>
    <row r="615" spans="1:9"/>
    <row r="616" spans="1:9">
      <c r="B616" s="523" t="s">
        <v>313</v>
      </c>
      <c r="D616" s="1270" t="s">
        <v>1248</v>
      </c>
      <c r="E616" s="1270"/>
      <c r="F616" s="1270"/>
      <c r="I616" s="438" t="s">
        <v>2236</v>
      </c>
    </row>
    <row r="617" spans="1:9">
      <c r="C617" s="538"/>
      <c r="D617" s="1270"/>
      <c r="E617" s="1270"/>
      <c r="F617" s="1270"/>
    </row>
    <row r="618" spans="1:9">
      <c r="C618" s="538"/>
    </row>
    <row r="619" spans="1:9">
      <c r="B619" s="523" t="s">
        <v>313</v>
      </c>
      <c r="C619" s="538"/>
      <c r="D619" s="1270" t="s">
        <v>1249</v>
      </c>
      <c r="E619" s="1270"/>
      <c r="F619" s="1270"/>
      <c r="I619" s="438" t="s">
        <v>2284</v>
      </c>
    </row>
    <row r="620" spans="1:9">
      <c r="C620" s="538"/>
      <c r="D620" s="1270"/>
      <c r="E620" s="1270"/>
      <c r="F620" s="1270"/>
      <c r="I620" s="1071" t="s">
        <v>2285</v>
      </c>
    </row>
    <row r="621" spans="1:9">
      <c r="C621" s="538"/>
    </row>
    <row r="622" spans="1:9">
      <c r="A622" s="1260" t="s">
        <v>1144</v>
      </c>
      <c r="B622" s="1260"/>
      <c r="C622" s="1260"/>
      <c r="D622" s="1260"/>
      <c r="E622" s="1260"/>
      <c r="F622" s="1260"/>
      <c r="G622" s="1260"/>
      <c r="H622" s="1074"/>
      <c r="I622" s="1075"/>
    </row>
    <row r="623" spans="1:9">
      <c r="A623" s="520"/>
      <c r="B623" s="520"/>
      <c r="C623" s="520"/>
    </row>
    <row r="624" spans="1:9">
      <c r="C624" s="528"/>
      <c r="D624" s="1271" t="s">
        <v>1250</v>
      </c>
      <c r="E624" s="1271"/>
      <c r="F624" s="1271"/>
    </row>
    <row r="625" spans="1:9">
      <c r="A625" s="528"/>
      <c r="B625" s="528"/>
      <c r="D625" s="438"/>
    </row>
    <row r="626" spans="1:9" ht="14.25" customHeight="1">
      <c r="A626" s="522"/>
      <c r="B626" s="523" t="s">
        <v>313</v>
      </c>
      <c r="D626" s="1315" t="s">
        <v>2538</v>
      </c>
      <c r="E626" s="1315"/>
      <c r="F626" s="1315"/>
      <c r="I626" s="438" t="s">
        <v>2264</v>
      </c>
    </row>
    <row r="627" spans="1:9">
      <c r="D627" s="1315"/>
      <c r="E627" s="1315"/>
      <c r="F627" s="1315"/>
    </row>
    <row r="628" spans="1:9">
      <c r="D628" s="419"/>
      <c r="E628" s="1123" t="s">
        <v>2361</v>
      </c>
      <c r="F628" s="419"/>
    </row>
    <row r="629" spans="1:9">
      <c r="D629" s="1272" t="s">
        <v>2360</v>
      </c>
      <c r="E629" s="1272"/>
      <c r="F629" s="1272"/>
    </row>
    <row r="630" spans="1:9">
      <c r="D630" s="1272"/>
      <c r="E630" s="1272"/>
      <c r="F630" s="1272"/>
    </row>
    <row r="631" spans="1:9">
      <c r="D631" s="1272"/>
      <c r="E631" s="1272"/>
      <c r="F631" s="1272"/>
    </row>
    <row r="632" spans="1:9">
      <c r="D632" s="483"/>
      <c r="E632" s="483"/>
      <c r="F632" s="483"/>
    </row>
    <row r="633" spans="1:9" ht="14.25">
      <c r="A633" s="522"/>
      <c r="B633" s="523" t="s">
        <v>313</v>
      </c>
      <c r="D633" s="1272" t="s">
        <v>1252</v>
      </c>
      <c r="E633" s="1272"/>
      <c r="F633" s="1272"/>
      <c r="I633" s="438" t="s">
        <v>2286</v>
      </c>
    </row>
    <row r="634" spans="1:9">
      <c r="A634" s="525"/>
      <c r="B634" s="525"/>
      <c r="C634" s="525"/>
      <c r="D634" s="1272"/>
      <c r="E634" s="1272"/>
      <c r="F634" s="1272"/>
    </row>
    <row r="635" spans="1:9">
      <c r="A635" s="525"/>
      <c r="B635" s="525"/>
      <c r="C635" s="525"/>
      <c r="D635" s="484"/>
      <c r="E635" s="484"/>
      <c r="F635" s="484"/>
    </row>
    <row r="636" spans="1:9" ht="14.25">
      <c r="A636" s="522"/>
      <c r="B636" s="523" t="s">
        <v>313</v>
      </c>
      <c r="C636" s="525"/>
      <c r="D636" s="1272" t="s">
        <v>1395</v>
      </c>
      <c r="E636" s="1272"/>
      <c r="F636" s="1272"/>
      <c r="I636" s="438" t="s">
        <v>2237</v>
      </c>
    </row>
    <row r="637" spans="1:9" ht="14.25">
      <c r="A637" s="522"/>
      <c r="B637" s="522"/>
      <c r="C637" s="525"/>
      <c r="D637" s="1272"/>
      <c r="E637" s="1272"/>
      <c r="F637" s="1272"/>
    </row>
    <row r="638" spans="1:9" ht="14.25">
      <c r="A638" s="522"/>
      <c r="B638" s="522"/>
      <c r="C638" s="525"/>
      <c r="D638" s="1272"/>
      <c r="E638" s="1272"/>
      <c r="F638" s="1272"/>
    </row>
    <row r="639" spans="1:9">
      <c r="A639" s="525"/>
      <c r="B639" s="523" t="s">
        <v>313</v>
      </c>
      <c r="C639" s="525"/>
      <c r="D639" s="1273" t="s">
        <v>1254</v>
      </c>
      <c r="E639" s="1273"/>
      <c r="F639" s="1273"/>
      <c r="I639" s="438" t="s">
        <v>2237</v>
      </c>
    </row>
    <row r="640" spans="1:9">
      <c r="A640" s="525"/>
      <c r="B640" s="525"/>
      <c r="C640" s="525"/>
      <c r="D640" s="484"/>
      <c r="E640" s="484"/>
      <c r="F640" s="484"/>
    </row>
    <row r="641" spans="1:9">
      <c r="A641" s="1260" t="s">
        <v>1145</v>
      </c>
      <c r="B641" s="1260"/>
      <c r="C641" s="1260"/>
      <c r="D641" s="1260"/>
      <c r="E641" s="1260"/>
      <c r="F641" s="1260"/>
      <c r="G641" s="1260"/>
      <c r="H641" s="1074"/>
      <c r="I641" s="1075"/>
    </row>
    <row r="642" spans="1:9">
      <c r="A642" s="484"/>
      <c r="B642" s="484"/>
      <c r="C642" s="525"/>
      <c r="D642" s="484"/>
      <c r="E642" s="484"/>
      <c r="F642" s="484"/>
    </row>
    <row r="643" spans="1:9">
      <c r="C643" s="520"/>
      <c r="D643" s="1271" t="s">
        <v>1304</v>
      </c>
      <c r="E643" s="1271"/>
      <c r="F643" s="1271"/>
    </row>
    <row r="644" spans="1:9">
      <c r="A644" s="521"/>
      <c r="B644" s="521"/>
      <c r="C644" s="521"/>
      <c r="D644" s="1273" t="s">
        <v>1305</v>
      </c>
      <c r="E644" s="1273"/>
      <c r="F644" s="1273"/>
    </row>
    <row r="645" spans="1:9">
      <c r="A645" s="521"/>
      <c r="B645" s="521"/>
      <c r="C645" s="521"/>
      <c r="D645" s="484"/>
      <c r="E645" s="484"/>
      <c r="F645" s="484"/>
    </row>
    <row r="646" spans="1:9" ht="12.75" customHeight="1">
      <c r="B646" s="523" t="s">
        <v>313</v>
      </c>
      <c r="C646" s="525"/>
      <c r="D646" s="1272" t="s">
        <v>1469</v>
      </c>
      <c r="E646" s="1272"/>
      <c r="F646" s="1272"/>
      <c r="I646" s="438" t="s">
        <v>2289</v>
      </c>
    </row>
    <row r="647" spans="1:9">
      <c r="D647" s="1272"/>
      <c r="E647" s="1272"/>
      <c r="F647" s="1272"/>
    </row>
    <row r="648" spans="1:9">
      <c r="D648" s="1272"/>
      <c r="E648" s="1272"/>
      <c r="F648" s="1272"/>
    </row>
    <row r="649" spans="1:9">
      <c r="D649" s="1272"/>
      <c r="E649" s="1272"/>
      <c r="F649" s="1272"/>
    </row>
    <row r="650" spans="1:9" ht="14.45" customHeight="1">
      <c r="A650" s="522"/>
      <c r="B650" s="522"/>
      <c r="C650" s="525"/>
      <c r="D650" s="419"/>
      <c r="E650" s="419"/>
      <c r="F650" s="419"/>
    </row>
    <row r="651" spans="1:9" ht="12.75" customHeight="1">
      <c r="A651" s="521"/>
      <c r="B651" s="523" t="s">
        <v>313</v>
      </c>
      <c r="C651" s="525"/>
      <c r="D651" s="1272" t="s">
        <v>1471</v>
      </c>
      <c r="E651" s="1272"/>
      <c r="F651" s="1272"/>
      <c r="I651" s="438" t="s">
        <v>2289</v>
      </c>
    </row>
    <row r="652" spans="1:9" ht="14.25">
      <c r="A652" s="521"/>
      <c r="B652" s="522"/>
      <c r="C652" s="525"/>
      <c r="D652" s="1272"/>
      <c r="E652" s="1272"/>
      <c r="F652" s="1272"/>
    </row>
    <row r="653" spans="1:9" ht="14.25">
      <c r="A653" s="521"/>
      <c r="B653" s="522"/>
      <c r="C653" s="525"/>
      <c r="D653" s="1272"/>
      <c r="E653" s="1272"/>
      <c r="F653" s="1272"/>
    </row>
    <row r="654" spans="1:9" ht="14.25">
      <c r="A654" s="521"/>
      <c r="B654" s="522"/>
      <c r="C654" s="525"/>
      <c r="D654" s="1272"/>
      <c r="E654" s="1272"/>
      <c r="F654" s="1272"/>
    </row>
    <row r="655" spans="1:9" ht="14.25">
      <c r="A655" s="521"/>
      <c r="B655" s="522"/>
      <c r="C655" s="525"/>
      <c r="D655" s="1272"/>
      <c r="E655" s="1272"/>
      <c r="F655" s="1272"/>
    </row>
    <row r="656" spans="1:9" ht="14.25" customHeight="1">
      <c r="A656" s="521"/>
      <c r="B656" s="522"/>
      <c r="C656" s="525"/>
      <c r="F656" s="420"/>
    </row>
    <row r="657" spans="1:11" ht="12.75" customHeight="1">
      <c r="A657" s="521"/>
      <c r="B657" s="523" t="s">
        <v>313</v>
      </c>
      <c r="C657" s="525"/>
      <c r="D657" s="1272" t="s">
        <v>1470</v>
      </c>
      <c r="E657" s="1272"/>
      <c r="F657" s="1272"/>
      <c r="I657" s="438" t="s">
        <v>2289</v>
      </c>
    </row>
    <row r="658" spans="1:11" ht="14.25">
      <c r="A658" s="521"/>
      <c r="B658" s="522"/>
      <c r="C658" s="525"/>
      <c r="D658" s="1272"/>
      <c r="E658" s="1272"/>
      <c r="F658" s="1272"/>
    </row>
    <row r="659" spans="1:11" ht="14.25">
      <c r="A659" s="522"/>
      <c r="B659" s="522"/>
      <c r="C659" s="525"/>
      <c r="D659" s="1272"/>
      <c r="E659" s="1272"/>
      <c r="F659" s="1272"/>
    </row>
    <row r="660" spans="1:11" ht="14.25">
      <c r="A660" s="522"/>
      <c r="B660" s="522"/>
      <c r="C660" s="525"/>
      <c r="D660" s="1272"/>
      <c r="E660" s="1272"/>
      <c r="F660" s="1272"/>
    </row>
    <row r="661" spans="1:11" ht="14.25">
      <c r="A661" s="522"/>
      <c r="B661" s="522"/>
      <c r="C661" s="525"/>
      <c r="D661" s="483"/>
      <c r="E661" s="483"/>
      <c r="F661" s="483"/>
    </row>
    <row r="662" spans="1:11" ht="12.75" customHeight="1">
      <c r="A662" s="521"/>
      <c r="B662" s="523" t="s">
        <v>313</v>
      </c>
      <c r="C662" s="525"/>
      <c r="D662" s="1272" t="s">
        <v>2539</v>
      </c>
      <c r="E662" s="1272"/>
      <c r="F662" s="1272"/>
      <c r="I662" s="438" t="s">
        <v>2289</v>
      </c>
    </row>
    <row r="663" spans="1:11" ht="12.75" customHeight="1">
      <c r="A663" s="521"/>
      <c r="B663" s="522"/>
      <c r="C663" s="525"/>
      <c r="D663" s="1272"/>
      <c r="E663" s="1272"/>
      <c r="F663" s="1272"/>
    </row>
    <row r="664" spans="1:11" ht="12.75" customHeight="1">
      <c r="A664" s="521"/>
      <c r="B664" s="522"/>
      <c r="C664" s="525"/>
      <c r="D664" s="1272"/>
      <c r="E664" s="1272"/>
      <c r="F664" s="1272"/>
    </row>
    <row r="665" spans="1:11" ht="12.75" customHeight="1">
      <c r="A665" s="521"/>
      <c r="B665" s="522"/>
      <c r="C665" s="525"/>
      <c r="D665" s="1272"/>
      <c r="E665" s="1272"/>
      <c r="F665" s="1272"/>
    </row>
    <row r="666" spans="1:11" ht="12.75" customHeight="1">
      <c r="A666" s="521"/>
      <c r="B666" s="522"/>
      <c r="C666" s="525"/>
      <c r="D666" s="1272"/>
      <c r="E666" s="1272"/>
      <c r="F666" s="1272"/>
    </row>
    <row r="667" spans="1:11" ht="12.75" customHeight="1">
      <c r="A667" s="521"/>
      <c r="B667" s="522"/>
      <c r="C667" s="525"/>
      <c r="D667" s="1272"/>
      <c r="E667" s="1272"/>
      <c r="F667" s="1272"/>
    </row>
    <row r="668" spans="1:11" ht="12.75" customHeight="1">
      <c r="A668" s="521"/>
      <c r="B668" s="522"/>
      <c r="C668" s="525"/>
      <c r="D668" s="1272"/>
      <c r="E668" s="1272"/>
      <c r="F668" s="1272"/>
    </row>
    <row r="669" spans="1:11" ht="12.75" customHeight="1">
      <c r="A669" s="521"/>
      <c r="B669" s="522"/>
      <c r="C669" s="525"/>
      <c r="D669" s="1272"/>
      <c r="E669" s="1272"/>
      <c r="F669" s="1272"/>
    </row>
    <row r="670" spans="1:11" ht="12.75" customHeight="1">
      <c r="A670" s="521"/>
      <c r="B670" s="522"/>
      <c r="C670" s="525"/>
      <c r="D670" s="1272"/>
      <c r="E670" s="1272"/>
      <c r="F670" s="1272"/>
    </row>
    <row r="671" spans="1:11">
      <c r="A671" s="525"/>
      <c r="B671" s="525"/>
      <c r="C671" s="525"/>
      <c r="D671" s="484"/>
      <c r="E671" s="484"/>
      <c r="F671" s="484"/>
    </row>
    <row r="672" spans="1:11">
      <c r="A672" s="1260" t="s">
        <v>1146</v>
      </c>
      <c r="B672" s="1260"/>
      <c r="C672" s="1260"/>
      <c r="D672" s="1260"/>
      <c r="E672" s="1260"/>
      <c r="F672" s="1260"/>
      <c r="G672" s="1260"/>
      <c r="H672" s="1076"/>
      <c r="I672" s="1077"/>
      <c r="J672" s="539"/>
      <c r="K672" s="539"/>
    </row>
    <row r="673" spans="1:11">
      <c r="A673" s="486"/>
      <c r="B673" s="486"/>
      <c r="C673" s="486"/>
      <c r="D673" s="486"/>
      <c r="E673" s="486"/>
      <c r="F673" s="486"/>
      <c r="G673" s="486"/>
      <c r="H673" s="539"/>
      <c r="I673" s="1068"/>
      <c r="J673" s="539"/>
      <c r="K673" s="539"/>
    </row>
    <row r="674" spans="1:11">
      <c r="C674" s="520"/>
      <c r="D674" s="1271" t="s">
        <v>104</v>
      </c>
      <c r="E674" s="1271"/>
      <c r="F674" s="1271"/>
      <c r="H674" s="539"/>
      <c r="I674" s="1068"/>
      <c r="J674" s="539"/>
      <c r="K674" s="539"/>
    </row>
    <row r="675" spans="1:11">
      <c r="A675" s="520"/>
      <c r="B675" s="520"/>
      <c r="C675" s="520"/>
      <c r="D675" s="1271" t="s">
        <v>128</v>
      </c>
      <c r="E675" s="1271"/>
      <c r="F675" s="1271"/>
      <c r="H675" s="539"/>
      <c r="I675" s="1068"/>
      <c r="J675" s="539"/>
      <c r="K675" s="539"/>
    </row>
    <row r="676" spans="1:11">
      <c r="A676" s="521"/>
      <c r="B676" s="521"/>
      <c r="C676" s="521"/>
      <c r="D676" s="1273" t="s">
        <v>1182</v>
      </c>
      <c r="E676" s="1273"/>
      <c r="F676" s="1273"/>
      <c r="H676" s="539"/>
      <c r="I676" s="1068"/>
      <c r="J676" s="539"/>
      <c r="K676" s="539"/>
    </row>
    <row r="677" spans="1:11">
      <c r="A677" s="521"/>
      <c r="B677" s="521"/>
      <c r="C677" s="521"/>
      <c r="H677" s="539"/>
      <c r="I677" s="1068"/>
      <c r="J677" s="539"/>
      <c r="K677" s="539"/>
    </row>
    <row r="678" spans="1:11" ht="14.25">
      <c r="A678" s="522"/>
      <c r="B678" s="523" t="s">
        <v>313</v>
      </c>
      <c r="C678" s="521"/>
      <c r="D678" s="1273" t="s">
        <v>935</v>
      </c>
      <c r="E678" s="1273"/>
      <c r="F678" s="1273"/>
      <c r="H678" s="539"/>
      <c r="I678" s="1068" t="s">
        <v>2265</v>
      </c>
      <c r="J678" s="539"/>
      <c r="K678" s="539"/>
    </row>
    <row r="679" spans="1:11">
      <c r="A679" s="521"/>
      <c r="B679" s="521"/>
      <c r="C679" s="521"/>
      <c r="D679" s="1273" t="s">
        <v>946</v>
      </c>
      <c r="E679" s="1273"/>
      <c r="F679" s="1273"/>
      <c r="H679" s="539"/>
      <c r="I679" s="1068"/>
      <c r="J679" s="539"/>
      <c r="K679" s="539"/>
    </row>
    <row r="680" spans="1:11" ht="12.75" customHeight="1">
      <c r="A680" s="521"/>
      <c r="B680" s="521"/>
      <c r="C680" s="521"/>
      <c r="E680" s="1123" t="s">
        <v>2363</v>
      </c>
      <c r="F680" s="454"/>
      <c r="H680" s="539"/>
      <c r="I680" s="1068"/>
      <c r="J680" s="539"/>
      <c r="K680" s="539"/>
    </row>
    <row r="681" spans="1:11">
      <c r="A681" s="521"/>
      <c r="B681" s="521"/>
      <c r="C681" s="521"/>
      <c r="E681" s="539" t="s">
        <v>2362</v>
      </c>
      <c r="F681" s="454"/>
      <c r="I681" s="1068"/>
      <c r="J681" s="539"/>
      <c r="K681" s="539"/>
    </row>
    <row r="682" spans="1:11">
      <c r="A682" s="521"/>
      <c r="B682" s="521"/>
      <c r="C682" s="521"/>
      <c r="D682" s="540"/>
      <c r="E682" s="484"/>
      <c r="H682" s="539"/>
      <c r="I682" s="1068"/>
      <c r="J682" s="539"/>
      <c r="K682" s="539"/>
    </row>
    <row r="683" spans="1:11" ht="14.25">
      <c r="A683" s="522"/>
      <c r="B683" s="523" t="s">
        <v>313</v>
      </c>
      <c r="C683" s="521"/>
      <c r="D683" s="1272" t="s">
        <v>2540</v>
      </c>
      <c r="E683" s="1272"/>
      <c r="F683" s="1272"/>
      <c r="H683" s="539"/>
      <c r="I683" s="1068" t="s">
        <v>2287</v>
      </c>
      <c r="J683" s="539"/>
      <c r="K683" s="539"/>
    </row>
    <row r="684" spans="1:11">
      <c r="A684" s="528"/>
      <c r="B684" s="528"/>
      <c r="C684" s="521"/>
      <c r="D684" s="1272"/>
      <c r="E684" s="1272"/>
      <c r="F684" s="1272"/>
      <c r="H684" s="539"/>
      <c r="I684" s="1068"/>
      <c r="J684" s="539"/>
      <c r="K684" s="539"/>
    </row>
    <row r="685" spans="1:11">
      <c r="A685" s="521"/>
      <c r="B685" s="521"/>
      <c r="C685" s="521"/>
      <c r="D685" s="1272"/>
      <c r="E685" s="1272"/>
      <c r="F685" s="1272"/>
      <c r="H685" s="539"/>
      <c r="I685" s="1068"/>
      <c r="J685" s="539"/>
      <c r="K685" s="539"/>
    </row>
    <row r="686" spans="1:11">
      <c r="A686" s="521"/>
      <c r="B686" s="521"/>
      <c r="C686" s="521"/>
      <c r="H686" s="539"/>
      <c r="I686" s="1068" t="s">
        <v>2266</v>
      </c>
      <c r="J686" s="539"/>
      <c r="K686" s="539"/>
    </row>
    <row r="687" spans="1:11" ht="14.25">
      <c r="A687" s="522"/>
      <c r="B687" s="523" t="s">
        <v>313</v>
      </c>
      <c r="C687" s="521"/>
      <c r="D687" s="1273" t="s">
        <v>974</v>
      </c>
      <c r="E687" s="1273"/>
      <c r="F687" s="1273"/>
      <c r="H687" s="539"/>
      <c r="I687" s="1068"/>
      <c r="J687" s="539"/>
      <c r="K687" s="539"/>
    </row>
    <row r="688" spans="1:11" ht="14.25">
      <c r="A688" s="522"/>
      <c r="B688" s="522"/>
      <c r="C688" s="521"/>
      <c r="D688" s="1273" t="s">
        <v>946</v>
      </c>
      <c r="E688" s="1273"/>
      <c r="F688" s="1273"/>
      <c r="H688" s="539"/>
      <c r="I688" s="1068"/>
      <c r="J688" s="539"/>
      <c r="K688" s="539"/>
    </row>
    <row r="689" spans="1:11">
      <c r="A689" s="521"/>
      <c r="B689" s="521"/>
      <c r="C689" s="521"/>
      <c r="E689" s="1123" t="s">
        <v>2364</v>
      </c>
      <c r="F689" s="438"/>
      <c r="H689" s="539"/>
      <c r="I689" s="1068"/>
      <c r="J689" s="539"/>
      <c r="K689" s="539"/>
    </row>
    <row r="690" spans="1:11">
      <c r="A690" s="521"/>
      <c r="B690" s="521"/>
      <c r="C690" s="521"/>
      <c r="D690" s="438"/>
      <c r="H690" s="539"/>
      <c r="I690" s="1068"/>
      <c r="J690" s="539"/>
      <c r="K690" s="539"/>
    </row>
    <row r="691" spans="1:11" ht="14.25">
      <c r="A691" s="522"/>
      <c r="B691" s="523" t="s">
        <v>313</v>
      </c>
      <c r="C691" s="521"/>
      <c r="D691" s="1272" t="s">
        <v>1195</v>
      </c>
      <c r="E691" s="1272"/>
      <c r="F691" s="1272"/>
      <c r="H691" s="539"/>
      <c r="I691" s="1068" t="s">
        <v>2238</v>
      </c>
      <c r="J691" s="539"/>
      <c r="K691" s="539"/>
    </row>
    <row r="692" spans="1:11">
      <c r="A692" s="521"/>
      <c r="B692" s="521"/>
      <c r="C692" s="521"/>
      <c r="D692" s="1272"/>
      <c r="E692" s="1272"/>
      <c r="F692" s="1272"/>
      <c r="H692" s="539"/>
      <c r="I692" s="1068"/>
      <c r="J692" s="539"/>
      <c r="K692" s="539"/>
    </row>
    <row r="693" spans="1:11">
      <c r="A693" s="521"/>
      <c r="B693" s="521"/>
      <c r="C693" s="521"/>
      <c r="D693" s="1272"/>
      <c r="E693" s="1272"/>
      <c r="F693" s="1272"/>
      <c r="H693" s="539"/>
      <c r="I693" s="1068"/>
      <c r="J693" s="539"/>
      <c r="K693" s="539"/>
    </row>
    <row r="694" spans="1:11">
      <c r="A694" s="521"/>
      <c r="B694" s="521"/>
      <c r="C694" s="521"/>
      <c r="D694" s="1272"/>
      <c r="E694" s="1272"/>
      <c r="F694" s="1272"/>
      <c r="H694" s="539"/>
      <c r="I694" s="1068"/>
      <c r="J694" s="539"/>
      <c r="K694" s="539"/>
    </row>
    <row r="695" spans="1:11">
      <c r="A695" s="521"/>
      <c r="B695" s="521"/>
      <c r="C695" s="521"/>
      <c r="D695" s="1272"/>
      <c r="E695" s="1272"/>
      <c r="F695" s="1272"/>
      <c r="H695" s="539"/>
      <c r="I695" s="1068"/>
      <c r="J695" s="539"/>
      <c r="K695" s="539"/>
    </row>
    <row r="696" spans="1:11">
      <c r="A696" s="521"/>
      <c r="B696" s="521"/>
      <c r="C696" s="521"/>
      <c r="D696" s="1272"/>
      <c r="E696" s="1272"/>
      <c r="F696" s="1272"/>
      <c r="H696" s="539"/>
      <c r="I696" s="1068"/>
      <c r="J696" s="539"/>
      <c r="K696" s="539"/>
    </row>
    <row r="697" spans="1:11">
      <c r="A697" s="521"/>
      <c r="B697" s="521"/>
      <c r="C697" s="521"/>
      <c r="D697" s="483"/>
      <c r="E697" s="483"/>
      <c r="F697" s="483"/>
      <c r="H697" s="539"/>
      <c r="I697" s="1068"/>
      <c r="J697" s="539"/>
      <c r="K697" s="539"/>
    </row>
    <row r="698" spans="1:11">
      <c r="A698" s="521"/>
      <c r="B698" s="523" t="s">
        <v>313</v>
      </c>
      <c r="C698" s="521"/>
      <c r="D698" s="1272" t="s">
        <v>1366</v>
      </c>
      <c r="E698" s="1272"/>
      <c r="F698" s="1272"/>
      <c r="H698" s="539"/>
      <c r="I698" s="1068" t="s">
        <v>2238</v>
      </c>
      <c r="J698" s="539"/>
      <c r="K698" s="539"/>
    </row>
    <row r="699" spans="1:11">
      <c r="A699" s="521"/>
      <c r="B699" s="521"/>
      <c r="C699" s="521"/>
      <c r="D699" s="1272"/>
      <c r="E699" s="1272"/>
      <c r="F699" s="1272"/>
      <c r="H699" s="539"/>
      <c r="I699" s="1068"/>
      <c r="J699" s="539"/>
      <c r="K699" s="539"/>
    </row>
    <row r="700" spans="1:11">
      <c r="A700" s="521"/>
      <c r="B700" s="521"/>
      <c r="C700" s="521"/>
      <c r="D700" s="483"/>
      <c r="E700" s="483"/>
      <c r="F700" s="483"/>
      <c r="H700" s="539"/>
      <c r="I700" s="1068"/>
      <c r="J700" s="539"/>
      <c r="K700" s="539"/>
    </row>
    <row r="701" spans="1:11" ht="14.25">
      <c r="A701" s="522"/>
      <c r="B701" s="523" t="s">
        <v>313</v>
      </c>
      <c r="C701" s="521"/>
      <c r="D701" s="1272" t="s">
        <v>1186</v>
      </c>
      <c r="E701" s="1272"/>
      <c r="F701" s="1272"/>
      <c r="H701" s="539"/>
      <c r="I701" s="1068" t="s">
        <v>2238</v>
      </c>
      <c r="J701" s="539"/>
      <c r="K701" s="539"/>
    </row>
    <row r="702" spans="1:11">
      <c r="A702" s="521"/>
      <c r="B702" s="521"/>
      <c r="C702" s="521"/>
      <c r="D702" s="1272"/>
      <c r="E702" s="1272"/>
      <c r="F702" s="1272"/>
      <c r="H702" s="539"/>
      <c r="I702" s="1068"/>
      <c r="J702" s="539"/>
      <c r="K702" s="539"/>
    </row>
    <row r="703" spans="1:11">
      <c r="A703" s="521"/>
      <c r="B703" s="521"/>
      <c r="C703" s="521"/>
      <c r="D703" s="1272"/>
      <c r="E703" s="1272"/>
      <c r="F703" s="1272"/>
      <c r="H703" s="539"/>
      <c r="I703" s="1068"/>
      <c r="J703" s="539"/>
      <c r="K703" s="539"/>
    </row>
    <row r="704" spans="1:11" ht="15" customHeight="1">
      <c r="A704" s="521"/>
      <c r="B704" s="521"/>
      <c r="C704" s="521"/>
      <c r="D704" s="1272"/>
      <c r="E704" s="1272"/>
      <c r="F704" s="1272"/>
      <c r="H704" s="539"/>
      <c r="I704" s="1068"/>
      <c r="J704" s="539"/>
      <c r="K704" s="539"/>
    </row>
    <row r="705" spans="1:11" ht="15" customHeight="1">
      <c r="A705" s="521"/>
      <c r="B705" s="521"/>
      <c r="C705" s="521"/>
      <c r="D705" s="1272"/>
      <c r="E705" s="1272"/>
      <c r="F705" s="1272"/>
      <c r="H705" s="539"/>
      <c r="I705" s="1068"/>
      <c r="J705" s="539"/>
      <c r="K705" s="539"/>
    </row>
    <row r="706" spans="1:11">
      <c r="A706" s="521"/>
      <c r="B706" s="521"/>
      <c r="C706" s="521"/>
      <c r="D706" s="1272"/>
      <c r="E706" s="1272"/>
      <c r="F706" s="1272"/>
      <c r="H706" s="539"/>
      <c r="I706" s="1068"/>
      <c r="J706" s="539"/>
      <c r="K706" s="539"/>
    </row>
    <row r="707" spans="1:11">
      <c r="A707" s="521"/>
      <c r="B707" s="521"/>
      <c r="C707" s="521"/>
      <c r="D707" s="1272"/>
      <c r="E707" s="1272"/>
      <c r="F707" s="1272"/>
      <c r="H707" s="539"/>
      <c r="I707" s="1068"/>
      <c r="J707" s="539"/>
      <c r="K707" s="539"/>
    </row>
    <row r="708" spans="1:11">
      <c r="A708" s="521"/>
      <c r="B708" s="521"/>
      <c r="C708" s="521"/>
      <c r="D708" s="1272"/>
      <c r="E708" s="1272"/>
      <c r="F708" s="1272"/>
      <c r="H708" s="539"/>
      <c r="I708" s="1068"/>
      <c r="J708" s="539"/>
      <c r="K708" s="539"/>
    </row>
    <row r="709" spans="1:11" ht="15" customHeight="1">
      <c r="A709" s="521"/>
      <c r="B709" s="521"/>
      <c r="C709" s="521"/>
      <c r="D709" s="1272"/>
      <c r="E709" s="1272"/>
      <c r="F709" s="1272"/>
      <c r="H709" s="539"/>
      <c r="I709" s="1068"/>
      <c r="J709" s="539"/>
      <c r="K709" s="539"/>
    </row>
    <row r="710" spans="1:11">
      <c r="A710" s="521"/>
      <c r="B710" s="521"/>
      <c r="C710" s="521"/>
      <c r="D710" s="1272"/>
      <c r="E710" s="1272"/>
      <c r="F710" s="1272"/>
      <c r="H710" s="539"/>
      <c r="I710" s="1068"/>
      <c r="J710" s="539"/>
      <c r="K710" s="539"/>
    </row>
    <row r="711" spans="1:11">
      <c r="A711" s="521"/>
      <c r="B711" s="521"/>
      <c r="C711" s="521"/>
      <c r="D711" s="1272"/>
      <c r="E711" s="1272"/>
      <c r="F711" s="1272"/>
      <c r="H711" s="539"/>
      <c r="I711" s="1068"/>
      <c r="J711" s="539"/>
      <c r="K711" s="539"/>
    </row>
    <row r="712" spans="1:11">
      <c r="A712" s="521"/>
      <c r="B712" s="521"/>
      <c r="C712" s="521"/>
      <c r="D712" s="1272"/>
      <c r="E712" s="1272"/>
      <c r="F712" s="1272"/>
      <c r="H712" s="539"/>
      <c r="I712" s="1068"/>
      <c r="J712" s="539"/>
      <c r="K712" s="539"/>
    </row>
    <row r="713" spans="1:11">
      <c r="A713" s="521"/>
      <c r="B713" s="521"/>
      <c r="C713" s="521"/>
      <c r="D713" s="1272"/>
      <c r="E713" s="1272"/>
      <c r="F713" s="1272"/>
      <c r="H713" s="539"/>
      <c r="I713" s="1068"/>
      <c r="J713" s="539"/>
      <c r="K713" s="539"/>
    </row>
    <row r="714" spans="1:11">
      <c r="A714" s="521"/>
      <c r="B714" s="523" t="s">
        <v>313</v>
      </c>
      <c r="C714" s="521"/>
      <c r="D714" s="1272" t="s">
        <v>1193</v>
      </c>
      <c r="E714" s="1272"/>
      <c r="F714" s="1272"/>
      <c r="H714" s="539"/>
      <c r="I714" s="1068" t="s">
        <v>2288</v>
      </c>
      <c r="J714" s="539"/>
      <c r="K714" s="539"/>
    </row>
    <row r="715" spans="1:11">
      <c r="A715" s="521"/>
      <c r="B715" s="521"/>
      <c r="C715" s="521"/>
      <c r="D715" s="1272"/>
      <c r="E715" s="1272"/>
      <c r="F715" s="1272"/>
      <c r="H715" s="539"/>
      <c r="I715" s="1068"/>
      <c r="J715" s="539"/>
      <c r="K715" s="539"/>
    </row>
    <row r="716" spans="1:11">
      <c r="A716" s="521"/>
      <c r="B716" s="521"/>
      <c r="C716" s="521"/>
      <c r="D716" s="483"/>
      <c r="E716" s="483"/>
      <c r="F716" s="483"/>
      <c r="H716" s="539"/>
      <c r="I716" s="1068"/>
      <c r="J716" s="539"/>
      <c r="K716" s="539"/>
    </row>
    <row r="717" spans="1:11">
      <c r="A717" s="521"/>
      <c r="B717" s="523" t="s">
        <v>313</v>
      </c>
      <c r="C717" s="521"/>
      <c r="D717" s="1272" t="s">
        <v>1187</v>
      </c>
      <c r="E717" s="1272"/>
      <c r="F717" s="1272"/>
      <c r="H717" s="539"/>
      <c r="I717" s="1068" t="s">
        <v>2288</v>
      </c>
      <c r="J717" s="539"/>
      <c r="K717" s="539"/>
    </row>
    <row r="718" spans="1:11">
      <c r="A718" s="521"/>
      <c r="B718" s="521"/>
      <c r="C718" s="521"/>
      <c r="D718" s="1272"/>
      <c r="E718" s="1272"/>
      <c r="F718" s="1272"/>
      <c r="H718" s="539"/>
      <c r="I718" s="1068"/>
      <c r="J718" s="539"/>
      <c r="K718" s="539"/>
    </row>
    <row r="719" spans="1:11">
      <c r="A719" s="521"/>
      <c r="B719" s="521"/>
      <c r="C719" s="521"/>
      <c r="D719" s="1272"/>
      <c r="E719" s="1272"/>
      <c r="F719" s="1272"/>
      <c r="H719" s="539"/>
      <c r="I719" s="1068"/>
      <c r="J719" s="539"/>
      <c r="K719" s="539"/>
    </row>
    <row r="720" spans="1:11">
      <c r="A720" s="521"/>
      <c r="B720" s="521"/>
      <c r="C720" s="521"/>
      <c r="H720" s="539"/>
      <c r="I720" s="1068"/>
      <c r="J720" s="539"/>
      <c r="K720" s="539"/>
    </row>
    <row r="721" spans="1:11">
      <c r="A721" s="521"/>
      <c r="B721" s="523" t="s">
        <v>313</v>
      </c>
      <c r="C721" s="521"/>
      <c r="D721" s="1272" t="s">
        <v>1188</v>
      </c>
      <c r="E721" s="1272"/>
      <c r="F721" s="1272"/>
      <c r="H721" s="539"/>
      <c r="I721" s="1068" t="s">
        <v>2288</v>
      </c>
      <c r="J721" s="539"/>
      <c r="K721" s="539"/>
    </row>
    <row r="722" spans="1:11">
      <c r="A722" s="521"/>
      <c r="B722" s="521"/>
      <c r="C722" s="521"/>
      <c r="D722" s="1272"/>
      <c r="E722" s="1272"/>
      <c r="F722" s="1272"/>
      <c r="H722" s="539"/>
      <c r="I722" s="1068"/>
      <c r="J722" s="539"/>
      <c r="K722" s="539"/>
    </row>
    <row r="723" spans="1:11">
      <c r="A723" s="521"/>
      <c r="B723" s="521"/>
      <c r="C723" s="521"/>
      <c r="D723" s="1272"/>
      <c r="E723" s="1272"/>
      <c r="F723" s="1272"/>
      <c r="H723" s="539"/>
      <c r="I723" s="1068"/>
      <c r="J723" s="539"/>
      <c r="K723" s="539"/>
    </row>
    <row r="724" spans="1:11">
      <c r="A724" s="521"/>
      <c r="B724" s="521"/>
      <c r="C724" s="521"/>
      <c r="H724" s="539"/>
      <c r="I724" s="1068"/>
      <c r="J724" s="539"/>
      <c r="K724" s="539"/>
    </row>
    <row r="725" spans="1:11" ht="14.25">
      <c r="A725" s="522"/>
      <c r="B725" s="523" t="s">
        <v>313</v>
      </c>
      <c r="C725" s="521"/>
      <c r="D725" s="1272" t="s">
        <v>1189</v>
      </c>
      <c r="E725" s="1272"/>
      <c r="F725" s="1272"/>
      <c r="H725" s="539"/>
      <c r="I725" s="1068" t="s">
        <v>2239</v>
      </c>
      <c r="J725" s="539"/>
      <c r="K725" s="539"/>
    </row>
    <row r="726" spans="1:11">
      <c r="A726" s="521"/>
      <c r="B726" s="521"/>
      <c r="C726" s="521"/>
      <c r="D726" s="1272"/>
      <c r="E726" s="1272"/>
      <c r="F726" s="1272"/>
      <c r="H726" s="539"/>
      <c r="I726" s="1068"/>
      <c r="J726" s="539"/>
      <c r="K726" s="539"/>
    </row>
    <row r="727" spans="1:11">
      <c r="A727" s="521"/>
      <c r="B727" s="521"/>
      <c r="C727" s="521"/>
      <c r="D727" s="1272"/>
      <c r="E727" s="1272"/>
      <c r="F727" s="1272"/>
      <c r="H727" s="539"/>
      <c r="I727" s="1068"/>
      <c r="J727" s="539"/>
      <c r="K727" s="539"/>
    </row>
    <row r="728" spans="1:11">
      <c r="A728" s="521"/>
      <c r="B728" s="521"/>
      <c r="C728" s="521"/>
      <c r="D728" s="1272"/>
      <c r="E728" s="1272"/>
      <c r="F728" s="1272"/>
      <c r="H728" s="539"/>
      <c r="I728" s="1068"/>
      <c r="J728" s="539"/>
      <c r="K728" s="539"/>
    </row>
    <row r="729" spans="1:11">
      <c r="A729" s="521"/>
      <c r="B729" s="521"/>
      <c r="C729" s="521"/>
      <c r="D729" s="530"/>
      <c r="H729" s="539"/>
      <c r="I729" s="1068"/>
      <c r="J729" s="539"/>
      <c r="K729" s="539"/>
    </row>
    <row r="730" spans="1:11" ht="14.25">
      <c r="A730" s="522"/>
      <c r="B730" s="523" t="s">
        <v>313</v>
      </c>
      <c r="C730" s="521"/>
      <c r="D730" s="1272" t="s">
        <v>2541</v>
      </c>
      <c r="E730" s="1272"/>
      <c r="F730" s="1272"/>
      <c r="H730" s="539"/>
      <c r="I730" s="1068" t="s">
        <v>2255</v>
      </c>
      <c r="J730" s="539"/>
      <c r="K730" s="539"/>
    </row>
    <row r="731" spans="1:11">
      <c r="A731" s="521"/>
      <c r="B731" s="521"/>
      <c r="C731" s="521"/>
      <c r="D731" s="1272"/>
      <c r="E731" s="1272"/>
      <c r="F731" s="1272"/>
      <c r="H731" s="539"/>
      <c r="I731" s="1068"/>
      <c r="J731" s="539"/>
      <c r="K731" s="539"/>
    </row>
    <row r="732" spans="1:11">
      <c r="A732" s="521"/>
      <c r="B732" s="521"/>
      <c r="C732" s="521"/>
      <c r="D732" s="1272"/>
      <c r="E732" s="1272"/>
      <c r="F732" s="1272"/>
      <c r="H732" s="539"/>
      <c r="I732" s="1068"/>
      <c r="J732" s="539"/>
      <c r="K732" s="539"/>
    </row>
    <row r="733" spans="1:11">
      <c r="A733" s="521"/>
      <c r="B733" s="521"/>
      <c r="C733" s="521"/>
      <c r="D733" s="1272"/>
      <c r="E733" s="1272"/>
      <c r="F733" s="1272"/>
      <c r="H733" s="539"/>
      <c r="I733" s="1068"/>
      <c r="J733" s="539"/>
      <c r="K733" s="539"/>
    </row>
    <row r="734" spans="1:11">
      <c r="A734" s="521"/>
      <c r="B734" s="521"/>
      <c r="C734" s="521"/>
      <c r="D734" s="1272"/>
      <c r="E734" s="1272"/>
      <c r="F734" s="1272"/>
      <c r="H734" s="539"/>
      <c r="I734" s="1068"/>
      <c r="J734" s="539"/>
      <c r="K734" s="539"/>
    </row>
    <row r="735" spans="1:11">
      <c r="A735" s="521"/>
      <c r="B735" s="521"/>
      <c r="C735" s="521"/>
      <c r="D735" s="1272"/>
      <c r="E735" s="1272"/>
      <c r="F735" s="1272"/>
      <c r="H735" s="539"/>
      <c r="I735" s="1068"/>
      <c r="J735" s="539"/>
      <c r="K735" s="539"/>
    </row>
    <row r="736" spans="1:11">
      <c r="A736" s="521"/>
      <c r="B736" s="521"/>
      <c r="C736" s="521"/>
      <c r="D736" s="1272"/>
      <c r="E736" s="1272"/>
      <c r="F736" s="1272"/>
      <c r="H736" s="539"/>
      <c r="I736" s="1068"/>
      <c r="J736" s="539"/>
      <c r="K736" s="539"/>
    </row>
    <row r="737" spans="1:11">
      <c r="A737" s="521"/>
      <c r="B737" s="521"/>
      <c r="C737" s="521"/>
      <c r="D737" s="1290" t="s">
        <v>2550</v>
      </c>
      <c r="E737" s="1290"/>
      <c r="F737" s="1290"/>
      <c r="H737" s="539"/>
      <c r="I737" s="1068"/>
      <c r="J737" s="539"/>
      <c r="K737" s="539"/>
    </row>
    <row r="738" spans="1:11">
      <c r="A738" s="521"/>
      <c r="B738" s="521"/>
      <c r="C738" s="521"/>
      <c r="D738" s="372"/>
      <c r="H738" s="539"/>
      <c r="I738" s="1068"/>
      <c r="J738" s="539"/>
      <c r="K738" s="539"/>
    </row>
    <row r="739" spans="1:11">
      <c r="A739" s="1292" t="s">
        <v>1147</v>
      </c>
      <c r="B739" s="1292"/>
      <c r="C739" s="1292"/>
      <c r="D739" s="1292"/>
      <c r="E739" s="1292"/>
      <c r="F739" s="1292"/>
      <c r="G739" s="1292"/>
      <c r="H739" s="1076"/>
      <c r="I739" s="1077"/>
      <c r="J739" s="539"/>
      <c r="K739" s="539"/>
    </row>
    <row r="740" spans="1:11">
      <c r="A740" s="521"/>
      <c r="B740" s="521"/>
      <c r="C740" s="521"/>
      <c r="D740" s="530"/>
      <c r="G740" s="539"/>
      <c r="H740" s="539"/>
      <c r="I740" s="1068"/>
      <c r="J740" s="539"/>
      <c r="K740" s="539"/>
    </row>
    <row r="741" spans="1:11" ht="13.7" customHeight="1">
      <c r="C741" s="521"/>
      <c r="D741" s="1274" t="s">
        <v>1163</v>
      </c>
      <c r="E741" s="1274"/>
      <c r="F741" s="1274"/>
      <c r="G741" s="539"/>
      <c r="H741" s="539"/>
      <c r="I741" s="1068"/>
      <c r="J741" s="539"/>
      <c r="K741" s="539"/>
    </row>
    <row r="742" spans="1:11">
      <c r="A742" s="521"/>
      <c r="B742" s="521"/>
      <c r="C742" s="521"/>
      <c r="D742" s="1275" t="s">
        <v>1164</v>
      </c>
      <c r="E742" s="1275"/>
      <c r="F742" s="1275"/>
      <c r="G742" s="539"/>
      <c r="H742" s="539"/>
      <c r="I742" s="1068"/>
      <c r="J742" s="539"/>
      <c r="K742" s="539"/>
    </row>
    <row r="743" spans="1:11">
      <c r="A743" s="521"/>
      <c r="B743" s="521"/>
      <c r="C743" s="521"/>
      <c r="G743" s="539"/>
      <c r="H743" s="539"/>
      <c r="I743" s="1068"/>
      <c r="J743" s="539"/>
      <c r="K743" s="539"/>
    </row>
    <row r="744" spans="1:11" ht="14.25">
      <c r="A744" s="522"/>
      <c r="B744" s="523" t="s">
        <v>313</v>
      </c>
      <c r="D744" s="1272" t="s">
        <v>1165</v>
      </c>
      <c r="E744" s="1272"/>
      <c r="F744" s="1272"/>
      <c r="G744" s="539"/>
      <c r="H744" s="539"/>
      <c r="I744" s="1068" t="s">
        <v>2240</v>
      </c>
      <c r="J744" s="539"/>
      <c r="K744" s="539"/>
    </row>
    <row r="745" spans="1:11" ht="10.5" customHeight="1">
      <c r="D745" s="1272"/>
      <c r="E745" s="1272"/>
      <c r="F745" s="1272"/>
      <c r="G745" s="539"/>
      <c r="H745" s="539"/>
      <c r="I745" s="1068"/>
      <c r="J745" s="539"/>
      <c r="K745" s="539"/>
    </row>
    <row r="746" spans="1:11">
      <c r="D746" s="1272"/>
      <c r="E746" s="1272"/>
      <c r="F746" s="1272"/>
      <c r="G746" s="539"/>
      <c r="H746" s="539"/>
      <c r="I746" s="1068"/>
      <c r="J746" s="539"/>
      <c r="K746" s="539"/>
    </row>
    <row r="747" spans="1:11">
      <c r="D747" s="1272"/>
      <c r="E747" s="1272"/>
      <c r="F747" s="1272"/>
      <c r="G747" s="539"/>
      <c r="H747" s="539"/>
      <c r="I747" s="1068"/>
      <c r="J747" s="539"/>
      <c r="K747" s="539"/>
    </row>
    <row r="748" spans="1:11">
      <c r="D748" s="1272"/>
      <c r="E748" s="1272"/>
      <c r="F748" s="1272"/>
      <c r="G748" s="539"/>
      <c r="H748" s="539"/>
      <c r="I748" s="1068"/>
      <c r="J748" s="539"/>
      <c r="K748" s="539"/>
    </row>
    <row r="749" spans="1:11" ht="15.6" customHeight="1">
      <c r="D749" s="1272"/>
      <c r="E749" s="1272"/>
      <c r="F749" s="1272"/>
      <c r="G749" s="539"/>
      <c r="H749" s="539"/>
      <c r="I749" s="1068"/>
      <c r="J749" s="539"/>
      <c r="K749" s="539"/>
    </row>
    <row r="750" spans="1:11">
      <c r="D750" s="537"/>
      <c r="E750" s="484"/>
      <c r="F750" s="484"/>
      <c r="G750" s="539"/>
      <c r="H750" s="539"/>
      <c r="I750" s="1068"/>
      <c r="J750" s="539"/>
      <c r="K750" s="539"/>
    </row>
    <row r="751" spans="1:11" s="543" customFormat="1" ht="14.25">
      <c r="A751" s="541"/>
      <c r="B751" s="523" t="s">
        <v>313</v>
      </c>
      <c r="C751" s="542"/>
      <c r="D751" s="1272" t="s">
        <v>1412</v>
      </c>
      <c r="E751" s="1272"/>
      <c r="F751" s="1272"/>
      <c r="I751" s="1069" t="s">
        <v>2240</v>
      </c>
    </row>
    <row r="752" spans="1:11" s="543" customFormat="1">
      <c r="A752" s="542"/>
      <c r="B752" s="542"/>
      <c r="C752" s="542"/>
      <c r="D752" s="1272"/>
      <c r="E752" s="1272"/>
      <c r="F752" s="1272"/>
      <c r="I752" s="1069"/>
    </row>
    <row r="753" spans="1:11" s="543" customFormat="1">
      <c r="A753" s="542"/>
      <c r="B753" s="542"/>
      <c r="C753" s="542"/>
      <c r="D753" s="1272"/>
      <c r="E753" s="1272"/>
      <c r="F753" s="1272"/>
      <c r="I753" s="1069"/>
    </row>
    <row r="754" spans="1:11" s="543" customFormat="1">
      <c r="A754" s="542"/>
      <c r="B754" s="542"/>
      <c r="C754" s="542"/>
      <c r="D754" s="1272"/>
      <c r="E754" s="1272"/>
      <c r="F754" s="1272"/>
      <c r="I754" s="1069"/>
    </row>
    <row r="755" spans="1:11" s="543" customFormat="1">
      <c r="A755" s="542"/>
      <c r="B755" s="542"/>
      <c r="C755" s="542"/>
      <c r="D755" s="537"/>
      <c r="I755" s="1069"/>
    </row>
    <row r="756" spans="1:11" s="543" customFormat="1" ht="14.25">
      <c r="A756" s="522"/>
      <c r="B756" s="523" t="s">
        <v>313</v>
      </c>
      <c r="C756" s="542"/>
      <c r="D756" s="1270" t="s">
        <v>1413</v>
      </c>
      <c r="E756" s="1270"/>
      <c r="F756" s="1270"/>
      <c r="I756" s="1069" t="s">
        <v>2241</v>
      </c>
    </row>
    <row r="757" spans="1:11" s="543" customFormat="1">
      <c r="A757" s="542"/>
      <c r="B757" s="542"/>
      <c r="C757" s="542"/>
      <c r="D757" s="1270"/>
      <c r="E757" s="1270"/>
      <c r="F757" s="1270"/>
      <c r="I757" s="1069"/>
    </row>
    <row r="758" spans="1:11" s="543" customFormat="1">
      <c r="A758" s="542"/>
      <c r="B758" s="542"/>
      <c r="C758" s="542"/>
      <c r="D758" s="1270"/>
      <c r="E758" s="1270"/>
      <c r="F758" s="1270"/>
      <c r="I758" s="1069"/>
    </row>
    <row r="759" spans="1:11">
      <c r="D759" s="537"/>
      <c r="E759" s="484"/>
      <c r="F759" s="484"/>
      <c r="G759" s="539"/>
      <c r="H759" s="539"/>
      <c r="I759" s="1068"/>
      <c r="J759" s="539"/>
      <c r="K759" s="539"/>
    </row>
    <row r="760" spans="1:11" ht="14.25">
      <c r="A760" s="522"/>
      <c r="B760" s="523" t="s">
        <v>313</v>
      </c>
      <c r="D760" s="1272" t="s">
        <v>1363</v>
      </c>
      <c r="E760" s="1272"/>
      <c r="F760" s="1272"/>
      <c r="G760" s="539"/>
      <c r="H760" s="539"/>
      <c r="I760" s="1068" t="s">
        <v>2240</v>
      </c>
      <c r="J760" s="539"/>
      <c r="K760" s="539"/>
    </row>
    <row r="761" spans="1:11">
      <c r="D761" s="1272"/>
      <c r="E761" s="1272"/>
      <c r="F761" s="1272"/>
      <c r="G761" s="539"/>
      <c r="H761" s="539"/>
      <c r="I761" s="1068"/>
      <c r="J761" s="539"/>
      <c r="K761" s="539"/>
    </row>
    <row r="762" spans="1:11">
      <c r="D762" s="483"/>
      <c r="E762" s="483"/>
      <c r="F762" s="483"/>
      <c r="G762" s="539"/>
      <c r="H762" s="539"/>
      <c r="I762" s="1068"/>
      <c r="J762" s="539"/>
      <c r="K762" s="539"/>
    </row>
    <row r="763" spans="1:11">
      <c r="B763" s="523" t="s">
        <v>313</v>
      </c>
      <c r="D763" s="1272" t="s">
        <v>1381</v>
      </c>
      <c r="E763" s="1272"/>
      <c r="F763" s="1272"/>
      <c r="G763" s="539"/>
      <c r="H763" s="539"/>
      <c r="I763" s="1068" t="s">
        <v>2240</v>
      </c>
      <c r="J763" s="539"/>
      <c r="K763" s="539"/>
    </row>
    <row r="764" spans="1:11">
      <c r="D764" s="1272"/>
      <c r="E764" s="1272"/>
      <c r="F764" s="1272"/>
      <c r="G764" s="539"/>
      <c r="H764" s="539"/>
      <c r="I764" s="1068"/>
      <c r="J764" s="539"/>
      <c r="K764" s="539"/>
    </row>
    <row r="765" spans="1:11">
      <c r="D765" s="1272"/>
      <c r="E765" s="1272"/>
      <c r="F765" s="1272"/>
      <c r="G765" s="539"/>
      <c r="H765" s="539"/>
      <c r="I765" s="1068"/>
      <c r="J765" s="539"/>
      <c r="K765" s="539"/>
    </row>
    <row r="766" spans="1:11">
      <c r="D766" s="483"/>
      <c r="E766" s="483"/>
      <c r="F766" s="483"/>
      <c r="G766" s="539"/>
      <c r="H766" s="539"/>
      <c r="I766" s="1068"/>
      <c r="J766" s="539"/>
      <c r="K766" s="539"/>
    </row>
    <row r="767" spans="1:11">
      <c r="A767" s="1325" t="s">
        <v>2119</v>
      </c>
      <c r="B767" s="1325"/>
      <c r="C767" s="1325"/>
      <c r="D767" s="1325"/>
      <c r="E767" s="1325"/>
      <c r="F767" s="1325"/>
      <c r="G767" s="1325"/>
      <c r="H767" s="1074"/>
      <c r="I767" s="1075"/>
    </row>
    <row r="768" spans="1:11">
      <c r="A768" s="57"/>
      <c r="B768" s="57"/>
      <c r="C768" s="388"/>
      <c r="D768" s="3"/>
      <c r="E768" s="3"/>
      <c r="F768" s="3"/>
      <c r="G768" s="3"/>
    </row>
    <row r="769" spans="1:9">
      <c r="A769" s="57"/>
      <c r="B769" s="57"/>
      <c r="C769" s="388"/>
      <c r="D769" s="1326" t="s">
        <v>2173</v>
      </c>
      <c r="E769" s="1326"/>
      <c r="F769" s="1326"/>
      <c r="G769" s="3"/>
    </row>
    <row r="770" spans="1:9">
      <c r="A770" s="57"/>
      <c r="B770" s="57"/>
      <c r="C770" s="388"/>
      <c r="D770" s="1258" t="s">
        <v>2072</v>
      </c>
      <c r="E770" s="1258"/>
      <c r="F770" s="1258"/>
      <c r="G770" s="3"/>
    </row>
    <row r="771" spans="1:9">
      <c r="A771" s="57"/>
      <c r="B771" s="57"/>
      <c r="C771" s="388"/>
      <c r="D771" s="485"/>
      <c r="E771" s="485"/>
      <c r="F771" s="485"/>
      <c r="G771" s="3"/>
    </row>
    <row r="772" spans="1:9">
      <c r="A772" s="57"/>
      <c r="B772" s="523" t="s">
        <v>313</v>
      </c>
      <c r="C772" s="388"/>
      <c r="D772" s="1286" t="s">
        <v>2073</v>
      </c>
      <c r="E772" s="1286"/>
      <c r="F772" s="1286"/>
      <c r="G772" s="3"/>
      <c r="I772" s="1068" t="s">
        <v>2290</v>
      </c>
    </row>
    <row r="773" spans="1:9">
      <c r="A773" s="57"/>
      <c r="B773" s="57"/>
      <c r="C773" s="388"/>
      <c r="D773" s="1286"/>
      <c r="E773" s="1286"/>
      <c r="F773" s="1286"/>
      <c r="G773" s="3"/>
    </row>
    <row r="774" spans="1:9">
      <c r="A774" s="176"/>
      <c r="B774" s="176"/>
      <c r="C774" s="176"/>
      <c r="D774" s="1286"/>
      <c r="E774" s="1286"/>
      <c r="F774" s="1286"/>
      <c r="G774" s="118"/>
    </row>
    <row r="775" spans="1:9">
      <c r="A775" s="388"/>
      <c r="B775" s="388"/>
      <c r="C775" s="388"/>
      <c r="D775" s="175"/>
      <c r="E775" s="3"/>
      <c r="F775" s="3"/>
      <c r="G775" s="3"/>
    </row>
    <row r="776" spans="1:9">
      <c r="A776" s="173"/>
      <c r="B776" s="523" t="s">
        <v>313</v>
      </c>
      <c r="C776" s="173"/>
      <c r="D776" s="1286" t="s">
        <v>2074</v>
      </c>
      <c r="E776" s="1286"/>
      <c r="F776" s="1286"/>
      <c r="G776" s="3"/>
      <c r="I776" s="1068" t="s">
        <v>2290</v>
      </c>
    </row>
    <row r="777" spans="1:9">
      <c r="A777" s="173"/>
      <c r="B777" s="173"/>
      <c r="C777" s="173"/>
      <c r="D777" s="1286"/>
      <c r="E777" s="1286"/>
      <c r="F777" s="1286"/>
      <c r="G777" s="3"/>
    </row>
    <row r="778" spans="1:9">
      <c r="A778" s="173"/>
      <c r="B778" s="173"/>
      <c r="C778" s="173"/>
      <c r="D778" s="1286"/>
      <c r="E778" s="1286"/>
      <c r="F778" s="1286"/>
      <c r="G778" s="3"/>
    </row>
    <row r="779" spans="1:9">
      <c r="A779" s="176"/>
      <c r="B779" s="176"/>
      <c r="C779" s="176"/>
      <c r="D779" s="3"/>
      <c r="E779" s="1028"/>
      <c r="F779" s="1028"/>
      <c r="G779" s="1028"/>
    </row>
    <row r="780" spans="1:9" ht="14.25">
      <c r="A780" s="177"/>
      <c r="B780" s="523" t="s">
        <v>313</v>
      </c>
      <c r="C780" s="1029"/>
      <c r="D780" s="1286" t="s">
        <v>2075</v>
      </c>
      <c r="E780" s="1286"/>
      <c r="F780" s="1286"/>
      <c r="G780" s="1028"/>
      <c r="I780" s="1068" t="s">
        <v>2290</v>
      </c>
    </row>
    <row r="781" spans="1:9" ht="14.25">
      <c r="A781" s="177"/>
      <c r="B781" s="177"/>
      <c r="C781" s="1029"/>
      <c r="D781" s="1286"/>
      <c r="E781" s="1286"/>
      <c r="F781" s="1286"/>
      <c r="G781" s="1028"/>
    </row>
    <row r="782" spans="1:9" ht="14.25">
      <c r="A782" s="177"/>
      <c r="B782" s="177"/>
      <c r="C782" s="1029"/>
      <c r="D782" s="1286"/>
      <c r="E782" s="1286"/>
      <c r="F782" s="1286"/>
      <c r="G782" s="1028"/>
    </row>
    <row r="783" spans="1:9" ht="14.25">
      <c r="A783" s="177"/>
      <c r="B783" s="177"/>
      <c r="C783" s="1029"/>
      <c r="D783" s="118"/>
      <c r="E783" s="3"/>
      <c r="F783" s="3"/>
      <c r="G783" s="1028"/>
    </row>
    <row r="784" spans="1:9" ht="14.25">
      <c r="A784" s="177"/>
      <c r="B784" s="523" t="s">
        <v>313</v>
      </c>
      <c r="C784" s="1029"/>
      <c r="D784" s="1286" t="s">
        <v>2076</v>
      </c>
      <c r="E784" s="1286"/>
      <c r="F784" s="1286"/>
      <c r="G784" s="1028"/>
      <c r="I784" s="1068" t="s">
        <v>2290</v>
      </c>
    </row>
    <row r="785" spans="1:9" ht="14.25">
      <c r="A785" s="177"/>
      <c r="B785" s="177"/>
      <c r="C785" s="1029"/>
      <c r="D785" s="1286"/>
      <c r="E785" s="1286"/>
      <c r="F785" s="1286"/>
      <c r="G785" s="1028"/>
    </row>
    <row r="786" spans="1:9" ht="14.25">
      <c r="A786" s="177"/>
      <c r="B786" s="177"/>
      <c r="C786" s="1029"/>
      <c r="D786" s="1286"/>
      <c r="E786" s="1286"/>
      <c r="F786" s="1286"/>
      <c r="G786" s="1028"/>
    </row>
    <row r="787" spans="1:9" ht="14.25">
      <c r="A787" s="177"/>
      <c r="B787" s="177"/>
      <c r="C787" s="1029"/>
      <c r="D787" s="1286"/>
      <c r="E787" s="1286"/>
      <c r="F787" s="1286"/>
      <c r="G787" s="1028"/>
    </row>
    <row r="788" spans="1:9" ht="14.25">
      <c r="A788" s="177"/>
      <c r="B788" s="177"/>
      <c r="C788" s="1029"/>
      <c r="D788" s="1286"/>
      <c r="E788" s="1286"/>
      <c r="F788" s="1286"/>
      <c r="G788" s="1028"/>
    </row>
    <row r="789" spans="1:9" ht="14.25">
      <c r="A789" s="177"/>
      <c r="B789" s="177"/>
      <c r="C789" s="1029"/>
      <c r="D789" s="1286"/>
      <c r="E789" s="1286"/>
      <c r="F789" s="1286"/>
      <c r="G789" s="1028"/>
    </row>
    <row r="790" spans="1:9" ht="14.25">
      <c r="A790" s="177"/>
      <c r="B790" s="177"/>
      <c r="C790" s="1029"/>
      <c r="D790" s="1286" t="s">
        <v>2120</v>
      </c>
      <c r="E790" s="1286"/>
      <c r="F790" s="1286"/>
      <c r="G790" s="1028"/>
    </row>
    <row r="791" spans="1:9" ht="14.25">
      <c r="A791" s="177"/>
      <c r="B791" s="177"/>
      <c r="C791" s="1029"/>
      <c r="D791" s="1286"/>
      <c r="E791" s="1286"/>
      <c r="F791" s="1286"/>
      <c r="G791" s="1028"/>
    </row>
    <row r="792" spans="1:9" ht="14.25">
      <c r="A792" s="177"/>
      <c r="B792" s="177"/>
      <c r="C792" s="1029"/>
      <c r="D792" s="1286"/>
      <c r="E792" s="1286"/>
      <c r="F792" s="1286"/>
      <c r="G792" s="1028"/>
    </row>
    <row r="793" spans="1:9" ht="14.25">
      <c r="A793" s="177"/>
      <c r="B793" s="388"/>
      <c r="C793" s="1029"/>
      <c r="D793" s="1030"/>
      <c r="E793" s="1030"/>
      <c r="F793" s="1030"/>
      <c r="G793" s="1028"/>
    </row>
    <row r="794" spans="1:9" ht="14.25">
      <c r="A794" s="177"/>
      <c r="B794" s="523" t="s">
        <v>313</v>
      </c>
      <c r="C794" s="1029"/>
      <c r="D794" s="1286" t="s">
        <v>2077</v>
      </c>
      <c r="E794" s="1286"/>
      <c r="F794" s="1286"/>
      <c r="G794" s="1028"/>
      <c r="I794" s="1068" t="s">
        <v>2290</v>
      </c>
    </row>
    <row r="795" spans="1:9" ht="14.25">
      <c r="A795" s="177"/>
      <c r="B795" s="177"/>
      <c r="C795" s="1029"/>
      <c r="D795" s="1286"/>
      <c r="E795" s="1286"/>
      <c r="F795" s="1286"/>
      <c r="G795" s="1028"/>
    </row>
    <row r="796" spans="1:9" ht="14.25">
      <c r="A796" s="177"/>
      <c r="B796" s="177"/>
      <c r="C796" s="1029"/>
      <c r="D796" s="1286"/>
      <c r="E796" s="1286"/>
      <c r="F796" s="1286"/>
      <c r="G796" s="1028"/>
    </row>
    <row r="797" spans="1:9" ht="14.25">
      <c r="A797" s="177"/>
      <c r="B797" s="177"/>
      <c r="C797" s="1029"/>
      <c r="D797" s="1286"/>
      <c r="E797" s="1286"/>
      <c r="F797" s="1286"/>
      <c r="G797" s="1028"/>
    </row>
    <row r="798" spans="1:9" ht="14.25">
      <c r="A798" s="177"/>
      <c r="B798" s="177"/>
      <c r="C798" s="1029"/>
      <c r="D798" s="1286"/>
      <c r="E798" s="1286"/>
      <c r="F798" s="1286"/>
      <c r="G798" s="1028"/>
    </row>
    <row r="799" spans="1:9" ht="14.25">
      <c r="A799" s="177"/>
      <c r="B799" s="177"/>
      <c r="C799" s="1029"/>
      <c r="D799" s="1286"/>
      <c r="E799" s="1286"/>
      <c r="F799" s="1286"/>
      <c r="G799" s="1028"/>
    </row>
    <row r="800" spans="1:9" ht="14.25">
      <c r="A800" s="177"/>
      <c r="B800" s="177"/>
      <c r="C800" s="1029"/>
      <c r="D800" s="1022"/>
      <c r="E800" s="1022"/>
      <c r="F800" s="1022"/>
      <c r="G800" s="1028"/>
    </row>
    <row r="801" spans="1:9" ht="14.25">
      <c r="A801" s="177"/>
      <c r="B801" s="523" t="s">
        <v>313</v>
      </c>
      <c r="C801" s="1029"/>
      <c r="D801" s="1286" t="s">
        <v>2078</v>
      </c>
      <c r="E801" s="1286"/>
      <c r="F801" s="1286"/>
      <c r="G801" s="1028"/>
      <c r="I801" s="1068" t="s">
        <v>2290</v>
      </c>
    </row>
    <row r="802" spans="1:9" ht="14.25">
      <c r="A802" s="177"/>
      <c r="B802" s="177"/>
      <c r="C802" s="1029"/>
      <c r="D802" s="1286"/>
      <c r="E802" s="1286"/>
      <c r="F802" s="1286"/>
      <c r="G802" s="1028"/>
    </row>
    <row r="803" spans="1:9" ht="14.25">
      <c r="A803" s="177"/>
      <c r="B803" s="177"/>
      <c r="C803" s="1029"/>
      <c r="D803" s="1286"/>
      <c r="E803" s="1286"/>
      <c r="F803" s="1286"/>
      <c r="G803" s="1028"/>
    </row>
    <row r="804" spans="1:9" ht="14.25">
      <c r="A804" s="177"/>
      <c r="B804" s="177"/>
      <c r="C804" s="1029"/>
      <c r="D804" s="1286"/>
      <c r="E804" s="1286"/>
      <c r="F804" s="1286"/>
      <c r="G804" s="1028"/>
    </row>
    <row r="805" spans="1:9" ht="14.25">
      <c r="A805" s="177"/>
      <c r="B805" s="177"/>
      <c r="C805" s="1029"/>
      <c r="D805" s="1286"/>
      <c r="E805" s="1286"/>
      <c r="F805" s="1286"/>
      <c r="G805" s="1028"/>
    </row>
    <row r="806" spans="1:9" ht="14.25">
      <c r="A806" s="177"/>
      <c r="B806" s="177"/>
      <c r="C806" s="1029"/>
      <c r="D806" s="1286"/>
      <c r="E806" s="1286"/>
      <c r="F806" s="1286"/>
      <c r="G806" s="1028"/>
    </row>
    <row r="807" spans="1:9" ht="14.25">
      <c r="A807" s="177"/>
      <c r="B807" s="177"/>
      <c r="C807" s="1029"/>
      <c r="D807" s="1022"/>
      <c r="E807" s="1022"/>
      <c r="F807" s="1022"/>
      <c r="G807" s="1028"/>
    </row>
    <row r="808" spans="1:9" ht="14.25">
      <c r="A808" s="177"/>
      <c r="B808" s="523" t="s">
        <v>313</v>
      </c>
      <c r="C808" s="1029"/>
      <c r="D808" s="1283" t="s">
        <v>2079</v>
      </c>
      <c r="E808" s="1283"/>
      <c r="F808" s="1283"/>
      <c r="G808" s="1028"/>
      <c r="I808" s="1068" t="s">
        <v>2290</v>
      </c>
    </row>
    <row r="809" spans="1:9" ht="14.25">
      <c r="A809" s="177"/>
      <c r="B809" s="177"/>
      <c r="C809" s="1029"/>
      <c r="D809" s="1283"/>
      <c r="E809" s="1283"/>
      <c r="F809" s="1283"/>
      <c r="G809" s="1028"/>
    </row>
    <row r="810" spans="1:9">
      <c r="A810" s="13"/>
      <c r="B810" s="13"/>
      <c r="C810" s="1029"/>
      <c r="D810" s="1283"/>
      <c r="E810" s="1283"/>
      <c r="F810" s="1283"/>
      <c r="G810" s="1028"/>
    </row>
    <row r="811" spans="1:9" ht="14.25">
      <c r="A811" s="177"/>
      <c r="B811" s="13"/>
      <c r="C811" s="1029"/>
      <c r="D811" s="1283"/>
      <c r="E811" s="1283"/>
      <c r="F811" s="1283"/>
      <c r="G811" s="1028"/>
    </row>
    <row r="812" spans="1:9" ht="12.75" customHeight="1">
      <c r="A812" s="177"/>
      <c r="B812" s="13"/>
      <c r="C812" s="1029"/>
      <c r="D812" s="1283"/>
      <c r="E812" s="1283"/>
      <c r="F812" s="1283"/>
      <c r="G812" s="1028"/>
    </row>
    <row r="813" spans="1:9" ht="12.75" customHeight="1">
      <c r="A813" s="177"/>
      <c r="B813" s="13"/>
      <c r="C813" s="1029"/>
      <c r="D813" s="1283"/>
      <c r="E813" s="1283"/>
      <c r="F813" s="1283"/>
      <c r="G813" s="1028"/>
    </row>
    <row r="814" spans="1:9" ht="12.75" customHeight="1">
      <c r="A814" s="13"/>
      <c r="B814" s="13"/>
      <c r="C814" s="1029"/>
      <c r="D814" s="1028"/>
      <c r="E814" s="3"/>
      <c r="F814" s="3"/>
      <c r="G814" s="1028"/>
    </row>
    <row r="815" spans="1:9" ht="12.75" customHeight="1">
      <c r="A815" s="1291" t="s">
        <v>2080</v>
      </c>
      <c r="B815" s="1291"/>
      <c r="C815" s="1291"/>
      <c r="D815" s="1291"/>
      <c r="E815" s="1291"/>
      <c r="F815" s="1291"/>
      <c r="G815" s="1291"/>
      <c r="H815" s="1074"/>
      <c r="I815" s="1075"/>
    </row>
    <row r="816" spans="1:9" ht="12.75" customHeight="1">
      <c r="A816" s="173"/>
      <c r="B816" s="173"/>
      <c r="C816" s="1029"/>
      <c r="D816" s="1028"/>
      <c r="E816" s="1028"/>
      <c r="F816" s="1028"/>
      <c r="G816" s="1028"/>
    </row>
    <row r="817" spans="1:9" ht="12.75" customHeight="1">
      <c r="A817" s="177"/>
      <c r="B817" s="177"/>
      <c r="C817" s="388"/>
      <c r="D817" s="1278" t="s">
        <v>2121</v>
      </c>
      <c r="E817" s="1278"/>
      <c r="F817" s="1278"/>
      <c r="G817" s="3"/>
    </row>
    <row r="818" spans="1:9" ht="14.25" customHeight="1">
      <c r="A818" s="177"/>
      <c r="B818" s="177"/>
      <c r="C818" s="388"/>
      <c r="D818" s="1246" t="s">
        <v>2081</v>
      </c>
      <c r="E818" s="1246"/>
      <c r="F818" s="1246"/>
      <c r="G818" s="3"/>
    </row>
    <row r="819" spans="1:9" ht="12.75" customHeight="1">
      <c r="A819" s="177"/>
      <c r="B819" s="177"/>
      <c r="C819" s="388"/>
      <c r="D819" s="478"/>
      <c r="E819" s="478"/>
      <c r="F819" s="478"/>
      <c r="G819" s="3"/>
    </row>
    <row r="820" spans="1:9" ht="12.75" customHeight="1">
      <c r="A820" s="388"/>
      <c r="B820" s="523" t="s">
        <v>313</v>
      </c>
      <c r="C820" s="1029"/>
      <c r="D820" s="1246" t="s">
        <v>2082</v>
      </c>
      <c r="E820" s="1246"/>
      <c r="F820" s="1246"/>
      <c r="G820" s="3"/>
      <c r="I820" s="438" t="s">
        <v>2258</v>
      </c>
    </row>
    <row r="821" spans="1:9" ht="14.25" customHeight="1">
      <c r="A821" s="13"/>
      <c r="B821" s="13"/>
      <c r="C821" s="1029"/>
      <c r="E821" s="1123" t="s">
        <v>2346</v>
      </c>
      <c r="F821" s="1126"/>
      <c r="G821" s="3"/>
    </row>
    <row r="822" spans="1:9" ht="12.75" customHeight="1">
      <c r="A822" s="13"/>
      <c r="B822" s="13"/>
      <c r="C822" s="1029"/>
      <c r="D822" s="1031"/>
      <c r="E822" s="3"/>
      <c r="F822" s="3"/>
      <c r="G822" s="3"/>
    </row>
    <row r="823" spans="1:9" ht="14.25" hidden="1" customHeight="1">
      <c r="A823" s="13"/>
      <c r="B823" s="523" t="s">
        <v>313</v>
      </c>
      <c r="C823" s="1029"/>
      <c r="D823" s="1314" t="s">
        <v>2551</v>
      </c>
      <c r="E823" s="1314"/>
      <c r="F823" s="1314"/>
      <c r="G823" s="3"/>
    </row>
    <row r="824" spans="1:9" ht="12.75" hidden="1" customHeight="1">
      <c r="A824" s="13"/>
      <c r="B824" s="13"/>
      <c r="C824" s="1029"/>
      <c r="D824" s="1314"/>
      <c r="E824" s="1314"/>
      <c r="F824" s="1314"/>
      <c r="G824" s="3"/>
    </row>
    <row r="825" spans="1:9" ht="12.75" hidden="1" customHeight="1">
      <c r="A825" s="13"/>
      <c r="B825" s="13"/>
      <c r="C825" s="1029"/>
      <c r="D825" s="1314"/>
      <c r="E825" s="1314"/>
      <c r="F825" s="1314"/>
      <c r="G825" s="3"/>
    </row>
    <row r="826" spans="1:9" ht="12.75" hidden="1" customHeight="1">
      <c r="A826" s="13"/>
      <c r="B826" s="13"/>
      <c r="C826" s="1029"/>
      <c r="D826" s="1314"/>
      <c r="E826" s="1314"/>
      <c r="F826" s="1314"/>
      <c r="G826" s="3"/>
    </row>
    <row r="827" spans="1:9" ht="12.75" hidden="1" customHeight="1">
      <c r="A827" s="13"/>
      <c r="B827" s="13"/>
      <c r="C827" s="1029"/>
      <c r="D827" s="1314"/>
      <c r="E827" s="1314"/>
      <c r="F827" s="1314"/>
      <c r="G827" s="3"/>
    </row>
    <row r="828" spans="1:9" ht="12.75" hidden="1" customHeight="1">
      <c r="A828" s="13"/>
      <c r="B828" s="13"/>
      <c r="C828" s="1029"/>
      <c r="D828" s="1314"/>
      <c r="E828" s="1314"/>
      <c r="F828" s="1314"/>
      <c r="G828" s="3"/>
    </row>
    <row r="829" spans="1:9" ht="12.75" hidden="1" customHeight="1">
      <c r="A829" s="13"/>
      <c r="B829" s="13"/>
      <c r="C829" s="1029"/>
      <c r="D829" s="1314"/>
      <c r="E829" s="1314"/>
      <c r="F829" s="1314"/>
      <c r="G829" s="3"/>
    </row>
    <row r="830" spans="1:9" ht="12.75" hidden="1" customHeight="1">
      <c r="A830" s="13"/>
      <c r="B830" s="13"/>
      <c r="C830" s="1029"/>
      <c r="D830" s="1314"/>
      <c r="E830" s="1314"/>
      <c r="F830" s="1314"/>
      <c r="G830" s="3"/>
    </row>
    <row r="831" spans="1:9" ht="12.75" hidden="1" customHeight="1">
      <c r="A831" s="13"/>
      <c r="B831" s="13"/>
      <c r="C831" s="1029"/>
      <c r="D831" s="1314"/>
      <c r="E831" s="1314"/>
      <c r="F831" s="1314"/>
      <c r="G831" s="3"/>
    </row>
    <row r="832" spans="1:9" ht="12.75" hidden="1" customHeight="1">
      <c r="A832" s="13"/>
      <c r="B832" s="13"/>
      <c r="C832" s="1029"/>
      <c r="D832" s="1314"/>
      <c r="E832" s="1314"/>
      <c r="F832" s="1314"/>
      <c r="G832" s="3"/>
    </row>
    <row r="833" spans="1:9" ht="12.75" hidden="1" customHeight="1">
      <c r="A833" s="13"/>
      <c r="B833" s="13"/>
      <c r="C833" s="1029"/>
      <c r="D833" s="1031"/>
      <c r="E833" s="3"/>
      <c r="F833" s="3"/>
      <c r="G833" s="3"/>
    </row>
    <row r="834" spans="1:9" ht="12.75" customHeight="1">
      <c r="A834" s="177"/>
      <c r="B834" s="523" t="s">
        <v>313</v>
      </c>
      <c r="C834" s="1029"/>
      <c r="D834" s="1246" t="s">
        <v>2083</v>
      </c>
      <c r="E834" s="1246"/>
      <c r="F834" s="1246"/>
      <c r="G834" s="3"/>
      <c r="I834" s="438" t="s">
        <v>2276</v>
      </c>
    </row>
    <row r="835" spans="1:9" ht="12.75" customHeight="1">
      <c r="A835" s="177"/>
      <c r="B835" s="177"/>
      <c r="C835" s="1029"/>
      <c r="D835" s="1246"/>
      <c r="E835" s="1246"/>
      <c r="F835" s="1246"/>
      <c r="G835" s="3"/>
    </row>
    <row r="836" spans="1:9" ht="12.75" customHeight="1">
      <c r="A836" s="177"/>
      <c r="B836" s="177"/>
      <c r="C836" s="1029"/>
      <c r="D836" s="1246"/>
      <c r="E836" s="1246"/>
      <c r="F836" s="1246"/>
      <c r="G836" s="3"/>
    </row>
    <row r="837" spans="1:9" ht="12.75" customHeight="1">
      <c r="A837" s="177"/>
      <c r="B837" s="177"/>
      <c r="C837" s="1029"/>
      <c r="D837" s="118"/>
      <c r="E837" s="3"/>
      <c r="F837" s="3"/>
      <c r="G837" s="3"/>
    </row>
    <row r="838" spans="1:9" ht="12.75" customHeight="1">
      <c r="A838" s="1032"/>
      <c r="B838" s="523" t="s">
        <v>313</v>
      </c>
      <c r="C838" s="1029"/>
      <c r="D838" s="1278" t="s">
        <v>2084</v>
      </c>
      <c r="E838" s="1278"/>
      <c r="F838" s="1278"/>
      <c r="G838" s="3"/>
    </row>
    <row r="839" spans="1:9" ht="12.75" customHeight="1">
      <c r="A839" s="388"/>
      <c r="B839" s="1032"/>
      <c r="C839" s="1029"/>
      <c r="D839" s="1278"/>
      <c r="E839" s="1278"/>
      <c r="F839" s="1278"/>
      <c r="G839" s="3"/>
    </row>
    <row r="840" spans="1:9" ht="12.75" customHeight="1">
      <c r="A840" s="177"/>
      <c r="B840" s="388"/>
      <c r="C840" s="1029"/>
      <c r="D840" s="1246" t="s">
        <v>2542</v>
      </c>
      <c r="E840" s="1246"/>
      <c r="F840" s="1246"/>
      <c r="G840" s="3"/>
    </row>
    <row r="841" spans="1:9" ht="12.75" customHeight="1">
      <c r="A841" s="177"/>
      <c r="B841" s="177"/>
      <c r="C841" s="1029"/>
      <c r="D841" s="1246"/>
      <c r="E841" s="1246"/>
      <c r="F841" s="1246"/>
      <c r="G841" s="3"/>
    </row>
    <row r="842" spans="1:9" ht="12.75" customHeight="1">
      <c r="A842" s="177"/>
      <c r="B842" s="177"/>
      <c r="C842" s="1029"/>
      <c r="D842" s="1246"/>
      <c r="E842" s="1246"/>
      <c r="F842" s="1246"/>
      <c r="G842" s="3"/>
    </row>
    <row r="843" spans="1:9" ht="12.75" customHeight="1">
      <c r="A843" s="177"/>
      <c r="B843" s="177"/>
      <c r="C843" s="1029"/>
      <c r="D843" s="1246"/>
      <c r="E843" s="1246"/>
      <c r="F843" s="1246"/>
      <c r="G843" s="3"/>
    </row>
    <row r="844" spans="1:9" ht="12.75" customHeight="1">
      <c r="A844" s="177"/>
      <c r="B844" s="177"/>
      <c r="C844" s="1029"/>
      <c r="D844" s="1246"/>
      <c r="E844" s="1246"/>
      <c r="F844" s="1246"/>
      <c r="G844" s="3"/>
    </row>
    <row r="845" spans="1:9" ht="12.75" customHeight="1">
      <c r="A845" s="177"/>
      <c r="B845" s="177"/>
      <c r="C845" s="1029"/>
      <c r="D845" s="1246"/>
      <c r="E845" s="1246"/>
      <c r="F845" s="1246"/>
      <c r="G845" s="3"/>
    </row>
    <row r="846" spans="1:9" ht="12.75" customHeight="1">
      <c r="A846" s="177"/>
      <c r="B846" s="177"/>
      <c r="C846" s="1029"/>
      <c r="D846" s="118"/>
      <c r="E846" s="3"/>
      <c r="F846" s="3"/>
      <c r="G846" s="3"/>
    </row>
    <row r="847" spans="1:9" ht="12.75" customHeight="1">
      <c r="A847" s="177"/>
      <c r="B847" s="523" t="s">
        <v>313</v>
      </c>
      <c r="C847" s="1029"/>
      <c r="D847" s="1246" t="s">
        <v>2085</v>
      </c>
      <c r="E847" s="1246"/>
      <c r="F847" s="1246"/>
      <c r="G847" s="3"/>
      <c r="I847" s="438" t="s">
        <v>2259</v>
      </c>
    </row>
    <row r="848" spans="1:9" ht="12.75" customHeight="1">
      <c r="A848" s="177"/>
      <c r="B848" s="177"/>
      <c r="C848" s="1029"/>
      <c r="D848" s="1246" t="s">
        <v>2086</v>
      </c>
      <c r="E848" s="1246"/>
      <c r="F848" s="1246"/>
      <c r="G848" s="3"/>
    </row>
    <row r="849" spans="1:9" ht="12.75" customHeight="1">
      <c r="A849" s="177"/>
      <c r="B849" s="177"/>
      <c r="C849" s="1029"/>
      <c r="E849" s="1123" t="s">
        <v>2348</v>
      </c>
      <c r="F849" s="1126"/>
      <c r="G849" s="3"/>
    </row>
    <row r="850" spans="1:9" ht="12.75" customHeight="1">
      <c r="A850" s="177"/>
      <c r="B850" s="177"/>
      <c r="C850" s="1029"/>
      <c r="D850" s="118"/>
      <c r="E850" s="3"/>
      <c r="F850" s="3"/>
      <c r="G850" s="3"/>
    </row>
    <row r="851" spans="1:9" ht="12.75" customHeight="1">
      <c r="A851" s="177"/>
      <c r="B851" s="523" t="s">
        <v>313</v>
      </c>
      <c r="C851" s="1029"/>
      <c r="D851" s="1246" t="s">
        <v>2087</v>
      </c>
      <c r="E851" s="1246"/>
      <c r="F851" s="1246"/>
      <c r="G851" s="3"/>
      <c r="I851" s="438" t="s">
        <v>2277</v>
      </c>
    </row>
    <row r="852" spans="1:9" ht="12.75" customHeight="1">
      <c r="A852" s="177"/>
      <c r="B852" s="177"/>
      <c r="C852" s="1029"/>
      <c r="D852" s="1246"/>
      <c r="E852" s="1246"/>
      <c r="F852" s="1246"/>
      <c r="G852" s="3"/>
    </row>
    <row r="853" spans="1:9" ht="12.75" customHeight="1">
      <c r="A853" s="177"/>
      <c r="B853" s="177"/>
      <c r="C853" s="1029"/>
      <c r="D853" s="1246"/>
      <c r="E853" s="1246"/>
      <c r="F853" s="1246"/>
      <c r="G853" s="3"/>
    </row>
    <row r="854" spans="1:9" ht="12.75" customHeight="1">
      <c r="A854" s="177"/>
      <c r="B854" s="177"/>
      <c r="C854" s="1029"/>
      <c r="D854" s="1246"/>
      <c r="E854" s="1246"/>
      <c r="F854" s="1246"/>
      <c r="G854" s="3"/>
    </row>
    <row r="855" spans="1:9" ht="12.75" customHeight="1">
      <c r="A855" s="173"/>
      <c r="B855" s="173"/>
      <c r="C855" s="173"/>
      <c r="D855" s="118"/>
      <c r="E855" s="3"/>
      <c r="F855" s="3"/>
      <c r="G855" s="3"/>
    </row>
    <row r="856" spans="1:9" ht="12.75" customHeight="1">
      <c r="A856" s="1023" t="s">
        <v>2088</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61" t="s">
        <v>2122</v>
      </c>
      <c r="E858" s="1261"/>
      <c r="F858" s="1261"/>
      <c r="G858" s="1028"/>
    </row>
    <row r="859" spans="1:9" ht="12.75" customHeight="1">
      <c r="A859" s="388"/>
      <c r="B859" s="388"/>
      <c r="C859" s="176"/>
      <c r="D859" s="1313" t="s">
        <v>2089</v>
      </c>
      <c r="E859" s="1313"/>
      <c r="F859" s="1313"/>
      <c r="G859" s="1028"/>
    </row>
    <row r="860" spans="1:9" ht="12.75" customHeight="1">
      <c r="A860" s="388"/>
      <c r="B860" s="388"/>
      <c r="C860" s="176"/>
      <c r="D860" s="1035"/>
      <c r="E860" s="1035"/>
      <c r="F860" s="1035"/>
      <c r="G860" s="1028"/>
    </row>
    <row r="861" spans="1:9" ht="12.75" customHeight="1">
      <c r="A861" s="177"/>
      <c r="B861" s="523" t="s">
        <v>313</v>
      </c>
      <c r="C861" s="388"/>
      <c r="D861" s="1256" t="s">
        <v>2090</v>
      </c>
      <c r="E861" s="1256"/>
      <c r="F861" s="1256"/>
      <c r="G861" s="1028"/>
      <c r="I861" s="438" t="s">
        <v>2259</v>
      </c>
    </row>
    <row r="862" spans="1:9" ht="12.75" customHeight="1">
      <c r="A862" s="388"/>
      <c r="B862" s="388"/>
      <c r="C862" s="388"/>
      <c r="D862" s="2" t="s">
        <v>2065</v>
      </c>
      <c r="E862" s="1123" t="s">
        <v>2348</v>
      </c>
      <c r="F862" s="1127"/>
      <c r="G862" s="1028"/>
    </row>
    <row r="863" spans="1:9" ht="12.75" customHeight="1">
      <c r="A863" s="388"/>
      <c r="B863" s="388"/>
      <c r="C863" s="388"/>
      <c r="D863" s="118"/>
      <c r="E863" s="1028"/>
      <c r="F863" s="1028"/>
      <c r="G863" s="1028"/>
    </row>
    <row r="864" spans="1:9" ht="12.75" customHeight="1">
      <c r="A864" s="177"/>
      <c r="B864" s="523" t="s">
        <v>313</v>
      </c>
      <c r="C864" s="388"/>
      <c r="D864" s="1246" t="s">
        <v>2091</v>
      </c>
      <c r="E864" s="1263"/>
      <c r="F864" s="1263"/>
      <c r="G864" s="3"/>
      <c r="I864" s="438" t="s">
        <v>2277</v>
      </c>
    </row>
    <row r="865" spans="1:9" ht="12.75" customHeight="1">
      <c r="A865" s="388"/>
      <c r="B865" s="388"/>
      <c r="C865" s="388"/>
      <c r="D865" s="1263"/>
      <c r="E865" s="1263"/>
      <c r="F865" s="1263"/>
      <c r="G865" s="3"/>
    </row>
    <row r="866" spans="1:9" ht="12.75" customHeight="1">
      <c r="A866" s="388"/>
      <c r="B866" s="388"/>
      <c r="C866" s="388"/>
      <c r="D866" s="118"/>
      <c r="E866" s="3"/>
      <c r="F866" s="3"/>
      <c r="G866" s="3"/>
    </row>
    <row r="867" spans="1:9" ht="12.75" customHeight="1">
      <c r="A867" s="388"/>
      <c r="B867" s="523" t="s">
        <v>313</v>
      </c>
      <c r="C867" s="388"/>
      <c r="D867" s="1311" t="s">
        <v>2092</v>
      </c>
      <c r="E867" s="1311"/>
      <c r="F867" s="1311"/>
      <c r="G867" s="1028"/>
    </row>
    <row r="868" spans="1:9" ht="12.75" customHeight="1">
      <c r="A868" s="388"/>
      <c r="B868" s="1036"/>
      <c r="C868" s="388"/>
      <c r="D868" s="1311"/>
      <c r="E868" s="1311"/>
      <c r="F868" s="1311"/>
      <c r="G868" s="1028"/>
    </row>
    <row r="869" spans="1:9" ht="12.75" customHeight="1">
      <c r="A869" s="177"/>
      <c r="B869"/>
      <c r="C869" s="388"/>
      <c r="D869" s="1246" t="s">
        <v>2542</v>
      </c>
      <c r="E869" s="1246"/>
      <c r="F869" s="1246"/>
      <c r="G869" s="1028"/>
    </row>
    <row r="870" spans="1:9" ht="12.75" customHeight="1">
      <c r="A870" s="177"/>
      <c r="B870" s="177"/>
      <c r="C870" s="388"/>
      <c r="D870" s="1246"/>
      <c r="E870" s="1246"/>
      <c r="F870" s="1246"/>
      <c r="G870" s="1028"/>
    </row>
    <row r="871" spans="1:9" ht="12.75" customHeight="1">
      <c r="A871" s="177"/>
      <c r="B871" s="177"/>
      <c r="C871" s="388"/>
      <c r="D871" s="1246"/>
      <c r="E871" s="1246"/>
      <c r="F871" s="1246"/>
      <c r="G871" s="1028"/>
    </row>
    <row r="872" spans="1:9" ht="12.75" customHeight="1">
      <c r="A872" s="177"/>
      <c r="B872" s="177"/>
      <c r="C872" s="388"/>
      <c r="D872" s="1246"/>
      <c r="E872" s="1246"/>
      <c r="F872" s="1246"/>
      <c r="G872" s="1028"/>
    </row>
    <row r="873" spans="1:9" ht="12.75" customHeight="1">
      <c r="A873" s="177"/>
      <c r="B873" s="177"/>
      <c r="C873" s="388"/>
      <c r="D873" s="1246"/>
      <c r="E873" s="1246"/>
      <c r="F873" s="1246"/>
      <c r="G873" s="1028"/>
    </row>
    <row r="874" spans="1:9" ht="12.75" customHeight="1">
      <c r="A874" s="177"/>
      <c r="B874" s="177"/>
      <c r="C874" s="388"/>
      <c r="D874" s="1246"/>
      <c r="E874" s="1246"/>
      <c r="F874" s="1246"/>
      <c r="G874" s="1028"/>
    </row>
    <row r="875" spans="1:9" ht="12.75" customHeight="1">
      <c r="A875" s="177"/>
      <c r="B875" s="177"/>
      <c r="C875" s="388"/>
      <c r="D875" s="118"/>
      <c r="E875" s="1028"/>
      <c r="F875" s="1028"/>
      <c r="G875" s="1028"/>
    </row>
    <row r="876" spans="1:9" ht="12.75" customHeight="1">
      <c r="A876" s="177"/>
      <c r="B876" s="523" t="s">
        <v>313</v>
      </c>
      <c r="C876" s="388"/>
      <c r="D876" s="1289" t="s">
        <v>2085</v>
      </c>
      <c r="E876" s="1289"/>
      <c r="F876" s="1289"/>
      <c r="G876" s="1028"/>
      <c r="I876" s="438" t="s">
        <v>2259</v>
      </c>
    </row>
    <row r="877" spans="1:9" ht="12.75" customHeight="1">
      <c r="A877" s="177"/>
      <c r="B877" s="177"/>
      <c r="C877" s="388"/>
      <c r="D877" s="1289" t="s">
        <v>2086</v>
      </c>
      <c r="E877" s="1289"/>
      <c r="F877" s="1289"/>
      <c r="G877" s="1028"/>
    </row>
    <row r="878" spans="1:9" ht="12.75" customHeight="1">
      <c r="A878" s="177"/>
      <c r="B878" s="177"/>
      <c r="C878" s="388"/>
      <c r="D878" s="2" t="s">
        <v>1452</v>
      </c>
      <c r="E878" s="1123" t="s">
        <v>2348</v>
      </c>
      <c r="F878" s="1128"/>
      <c r="G878" s="1028"/>
    </row>
    <row r="879" spans="1:9" ht="12.75" customHeight="1">
      <c r="A879" s="177"/>
      <c r="B879" s="177"/>
      <c r="C879" s="388"/>
      <c r="D879" s="118"/>
      <c r="E879" s="1028"/>
      <c r="F879" s="1028"/>
      <c r="G879" s="1028"/>
    </row>
    <row r="880" spans="1:9" ht="12.75" customHeight="1">
      <c r="A880" s="177"/>
      <c r="B880" s="523" t="s">
        <v>313</v>
      </c>
      <c r="C880" s="388"/>
      <c r="D880" s="1246" t="s">
        <v>2087</v>
      </c>
      <c r="E880" s="1246"/>
      <c r="F880" s="1246"/>
      <c r="G880" s="1028"/>
      <c r="I880" s="438" t="s">
        <v>2277</v>
      </c>
    </row>
    <row r="881" spans="1:9" ht="12.75" customHeight="1">
      <c r="A881" s="177"/>
      <c r="B881" s="177"/>
      <c r="C881" s="388"/>
      <c r="D881" s="1246"/>
      <c r="E881" s="1246"/>
      <c r="F881" s="1246"/>
      <c r="G881" s="1028"/>
    </row>
    <row r="882" spans="1:9" ht="12.75" customHeight="1">
      <c r="A882" s="177"/>
      <c r="B882" s="177"/>
      <c r="C882" s="388"/>
      <c r="D882" s="1246"/>
      <c r="E882" s="1246"/>
      <c r="F882" s="1246"/>
      <c r="G882" s="1028"/>
    </row>
    <row r="883" spans="1:9" ht="12.75" customHeight="1">
      <c r="A883" s="177"/>
      <c r="B883" s="177"/>
      <c r="C883" s="388"/>
      <c r="D883" s="1246"/>
      <c r="E883" s="1246"/>
      <c r="F883" s="1246"/>
      <c r="G883" s="1028"/>
    </row>
    <row r="884" spans="1:9" ht="12.75" customHeight="1">
      <c r="A884" s="118"/>
      <c r="B884" s="118"/>
      <c r="C884" s="1029"/>
      <c r="D884" s="1028"/>
      <c r="E884" s="1028"/>
      <c r="F884" s="1028"/>
      <c r="G884" s="1028"/>
    </row>
    <row r="885" spans="1:9" ht="12.75" customHeight="1">
      <c r="A885" s="1291" t="s">
        <v>2123</v>
      </c>
      <c r="B885" s="1291"/>
      <c r="C885" s="1291"/>
      <c r="D885" s="1291"/>
      <c r="E885" s="1291"/>
      <c r="F885" s="1291"/>
      <c r="G885" s="1291"/>
      <c r="H885" s="1074"/>
      <c r="I885" s="1075"/>
    </row>
    <row r="886" spans="1:9" ht="12.75" customHeight="1">
      <c r="A886" s="57"/>
      <c r="B886" s="57"/>
      <c r="C886" s="57"/>
      <c r="D886" s="57"/>
      <c r="E886" s="57"/>
      <c r="F886" s="57"/>
      <c r="G886" s="57"/>
    </row>
    <row r="887" spans="1:9" ht="12.75" customHeight="1">
      <c r="A887" s="57"/>
      <c r="B887" s="57"/>
      <c r="C887" s="57"/>
      <c r="D887" s="1285" t="s">
        <v>2129</v>
      </c>
      <c r="E887" s="1285"/>
      <c r="F887" s="1285"/>
      <c r="G887" s="57"/>
    </row>
    <row r="888" spans="1:9" ht="12.75" customHeight="1">
      <c r="A888" s="57"/>
      <c r="B888" s="57"/>
      <c r="C888" s="57"/>
      <c r="D888" s="1021"/>
      <c r="E888" s="1021"/>
      <c r="F888" s="1021"/>
      <c r="G888" s="57"/>
    </row>
    <row r="889" spans="1:9" ht="12.75" customHeight="1">
      <c r="A889" s="57"/>
      <c r="B889" s="523" t="s">
        <v>313</v>
      </c>
      <c r="C889" s="57"/>
      <c r="D889" s="1024" t="s">
        <v>2130</v>
      </c>
      <c r="E889" s="1021"/>
      <c r="F889" s="1021"/>
      <c r="G889" s="57"/>
      <c r="I889" s="438" t="s">
        <v>2291</v>
      </c>
    </row>
    <row r="890" spans="1:9" ht="12.75" customHeight="1">
      <c r="A890" s="57"/>
      <c r="B890" s="57"/>
      <c r="C890" s="57"/>
      <c r="D890" s="1021"/>
      <c r="E890" s="1021"/>
      <c r="F890" s="1021"/>
      <c r="G890" s="57"/>
    </row>
    <row r="891" spans="1:9" ht="12.75" customHeight="1">
      <c r="A891" s="388"/>
      <c r="B891" s="388"/>
      <c r="C891" s="1029"/>
      <c r="D891" s="1285" t="s">
        <v>2124</v>
      </c>
      <c r="E891" s="1285"/>
      <c r="F891" s="1285"/>
      <c r="G891" s="1028"/>
    </row>
    <row r="892" spans="1:9" ht="12.75" customHeight="1">
      <c r="A892" s="173"/>
      <c r="B892" s="173"/>
      <c r="C892" s="173"/>
      <c r="D892" s="1256" t="s">
        <v>2093</v>
      </c>
      <c r="E892" s="1256"/>
      <c r="F892" s="1256"/>
      <c r="G892" s="1028"/>
    </row>
    <row r="893" spans="1:9" ht="12.75" customHeight="1">
      <c r="A893" s="1029"/>
      <c r="B893" s="1029"/>
      <c r="C893" s="1029"/>
      <c r="D893" s="2"/>
      <c r="E893" s="1028"/>
      <c r="F893" s="1028"/>
      <c r="G893" s="1028"/>
    </row>
    <row r="894" spans="1:9" ht="12.75" customHeight="1">
      <c r="A894" s="177"/>
      <c r="B894" s="523" t="s">
        <v>313</v>
      </c>
      <c r="C894" s="388"/>
      <c r="D894" s="1246" t="s">
        <v>2097</v>
      </c>
      <c r="E894" s="1246"/>
      <c r="F894" s="1246"/>
      <c r="G894" s="3"/>
      <c r="I894" s="438" t="s">
        <v>2243</v>
      </c>
    </row>
    <row r="895" spans="1:9" ht="12.75" customHeight="1">
      <c r="A895" s="388"/>
      <c r="B895" s="388"/>
      <c r="C895" s="388"/>
      <c r="D895" s="1246"/>
      <c r="E895" s="1246"/>
      <c r="F895" s="1246"/>
      <c r="G895" s="3"/>
    </row>
    <row r="896" spans="1:9" ht="12.75" customHeight="1">
      <c r="A896" s="173"/>
      <c r="B896" s="173"/>
      <c r="C896" s="173"/>
      <c r="D896" s="1246" t="s">
        <v>2096</v>
      </c>
      <c r="E896" s="1246"/>
      <c r="F896" s="1246"/>
      <c r="G896" s="1028"/>
    </row>
    <row r="897" spans="1:9" ht="12.75" customHeight="1">
      <c r="A897" s="173"/>
      <c r="B897" s="173"/>
      <c r="C897" s="173"/>
      <c r="D897" s="1246"/>
      <c r="E897" s="1246"/>
      <c r="F897" s="1246"/>
      <c r="G897" s="1028"/>
    </row>
    <row r="898" spans="1:9" ht="12.75" customHeight="1">
      <c r="A898" s="173"/>
      <c r="B898" s="173"/>
      <c r="C898" s="173"/>
      <c r="D898" s="3"/>
      <c r="E898" s="3"/>
      <c r="F898" s="1028"/>
      <c r="G898" s="1028"/>
    </row>
    <row r="899" spans="1:9" ht="12.75" customHeight="1">
      <c r="A899" s="177"/>
      <c r="B899" s="523" t="s">
        <v>313</v>
      </c>
      <c r="C899" s="176"/>
      <c r="D899" s="1255" t="s">
        <v>2094</v>
      </c>
      <c r="E899" s="1255"/>
      <c r="F899" s="1255"/>
      <c r="G899" s="1028"/>
      <c r="I899" s="438" t="s">
        <v>2242</v>
      </c>
    </row>
    <row r="900" spans="1:9" ht="12.75" customHeight="1">
      <c r="A900" s="177"/>
      <c r="B900" s="177"/>
      <c r="C900" s="176"/>
      <c r="D900" s="1255"/>
      <c r="E900" s="1255"/>
      <c r="F900" s="1255"/>
      <c r="G900" s="1028"/>
    </row>
    <row r="901" spans="1:9" ht="12.75" customHeight="1">
      <c r="A901" s="177"/>
      <c r="B901" s="177"/>
      <c r="C901" s="176"/>
      <c r="D901" s="1255"/>
      <c r="E901" s="1255"/>
      <c r="F901" s="1255"/>
      <c r="G901" s="1028"/>
    </row>
    <row r="902" spans="1:9" ht="12.75" customHeight="1">
      <c r="A902" s="177"/>
      <c r="B902" s="177"/>
      <c r="C902" s="176"/>
      <c r="D902" s="1255"/>
      <c r="E902" s="1255"/>
      <c r="F902" s="1255"/>
      <c r="G902" s="1028"/>
    </row>
    <row r="903" spans="1:9" ht="12.75" customHeight="1">
      <c r="A903" s="177"/>
      <c r="B903" s="177"/>
      <c r="C903" s="176"/>
      <c r="D903" s="1255"/>
      <c r="E903" s="1255"/>
      <c r="F903" s="1255"/>
      <c r="G903" s="1028"/>
    </row>
    <row r="904" spans="1:9" ht="12.75" customHeight="1">
      <c r="A904" s="176"/>
      <c r="B904" s="176"/>
      <c r="C904" s="176"/>
      <c r="D904" s="1255"/>
      <c r="E904" s="1255"/>
      <c r="F904" s="1255"/>
      <c r="G904" s="1028"/>
    </row>
    <row r="905" spans="1:9" ht="12.75" customHeight="1">
      <c r="A905" s="176"/>
      <c r="B905" s="176"/>
      <c r="C905" s="176"/>
      <c r="D905" s="1255"/>
      <c r="E905" s="1255"/>
      <c r="F905" s="1255"/>
      <c r="G905" s="1028"/>
    </row>
    <row r="906" spans="1:9" ht="12.75" customHeight="1">
      <c r="A906" s="176"/>
      <c r="B906" s="176"/>
      <c r="C906" s="176"/>
      <c r="D906" s="1255"/>
      <c r="E906" s="1255"/>
      <c r="F906" s="1255"/>
      <c r="G906" s="1028"/>
    </row>
    <row r="907" spans="1:9" ht="12.75" customHeight="1">
      <c r="A907" s="176"/>
      <c r="B907" s="176"/>
      <c r="C907" s="176"/>
      <c r="D907" s="366"/>
      <c r="E907" s="366"/>
      <c r="F907" s="366"/>
      <c r="G907" s="1028"/>
    </row>
    <row r="908" spans="1:9" ht="12.75" customHeight="1">
      <c r="A908" s="1029"/>
      <c r="B908" s="523" t="s">
        <v>313</v>
      </c>
      <c r="C908" s="1029"/>
      <c r="D908" s="1246" t="s">
        <v>2098</v>
      </c>
      <c r="E908" s="1246"/>
      <c r="F908" s="1246"/>
      <c r="G908" s="1028"/>
    </row>
    <row r="909" spans="1:9" ht="12.75" customHeight="1">
      <c r="A909" s="1029"/>
      <c r="B909" s="1029"/>
      <c r="C909" s="1029"/>
      <c r="D909" s="1246"/>
      <c r="E909" s="1246"/>
      <c r="F909" s="1246"/>
      <c r="G909" s="1028"/>
    </row>
    <row r="910" spans="1:9" ht="12.75" customHeight="1">
      <c r="A910" s="1029"/>
      <c r="B910" s="1029"/>
      <c r="C910" s="1029"/>
      <c r="D910" s="1028"/>
      <c r="E910" s="1028"/>
      <c r="F910" s="1028"/>
      <c r="G910" s="1028"/>
    </row>
    <row r="911" spans="1:9" ht="12.75" customHeight="1">
      <c r="A911" s="1029"/>
      <c r="B911" s="523" t="s">
        <v>313</v>
      </c>
      <c r="C911" s="1029"/>
      <c r="D911" s="1283" t="s">
        <v>2099</v>
      </c>
      <c r="E911" s="1283"/>
      <c r="F911" s="1283"/>
      <c r="G911" s="1028"/>
    </row>
    <row r="912" spans="1:9" ht="12.75" customHeight="1">
      <c r="A912" s="1029"/>
      <c r="B912" s="1029"/>
      <c r="C912" s="1029"/>
      <c r="D912" s="1283"/>
      <c r="E912" s="1283"/>
      <c r="F912" s="1283"/>
      <c r="G912" s="1028"/>
    </row>
    <row r="913" spans="1:9" ht="12.75" customHeight="1">
      <c r="A913" s="1029"/>
      <c r="B913" s="1029"/>
      <c r="C913" s="1029"/>
      <c r="D913" s="1283"/>
      <c r="E913" s="1283"/>
      <c r="F913" s="1283"/>
      <c r="G913" s="1028"/>
    </row>
    <row r="914" spans="1:9" ht="12.75" customHeight="1">
      <c r="A914" s="1029"/>
      <c r="B914" s="1029"/>
      <c r="C914" s="1029"/>
      <c r="D914" s="1283"/>
      <c r="E914" s="1283"/>
      <c r="F914" s="1283"/>
      <c r="G914" s="1028"/>
    </row>
    <row r="915" spans="1:9" ht="12.75" customHeight="1">
      <c r="A915" s="1029"/>
      <c r="B915" s="1029"/>
      <c r="C915" s="1029"/>
      <c r="D915" s="118"/>
      <c r="E915" s="1028"/>
      <c r="F915" s="1028"/>
      <c r="G915" s="1028"/>
    </row>
    <row r="916" spans="1:9" ht="12.75" customHeight="1">
      <c r="A916" s="1029"/>
      <c r="B916" s="523" t="s">
        <v>313</v>
      </c>
      <c r="C916" s="1029"/>
      <c r="D916" s="1256" t="s">
        <v>2543</v>
      </c>
      <c r="E916" s="1256"/>
      <c r="F916" s="1256"/>
      <c r="G916" s="1028"/>
    </row>
    <row r="917" spans="1:9" ht="12.75" customHeight="1">
      <c r="A917" s="1029"/>
      <c r="B917" s="1029"/>
      <c r="C917" s="1029"/>
      <c r="D917" s="118"/>
      <c r="E917" s="1028"/>
      <c r="F917" s="1028"/>
      <c r="G917" s="1028"/>
    </row>
    <row r="918" spans="1:9" ht="12.75" customHeight="1">
      <c r="A918" s="1029"/>
      <c r="B918" s="523" t="s">
        <v>313</v>
      </c>
      <c r="C918" s="1029"/>
      <c r="D918" s="1256" t="s">
        <v>2544</v>
      </c>
      <c r="E918" s="1256"/>
      <c r="F918" s="1256"/>
      <c r="G918" s="1028"/>
    </row>
    <row r="919" spans="1:9" ht="12.75" customHeight="1">
      <c r="A919" s="176"/>
      <c r="B919" s="176"/>
      <c r="C919" s="176"/>
      <c r="D919" s="2"/>
      <c r="E919" s="3"/>
      <c r="F919" s="1028"/>
      <c r="G919" s="1028"/>
    </row>
    <row r="920" spans="1:9" ht="12.75" customHeight="1">
      <c r="A920" s="1037"/>
      <c r="B920" s="523" t="s">
        <v>313</v>
      </c>
      <c r="C920" s="1038"/>
      <c r="D920" s="1255" t="s">
        <v>2095</v>
      </c>
      <c r="E920" s="1255"/>
      <c r="F920" s="1255"/>
      <c r="G920" s="1039"/>
      <c r="I920" s="438" t="s">
        <v>2292</v>
      </c>
    </row>
    <row r="921" spans="1:9" ht="12.75" customHeight="1">
      <c r="A921" s="1037"/>
      <c r="B921" s="1037"/>
      <c r="C921" s="1038"/>
      <c r="D921" s="1255"/>
      <c r="E921" s="1255"/>
      <c r="F921" s="1255"/>
      <c r="G921" s="1039"/>
    </row>
    <row r="922" spans="1:9" ht="12.75" customHeight="1">
      <c r="A922" s="1037"/>
      <c r="B922" s="1037"/>
      <c r="C922" s="1038"/>
      <c r="D922" s="1255"/>
      <c r="E922" s="1255"/>
      <c r="F922" s="1255"/>
      <c r="G922" s="1039"/>
    </row>
    <row r="923" spans="1:9" ht="12.75" customHeight="1">
      <c r="A923" s="1037"/>
      <c r="B923" s="1037"/>
      <c r="C923" s="1038"/>
      <c r="D923" s="1255"/>
      <c r="E923" s="1255"/>
      <c r="F923" s="1255"/>
      <c r="G923" s="1039"/>
    </row>
    <row r="924" spans="1:9" ht="12.75" customHeight="1">
      <c r="A924" s="1037"/>
      <c r="B924" s="1037"/>
      <c r="C924" s="1038"/>
      <c r="D924" s="1255"/>
      <c r="E924" s="1255"/>
      <c r="F924" s="1255"/>
      <c r="G924" s="1039"/>
    </row>
    <row r="925" spans="1:9" ht="12.75" customHeight="1">
      <c r="A925" s="1037"/>
      <c r="B925" s="1037"/>
      <c r="C925" s="1038"/>
      <c r="D925" s="1255"/>
      <c r="E925" s="1255"/>
      <c r="F925" s="1255"/>
      <c r="G925" s="1039"/>
    </row>
    <row r="926" spans="1:9" ht="12.75" customHeight="1">
      <c r="A926" s="1037"/>
      <c r="B926" s="1037"/>
      <c r="C926" s="1038"/>
      <c r="D926" s="1255"/>
      <c r="E926" s="1255"/>
      <c r="F926" s="1255"/>
      <c r="G926" s="1039"/>
    </row>
    <row r="927" spans="1:9" ht="12.75" customHeight="1">
      <c r="A927" s="1037"/>
      <c r="B927" s="1037"/>
      <c r="C927" s="1038"/>
      <c r="D927" s="1255"/>
      <c r="E927" s="1255"/>
      <c r="F927" s="1255"/>
      <c r="G927" s="1039"/>
    </row>
    <row r="928" spans="1:9" ht="12.75" customHeight="1">
      <c r="A928" s="1037"/>
      <c r="B928" s="1037"/>
      <c r="C928" s="1038"/>
      <c r="D928" s="1255"/>
      <c r="E928" s="1255"/>
      <c r="F928" s="1255"/>
      <c r="G928" s="1039"/>
    </row>
    <row r="929" spans="1:9" ht="12.75" customHeight="1">
      <c r="A929" s="176"/>
      <c r="B929" s="176"/>
      <c r="C929" s="176"/>
      <c r="D929" s="2"/>
      <c r="E929" s="3"/>
      <c r="F929" s="1028"/>
      <c r="G929" s="1028"/>
    </row>
    <row r="930" spans="1:9" ht="12.75" customHeight="1">
      <c r="A930" s="177"/>
      <c r="B930" s="523" t="s">
        <v>313</v>
      </c>
      <c r="C930" s="176"/>
      <c r="D930" s="1312" t="s">
        <v>2295</v>
      </c>
      <c r="E930" s="1312"/>
      <c r="F930" s="1312"/>
      <c r="G930" s="1028"/>
      <c r="I930" s="438" t="s">
        <v>2292</v>
      </c>
    </row>
    <row r="931" spans="1:9" ht="12.75" customHeight="1">
      <c r="A931" s="177"/>
      <c r="B931" s="177"/>
      <c r="C931" s="176"/>
      <c r="D931" s="1312"/>
      <c r="E931" s="1312"/>
      <c r="F931" s="1312"/>
      <c r="G931" s="1028"/>
    </row>
    <row r="932" spans="1:9" ht="12.75" customHeight="1">
      <c r="A932" s="177"/>
      <c r="B932" s="177"/>
      <c r="C932" s="176"/>
      <c r="D932" s="1312"/>
      <c r="E932" s="1312"/>
      <c r="F932" s="1312"/>
      <c r="G932" s="1028"/>
    </row>
    <row r="933" spans="1:9" ht="12.75" customHeight="1">
      <c r="A933" s="177"/>
      <c r="B933" s="177"/>
      <c r="C933" s="176"/>
      <c r="D933" s="1312"/>
      <c r="E933" s="1312"/>
      <c r="F933" s="1312"/>
      <c r="G933" s="1028"/>
    </row>
    <row r="934" spans="1:9" ht="12.75" customHeight="1">
      <c r="A934" s="177"/>
      <c r="B934" s="177"/>
      <c r="C934" s="176"/>
      <c r="D934" s="1312"/>
      <c r="E934" s="1312"/>
      <c r="F934" s="1312"/>
      <c r="G934" s="1028"/>
    </row>
    <row r="935" spans="1:9" ht="12.75" customHeight="1">
      <c r="A935" s="177"/>
      <c r="B935" s="177"/>
      <c r="C935" s="176"/>
      <c r="D935" s="1312"/>
      <c r="E935" s="1312"/>
      <c r="F935" s="1312"/>
      <c r="G935" s="1028"/>
    </row>
    <row r="936" spans="1:9" ht="12.75" customHeight="1">
      <c r="A936" s="177"/>
      <c r="B936" s="177"/>
      <c r="C936" s="176"/>
      <c r="D936" s="1312"/>
      <c r="E936" s="1312"/>
      <c r="F936" s="1312"/>
      <c r="G936" s="1028"/>
    </row>
    <row r="937" spans="1:9" ht="12.75" customHeight="1">
      <c r="A937" s="177"/>
      <c r="B937" s="177"/>
      <c r="C937" s="176"/>
      <c r="D937" s="1070"/>
      <c r="E937" s="1070"/>
      <c r="F937" s="1070"/>
      <c r="G937" s="1028"/>
    </row>
    <row r="938" spans="1:9" ht="12.75" customHeight="1">
      <c r="A938" s="177"/>
      <c r="B938" s="523" t="s">
        <v>313</v>
      </c>
      <c r="C938" s="176"/>
      <c r="D938" s="1254" t="s">
        <v>2293</v>
      </c>
      <c r="E938" s="1254"/>
      <c r="F938" s="1254"/>
      <c r="G938" s="1028"/>
    </row>
    <row r="939" spans="1:9" ht="12.75" customHeight="1">
      <c r="A939" s="177"/>
      <c r="B939" s="177"/>
      <c r="C939" s="176"/>
      <c r="D939" s="1254"/>
      <c r="E939" s="1254"/>
      <c r="F939" s="1254"/>
      <c r="G939" s="1028"/>
    </row>
    <row r="940" spans="1:9" ht="12.75" customHeight="1">
      <c r="A940" s="177"/>
      <c r="B940" s="177"/>
      <c r="C940" s="176"/>
      <c r="D940" s="1254"/>
      <c r="E940" s="1254"/>
      <c r="F940" s="1254"/>
      <c r="G940" s="1028"/>
    </row>
    <row r="941" spans="1:9" ht="12.75" customHeight="1">
      <c r="A941" s="177"/>
      <c r="B941" s="177"/>
      <c r="C941" s="176"/>
      <c r="D941" s="1254"/>
      <c r="E941" s="1254"/>
      <c r="F941" s="1254"/>
      <c r="G941" s="1028"/>
    </row>
    <row r="942" spans="1:9" ht="12.75" customHeight="1">
      <c r="A942" s="177"/>
      <c r="B942" s="177"/>
      <c r="C942" s="176"/>
      <c r="D942" s="1254"/>
      <c r="E942" s="1254"/>
      <c r="F942" s="1254"/>
      <c r="G942" s="1028"/>
    </row>
    <row r="943" spans="1:9" ht="12.75" customHeight="1">
      <c r="A943" s="177"/>
      <c r="B943" s="177"/>
      <c r="C943" s="176"/>
      <c r="D943" s="1254"/>
      <c r="E943" s="1254"/>
      <c r="F943" s="1254"/>
      <c r="G943" s="1028"/>
    </row>
    <row r="944" spans="1:9" ht="12.75" customHeight="1">
      <c r="A944" s="177"/>
      <c r="B944" s="177"/>
      <c r="C944" s="176"/>
      <c r="D944" s="1070"/>
      <c r="E944" s="1070"/>
      <c r="F944" s="1070"/>
      <c r="G944" s="1028"/>
    </row>
    <row r="945" spans="1:9" ht="12.75" customHeight="1">
      <c r="A945" s="1029"/>
      <c r="B945" s="523" t="s">
        <v>313</v>
      </c>
      <c r="C945" s="1029"/>
      <c r="D945" s="1283" t="s">
        <v>2100</v>
      </c>
      <c r="E945" s="1283"/>
      <c r="F945" s="1283"/>
      <c r="G945" s="1028"/>
    </row>
    <row r="946" spans="1:9" ht="12.75" customHeight="1">
      <c r="A946" s="1029"/>
      <c r="B946" s="1029"/>
      <c r="C946" s="1029"/>
      <c r="D946" s="1283"/>
      <c r="E946" s="1283"/>
      <c r="F946" s="1283"/>
      <c r="G946" s="1028"/>
    </row>
    <row r="947" spans="1:9" ht="12.75" customHeight="1">
      <c r="A947" s="1029"/>
      <c r="B947" s="1029"/>
      <c r="C947" s="1029"/>
      <c r="D947" s="1283"/>
      <c r="E947" s="1283"/>
      <c r="F947" s="1283"/>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313</v>
      </c>
      <c r="C950" s="176"/>
      <c r="D950" s="1255" t="s">
        <v>2294</v>
      </c>
      <c r="E950" s="1255"/>
      <c r="F950" s="1255"/>
      <c r="G950" s="1028"/>
      <c r="I950" s="438" t="s">
        <v>2292</v>
      </c>
    </row>
    <row r="951" spans="1:9" ht="12.75" customHeight="1">
      <c r="A951" s="177"/>
      <c r="B951" s="177"/>
      <c r="C951" s="176"/>
      <c r="D951" s="1255"/>
      <c r="E951" s="1255"/>
      <c r="F951" s="1255"/>
      <c r="G951" s="1028"/>
    </row>
    <row r="952" spans="1:9" ht="12.75" customHeight="1">
      <c r="A952" s="177"/>
      <c r="B952" s="177"/>
      <c r="C952" s="176"/>
      <c r="D952" s="1255"/>
      <c r="E952" s="1255"/>
      <c r="F952" s="1255"/>
      <c r="G952" s="1028"/>
    </row>
    <row r="953" spans="1:9" ht="12.75" customHeight="1">
      <c r="A953" s="177"/>
      <c r="B953" s="177"/>
      <c r="C953" s="176"/>
      <c r="D953" s="1255"/>
      <c r="E953" s="1255"/>
      <c r="F953" s="1255"/>
      <c r="G953" s="1028"/>
    </row>
    <row r="954" spans="1:9" ht="12.75" customHeight="1">
      <c r="A954" s="1029"/>
      <c r="B954" s="1029"/>
      <c r="C954" s="1029"/>
      <c r="D954" s="1020"/>
      <c r="E954" s="1020"/>
      <c r="F954" s="1020"/>
      <c r="G954" s="1020"/>
    </row>
    <row r="955" spans="1:9" ht="12.75" customHeight="1">
      <c r="A955" s="388"/>
      <c r="B955" s="388"/>
      <c r="C955" s="388"/>
      <c r="D955" s="1261" t="s">
        <v>2101</v>
      </c>
      <c r="E955" s="1261"/>
      <c r="F955" s="1261"/>
      <c r="G955" s="3"/>
    </row>
    <row r="956" spans="1:9" ht="12.75" customHeight="1">
      <c r="A956" s="177"/>
      <c r="B956" s="523" t="s">
        <v>313</v>
      </c>
      <c r="C956" s="388"/>
      <c r="D956" s="1256" t="s">
        <v>2125</v>
      </c>
      <c r="E956" s="1256"/>
      <c r="F956" s="1256"/>
      <c r="G956" s="3"/>
      <c r="I956" s="438" t="s">
        <v>2292</v>
      </c>
    </row>
    <row r="957" spans="1:9" ht="12.75" customHeight="1">
      <c r="A957" s="388"/>
      <c r="B957" s="388"/>
      <c r="C957" s="388"/>
      <c r="D957" s="3"/>
      <c r="E957" s="3"/>
      <c r="F957" s="3"/>
      <c r="G957" s="3"/>
    </row>
    <row r="958" spans="1:9" ht="12.75" customHeight="1">
      <c r="A958" s="388"/>
      <c r="B958" s="388"/>
      <c r="C958" s="388"/>
      <c r="D958" s="1261" t="s">
        <v>2102</v>
      </c>
      <c r="E958" s="1261"/>
      <c r="F958" s="1261"/>
      <c r="G958"/>
    </row>
    <row r="959" spans="1:9" ht="12.75" customHeight="1">
      <c r="A959" s="177"/>
      <c r="B959" s="523" t="s">
        <v>313</v>
      </c>
      <c r="C959" s="388"/>
      <c r="D959" s="1246" t="s">
        <v>2545</v>
      </c>
      <c r="E959" s="1246"/>
      <c r="F959" s="1246"/>
      <c r="G959"/>
      <c r="I959" s="438" t="s">
        <v>2292</v>
      </c>
    </row>
    <row r="960" spans="1:9" ht="12.75" customHeight="1">
      <c r="A960" s="177"/>
      <c r="B960" s="177"/>
      <c r="C960" s="388"/>
      <c r="D960" s="1246"/>
      <c r="E960" s="1246"/>
      <c r="F960" s="1246"/>
      <c r="G960"/>
    </row>
    <row r="961" spans="1:9" ht="12.75" customHeight="1">
      <c r="A961" s="177"/>
      <c r="B961" s="177"/>
      <c r="C961" s="388"/>
      <c r="D961" s="1246"/>
      <c r="E961" s="1246"/>
      <c r="F961" s="1246"/>
      <c r="G961"/>
    </row>
    <row r="962" spans="1:9" ht="12.75" customHeight="1">
      <c r="A962" s="177"/>
      <c r="B962" s="177"/>
      <c r="C962" s="388"/>
      <c r="D962" s="1246"/>
      <c r="E962" s="1246"/>
      <c r="F962" s="1246"/>
      <c r="G962"/>
    </row>
    <row r="963" spans="1:9" ht="12.75" customHeight="1">
      <c r="A963" s="177"/>
      <c r="B963" s="177"/>
      <c r="C963" s="388"/>
      <c r="D963" s="1246"/>
      <c r="E963" s="1246"/>
      <c r="F963" s="1246"/>
      <c r="G963"/>
    </row>
    <row r="964" spans="1:9" ht="12.75" customHeight="1">
      <c r="A964" s="177"/>
      <c r="B964" s="177"/>
      <c r="C964" s="388"/>
      <c r="D964" s="1246"/>
      <c r="E964" s="1246"/>
      <c r="F964" s="1246"/>
      <c r="G964"/>
    </row>
    <row r="965" spans="1:9" ht="12.75" customHeight="1">
      <c r="A965" s="177"/>
      <c r="B965" s="177"/>
      <c r="C965" s="388"/>
      <c r="D965" s="1246"/>
      <c r="E965" s="1246"/>
      <c r="F965" s="1246"/>
      <c r="G965"/>
    </row>
    <row r="966" spans="1:9" ht="12.75" customHeight="1">
      <c r="A966" s="177"/>
      <c r="B966" s="177"/>
      <c r="C966" s="388"/>
      <c r="D966" s="1246"/>
      <c r="E966" s="1246"/>
      <c r="F966" s="1246"/>
      <c r="G966"/>
    </row>
    <row r="967" spans="1:9" ht="12.75" customHeight="1">
      <c r="A967" s="177"/>
      <c r="B967" s="177"/>
      <c r="C967" s="388"/>
      <c r="D967" s="1246"/>
      <c r="E967" s="1246"/>
      <c r="F967" s="1246"/>
      <c r="G967"/>
    </row>
    <row r="968" spans="1:9" ht="12.75" customHeight="1">
      <c r="A968" s="177"/>
      <c r="B968" s="177"/>
      <c r="C968" s="388"/>
      <c r="D968" s="1246"/>
      <c r="E968" s="1246"/>
      <c r="F968" s="1246"/>
      <c r="G968"/>
    </row>
    <row r="969" spans="1:9" ht="12.75" customHeight="1">
      <c r="A969" s="177"/>
      <c r="B969" s="177"/>
      <c r="C969" s="388"/>
      <c r="D969" s="1246"/>
      <c r="E969" s="1246"/>
      <c r="F969" s="1246"/>
      <c r="G969"/>
    </row>
    <row r="970" spans="1:9" ht="12.75" customHeight="1">
      <c r="A970" s="177"/>
      <c r="B970" s="177"/>
      <c r="C970" s="388"/>
      <c r="D970" s="1246"/>
      <c r="E970" s="1246"/>
      <c r="F970" s="1246"/>
      <c r="G970"/>
    </row>
    <row r="971" spans="1:9" ht="12.75" customHeight="1">
      <c r="A971" s="177"/>
      <c r="B971" s="177"/>
      <c r="C971" s="388"/>
      <c r="D971" s="1246"/>
      <c r="E971" s="1246"/>
      <c r="F971" s="1246"/>
      <c r="G971"/>
    </row>
    <row r="972" spans="1:9" ht="12.75" customHeight="1">
      <c r="A972" s="177"/>
      <c r="B972" s="177"/>
      <c r="C972" s="388"/>
      <c r="D972" s="1246"/>
      <c r="E972" s="1246"/>
      <c r="F972" s="1246"/>
      <c r="G972"/>
    </row>
    <row r="973" spans="1:9" ht="12.75" customHeight="1">
      <c r="A973" s="177"/>
      <c r="B973" s="177"/>
      <c r="C973" s="388"/>
      <c r="D973" s="1246"/>
      <c r="E973" s="1246"/>
      <c r="F973" s="1246"/>
      <c r="G973" s="3"/>
    </row>
    <row r="974" spans="1:9" ht="12.75" customHeight="1">
      <c r="A974" s="388"/>
      <c r="B974" s="388"/>
      <c r="C974" s="388"/>
      <c r="D974" s="3"/>
      <c r="E974" s="3"/>
      <c r="F974" s="3"/>
      <c r="G974" s="3"/>
    </row>
    <row r="975" spans="1:9" ht="12.75" customHeight="1">
      <c r="A975" s="1291" t="s">
        <v>2103</v>
      </c>
      <c r="B975" s="1291"/>
      <c r="C975" s="1291"/>
      <c r="D975" s="1291"/>
      <c r="E975" s="1291"/>
      <c r="F975" s="1291"/>
      <c r="G975" s="1291"/>
      <c r="H975" s="1074"/>
      <c r="I975" s="1075"/>
    </row>
    <row r="976" spans="1:9" ht="12.75" customHeight="1">
      <c r="A976" s="118"/>
      <c r="B976" s="118"/>
      <c r="C976" s="388"/>
      <c r="D976" s="3"/>
      <c r="E976" s="3"/>
      <c r="F976" s="3"/>
      <c r="G976" s="3"/>
    </row>
    <row r="977" spans="1:9" ht="12.75" customHeight="1">
      <c r="A977" s="388"/>
      <c r="B977" s="388"/>
      <c r="C977" s="1029"/>
      <c r="D977" s="1261" t="s">
        <v>2126</v>
      </c>
      <c r="E977" s="1261"/>
      <c r="F977" s="1261"/>
      <c r="G977" s="3"/>
    </row>
    <row r="978" spans="1:9" ht="12.75" customHeight="1">
      <c r="A978" s="173"/>
      <c r="B978" s="173"/>
      <c r="C978" s="173"/>
      <c r="D978" s="1256" t="s">
        <v>2104</v>
      </c>
      <c r="E978" s="1256"/>
      <c r="F978" s="1256"/>
      <c r="G978" s="3"/>
    </row>
    <row r="979" spans="1:9" ht="12.75" customHeight="1">
      <c r="A979" s="173"/>
      <c r="B979" s="173"/>
      <c r="C979" s="173"/>
      <c r="D979" s="3"/>
      <c r="E979" s="3"/>
      <c r="F979" s="1028"/>
      <c r="G979"/>
    </row>
    <row r="980" spans="1:9" ht="12.75" customHeight="1">
      <c r="A980" s="388"/>
      <c r="B980" s="523" t="s">
        <v>313</v>
      </c>
      <c r="C980" s="388"/>
      <c r="D980" s="1310" t="s">
        <v>2366</v>
      </c>
      <c r="E980" s="1310"/>
      <c r="F980" s="1310"/>
      <c r="G980"/>
      <c r="I980" s="438" t="s">
        <v>2272</v>
      </c>
    </row>
    <row r="981" spans="1:9" ht="12.75" customHeight="1">
      <c r="A981" s="388"/>
      <c r="B981" s="388"/>
      <c r="C981" s="388"/>
      <c r="D981" s="1310"/>
      <c r="E981" s="1310"/>
      <c r="F981" s="1310"/>
      <c r="G981"/>
    </row>
    <row r="982" spans="1:9" ht="12.75" customHeight="1">
      <c r="A982" s="388"/>
      <c r="B982" s="388"/>
      <c r="C982" s="388"/>
      <c r="D982" s="1126"/>
      <c r="E982" s="1123" t="s">
        <v>2367</v>
      </c>
      <c r="F982" s="1126"/>
      <c r="G982"/>
    </row>
    <row r="983" spans="1:9" ht="12.75" customHeight="1">
      <c r="A983" s="388"/>
      <c r="B983" s="388"/>
      <c r="C983" s="388"/>
      <c r="D983" s="1250" t="s">
        <v>2365</v>
      </c>
      <c r="E983" s="1250"/>
      <c r="F983" s="1250"/>
      <c r="G983"/>
    </row>
    <row r="984" spans="1:9" ht="12.75" customHeight="1">
      <c r="A984" s="388"/>
      <c r="B984" s="388"/>
      <c r="C984" s="388"/>
      <c r="D984" s="1250"/>
      <c r="E984" s="1250"/>
      <c r="F984" s="1250"/>
      <c r="G984"/>
    </row>
    <row r="985" spans="1:9" ht="12.75" customHeight="1">
      <c r="A985" s="176"/>
      <c r="B985" s="176"/>
      <c r="C985" s="176"/>
      <c r="D985" s="1250"/>
      <c r="E985" s="1250"/>
      <c r="F985" s="1250"/>
      <c r="G985"/>
    </row>
    <row r="986" spans="1:9" ht="12.75" customHeight="1">
      <c r="A986" s="176"/>
      <c r="B986" s="176"/>
      <c r="C986" s="176"/>
      <c r="D986" s="1250"/>
      <c r="E986" s="1250"/>
      <c r="F986" s="1250"/>
      <c r="G986"/>
    </row>
    <row r="987" spans="1:9" ht="12.75" customHeight="1">
      <c r="A987" s="176"/>
      <c r="B987" s="176"/>
      <c r="C987" s="176"/>
      <c r="D987" s="366"/>
      <c r="E987" s="366"/>
      <c r="F987" s="366"/>
      <c r="G987"/>
    </row>
    <row r="988" spans="1:9" ht="12.75" customHeight="1">
      <c r="A988" s="176"/>
      <c r="B988" s="523" t="s">
        <v>313</v>
      </c>
      <c r="C988" s="176"/>
      <c r="D988" s="1246" t="s">
        <v>2105</v>
      </c>
      <c r="E988" s="1246"/>
      <c r="F988" s="1246"/>
      <c r="G988"/>
    </row>
    <row r="989" spans="1:9" ht="12.75" customHeight="1">
      <c r="A989" s="176"/>
      <c r="B989" s="176"/>
      <c r="C989" s="176"/>
      <c r="D989" s="1246"/>
      <c r="E989" s="1246"/>
      <c r="F989" s="1246"/>
      <c r="G989"/>
    </row>
    <row r="990" spans="1:9" ht="12.75" customHeight="1">
      <c r="A990" s="176"/>
      <c r="B990" s="176"/>
      <c r="C990" s="176"/>
      <c r="D990" s="1246"/>
      <c r="E990" s="1246"/>
      <c r="F990" s="1246"/>
      <c r="G990"/>
    </row>
    <row r="991" spans="1:9" ht="12.75" customHeight="1">
      <c r="A991" s="176"/>
      <c r="B991" s="176"/>
      <c r="C991" s="176"/>
      <c r="D991" s="1246"/>
      <c r="E991" s="1246"/>
      <c r="F991" s="1246"/>
      <c r="G991"/>
    </row>
    <row r="992" spans="1:9" ht="12.75" customHeight="1">
      <c r="A992" s="176"/>
      <c r="B992" s="176"/>
      <c r="C992" s="176"/>
      <c r="D992" s="478"/>
      <c r="E992" s="478"/>
      <c r="F992" s="478"/>
      <c r="G992"/>
    </row>
    <row r="993" spans="1:7" ht="12.75" customHeight="1">
      <c r="A993" s="176"/>
      <c r="B993" s="523" t="s">
        <v>313</v>
      </c>
      <c r="C993" s="176"/>
      <c r="D993" s="1246" t="s">
        <v>2106</v>
      </c>
      <c r="E993" s="1246"/>
      <c r="F993" s="1246"/>
      <c r="G993"/>
    </row>
    <row r="994" spans="1:7" ht="12.75" customHeight="1">
      <c r="A994" s="176"/>
      <c r="B994" s="176"/>
      <c r="C994" s="176"/>
      <c r="D994" s="1246"/>
      <c r="E994" s="1246"/>
      <c r="F994" s="1246"/>
      <c r="G994"/>
    </row>
    <row r="995" spans="1:7" ht="12.75" customHeight="1">
      <c r="A995" s="176"/>
      <c r="B995" s="176"/>
      <c r="C995" s="176"/>
      <c r="D995" s="478"/>
      <c r="E995" s="478"/>
      <c r="F995" s="478"/>
      <c r="G995"/>
    </row>
    <row r="996" spans="1:7" ht="12.75" customHeight="1">
      <c r="A996" s="177"/>
      <c r="B996" s="523" t="s">
        <v>313</v>
      </c>
      <c r="C996" s="388"/>
      <c r="D996" s="1256" t="s">
        <v>2107</v>
      </c>
      <c r="E996" s="1256"/>
      <c r="F996" s="1256"/>
      <c r="G996"/>
    </row>
    <row r="997" spans="1:7" ht="12.75" customHeight="1">
      <c r="A997" s="388"/>
      <c r="B997" s="388"/>
      <c r="C997" s="388"/>
      <c r="D997" s="3"/>
      <c r="E997" s="3"/>
      <c r="F997" s="3"/>
      <c r="G997"/>
    </row>
    <row r="998" spans="1:7" ht="12.75" customHeight="1">
      <c r="A998" s="177"/>
      <c r="B998" s="523" t="s">
        <v>313</v>
      </c>
      <c r="C998" s="388"/>
      <c r="D998" s="1256" t="s">
        <v>2108</v>
      </c>
      <c r="E998" s="1256"/>
      <c r="F998" s="1256"/>
      <c r="G998"/>
    </row>
    <row r="999" spans="1:7" ht="12.75" customHeight="1">
      <c r="A999" s="388"/>
      <c r="B999" s="388"/>
      <c r="C999" s="388"/>
      <c r="D999" s="118"/>
      <c r="E999" s="3"/>
      <c r="F999" s="3"/>
      <c r="G999"/>
    </row>
    <row r="1000" spans="1:7" ht="12.75" customHeight="1">
      <c r="A1000" s="177"/>
      <c r="B1000" s="523" t="s">
        <v>313</v>
      </c>
      <c r="C1000" s="388"/>
      <c r="D1000" s="1256" t="s">
        <v>2109</v>
      </c>
      <c r="E1000" s="1256"/>
      <c r="F1000" s="1256"/>
      <c r="G1000"/>
    </row>
    <row r="1001" spans="1:7" ht="12.75" customHeight="1">
      <c r="A1001" s="388"/>
      <c r="B1001" s="388"/>
      <c r="C1001" s="388"/>
      <c r="D1001" s="118"/>
      <c r="E1001" s="3"/>
      <c r="F1001" s="3"/>
      <c r="G1001"/>
    </row>
    <row r="1002" spans="1:7" ht="12.75" customHeight="1">
      <c r="A1002" s="177"/>
      <c r="B1002" s="523" t="s">
        <v>313</v>
      </c>
      <c r="C1002" s="388"/>
      <c r="D1002" s="1246" t="s">
        <v>2110</v>
      </c>
      <c r="E1002" s="1246"/>
      <c r="F1002" s="1246"/>
      <c r="G1002"/>
    </row>
    <row r="1003" spans="1:7" ht="12.75" customHeight="1">
      <c r="A1003" s="177"/>
      <c r="B1003" s="177"/>
      <c r="C1003" s="388"/>
      <c r="D1003" s="1246"/>
      <c r="E1003" s="1246"/>
      <c r="F1003" s="1246"/>
      <c r="G1003"/>
    </row>
    <row r="1004" spans="1:7" ht="12.75" customHeight="1">
      <c r="A1004" s="177"/>
      <c r="B1004" s="177"/>
      <c r="C1004" s="388"/>
      <c r="D1004" s="118"/>
      <c r="E1004" s="3"/>
      <c r="F1004" s="3"/>
      <c r="G1004" s="3"/>
    </row>
    <row r="1005" spans="1:7" ht="12.75" customHeight="1">
      <c r="A1005" s="274"/>
      <c r="B1005" s="523" t="s">
        <v>313</v>
      </c>
      <c r="C1005" s="1040"/>
      <c r="D1005" s="1286" t="s">
        <v>2111</v>
      </c>
      <c r="E1005" s="1286"/>
      <c r="F1005" s="1286"/>
      <c r="G1005" s="1041"/>
    </row>
    <row r="1006" spans="1:7" ht="12.75" customHeight="1">
      <c r="A1006" s="1040"/>
      <c r="B1006" s="1040"/>
      <c r="C1006" s="1040"/>
      <c r="D1006" s="1286"/>
      <c r="E1006" s="1286"/>
      <c r="F1006" s="1286"/>
      <c r="G1006" s="1041"/>
    </row>
    <row r="1007" spans="1:7" ht="12.75" customHeight="1">
      <c r="A1007" s="1040"/>
      <c r="B1007" s="1040"/>
      <c r="C1007" s="1040"/>
      <c r="D1007" s="1024"/>
      <c r="E1007" s="1041"/>
      <c r="F1007" s="1041"/>
      <c r="G1007" s="1041"/>
    </row>
    <row r="1008" spans="1:7" ht="12.75" customHeight="1">
      <c r="A1008" s="274"/>
      <c r="B1008" s="523" t="s">
        <v>313</v>
      </c>
      <c r="C1008" s="1040"/>
      <c r="D1008" s="1304" t="s">
        <v>2112</v>
      </c>
      <c r="E1008" s="1304"/>
      <c r="F1008" s="1304"/>
      <c r="G1008" s="1041"/>
    </row>
    <row r="1009" spans="1:9" ht="12.75" customHeight="1">
      <c r="A1009" s="1040"/>
      <c r="B1009" s="1040"/>
      <c r="C1009" s="1040"/>
      <c r="D1009" s="1024"/>
      <c r="E1009" s="1041"/>
      <c r="F1009" s="1041"/>
      <c r="G1009" s="1041"/>
    </row>
    <row r="1010" spans="1:9" ht="12.75" customHeight="1">
      <c r="A1010" s="177"/>
      <c r="B1010" s="523" t="s">
        <v>313</v>
      </c>
      <c r="C1010" s="388"/>
      <c r="D1010" s="1256" t="s">
        <v>2113</v>
      </c>
      <c r="E1010" s="1256"/>
      <c r="F1010" s="1256"/>
      <c r="G1010" s="3"/>
    </row>
    <row r="1011" spans="1:9" ht="12.75" customHeight="1">
      <c r="A1011" s="177"/>
      <c r="B1011" s="177"/>
      <c r="C1011" s="388"/>
      <c r="D1011" s="118"/>
      <c r="E1011" s="3"/>
      <c r="F1011" s="3"/>
      <c r="G1011" s="3"/>
    </row>
    <row r="1012" spans="1:9" ht="12.75" customHeight="1">
      <c r="A1012" s="177"/>
      <c r="B1012" s="523" t="s">
        <v>313</v>
      </c>
      <c r="C1012" s="388"/>
      <c r="D1012" s="1246" t="s">
        <v>2114</v>
      </c>
      <c r="E1012" s="1246"/>
      <c r="F1012" s="1246"/>
      <c r="G1012" s="3"/>
    </row>
    <row r="1013" spans="1:9" ht="12.75" customHeight="1">
      <c r="A1013" s="177"/>
      <c r="B1013" s="177"/>
      <c r="C1013" s="388"/>
      <c r="D1013" s="1246"/>
      <c r="E1013" s="1246"/>
      <c r="F1013" s="1246"/>
      <c r="G1013" s="3"/>
    </row>
    <row r="1014" spans="1:9" ht="12.75" customHeight="1">
      <c r="A1014" s="388"/>
      <c r="B1014" s="388"/>
      <c r="C1014" s="388"/>
      <c r="D1014" s="3"/>
      <c r="E1014" s="3"/>
      <c r="F1014" s="3"/>
      <c r="G1014" s="3"/>
    </row>
    <row r="1015" spans="1:9" ht="12.75" customHeight="1">
      <c r="A1015" s="1291" t="s">
        <v>2115</v>
      </c>
      <c r="B1015" s="1291"/>
      <c r="C1015" s="1291"/>
      <c r="D1015" s="1291"/>
      <c r="E1015" s="1291"/>
      <c r="F1015" s="1291"/>
      <c r="G1015" s="1291"/>
      <c r="H1015" s="1074"/>
      <c r="I1015" s="1075"/>
    </row>
    <row r="1016" spans="1:9" ht="12.75" customHeight="1">
      <c r="A1016" s="388"/>
      <c r="B1016" s="388"/>
      <c r="C1016" s="388"/>
      <c r="D1016" s="3"/>
      <c r="E1016" s="3"/>
      <c r="F1016" s="3"/>
      <c r="G1016" s="3"/>
    </row>
    <row r="1017" spans="1:9" ht="12.75" customHeight="1">
      <c r="A1017" s="388"/>
      <c r="B1017" s="388"/>
      <c r="C1017" s="388"/>
      <c r="D1017" s="1285" t="s">
        <v>2116</v>
      </c>
      <c r="E1017" s="1285"/>
      <c r="F1017" s="1285"/>
      <c r="G1017" s="3"/>
    </row>
    <row r="1018" spans="1:9" ht="12.75" customHeight="1">
      <c r="A1018" s="388"/>
      <c r="B1018" s="388"/>
      <c r="C1018" s="388"/>
      <c r="D1018" s="1304" t="s">
        <v>2117</v>
      </c>
      <c r="E1018" s="1304"/>
      <c r="F1018" s="1304"/>
      <c r="G1018" s="3"/>
    </row>
    <row r="1019" spans="1:9" ht="12.75" customHeight="1">
      <c r="A1019" s="173"/>
      <c r="B1019" s="173"/>
      <c r="C1019" s="173"/>
      <c r="D1019" s="3"/>
      <c r="E1019" s="3"/>
      <c r="F1019" s="3"/>
      <c r="G1019" s="3"/>
    </row>
    <row r="1020" spans="1:9" ht="12.75" customHeight="1">
      <c r="A1020" s="177"/>
      <c r="B1020" s="177"/>
      <c r="C1020" s="176"/>
      <c r="D1020" s="1285" t="s">
        <v>2131</v>
      </c>
      <c r="E1020" s="1285"/>
      <c r="F1020" s="1285"/>
      <c r="G1020" s="3"/>
      <c r="I1020" s="438" t="s">
        <v>2244</v>
      </c>
    </row>
    <row r="1021" spans="1:9" ht="12.75" customHeight="1">
      <c r="A1021" s="388"/>
      <c r="B1021" s="523" t="s">
        <v>313</v>
      </c>
      <c r="C1021" s="388"/>
      <c r="D1021" s="1304" t="s">
        <v>1453</v>
      </c>
      <c r="E1021" s="1304"/>
      <c r="F1021" s="1304"/>
      <c r="G1021" s="3"/>
    </row>
    <row r="1022" spans="1:9" ht="12.75" customHeight="1">
      <c r="A1022" s="388"/>
      <c r="B1022" s="177"/>
      <c r="C1022" s="388"/>
      <c r="D1022" s="1304" t="s">
        <v>2118</v>
      </c>
      <c r="E1022" s="1304"/>
      <c r="F1022" s="1304"/>
      <c r="G1022" s="3"/>
    </row>
    <row r="1023" spans="1:9" ht="12.75" customHeight="1">
      <c r="A1023" s="388"/>
      <c r="B1023" s="388"/>
      <c r="C1023" s="388"/>
      <c r="D1023" s="1304"/>
      <c r="E1023" s="1304"/>
      <c r="F1023" s="1304"/>
      <c r="G1023" s="3"/>
    </row>
    <row r="1024" spans="1:9" ht="12.75" customHeight="1">
      <c r="A1024" s="1291" t="s">
        <v>2127</v>
      </c>
      <c r="B1024" s="1291"/>
      <c r="C1024" s="1291"/>
      <c r="D1024" s="1291"/>
      <c r="E1024" s="1291"/>
      <c r="F1024" s="1291"/>
      <c r="G1024" s="1291"/>
      <c r="H1024" s="1074"/>
      <c r="I1024" s="1075"/>
    </row>
    <row r="1025" spans="1:9" ht="12.75" customHeight="1">
      <c r="A1025" s="118"/>
      <c r="B1025" s="118"/>
      <c r="C1025" s="388"/>
      <c r="D1025" s="3"/>
      <c r="E1025" s="3"/>
      <c r="F1025" s="3"/>
      <c r="G1025" s="3"/>
    </row>
    <row r="1026" spans="1:9" ht="12.75" customHeight="1">
      <c r="A1026" s="118"/>
      <c r="B1026" s="436"/>
      <c r="D1026" s="1293" t="s">
        <v>1454</v>
      </c>
      <c r="E1026" s="1293"/>
      <c r="F1026" s="1293"/>
      <c r="G1026" s="3"/>
    </row>
    <row r="1027" spans="1:9" ht="12.75" customHeight="1">
      <c r="A1027" s="118"/>
      <c r="B1027" s="523" t="s">
        <v>313</v>
      </c>
      <c r="D1027" s="1295" t="s">
        <v>1453</v>
      </c>
      <c r="E1027" s="1295"/>
      <c r="F1027" s="1295"/>
      <c r="G1027" s="3"/>
    </row>
    <row r="1028" spans="1:9" ht="12.75" customHeight="1">
      <c r="A1028" s="118"/>
      <c r="B1028" s="436"/>
      <c r="D1028" s="1295" t="s">
        <v>2128</v>
      </c>
      <c r="E1028" s="1295"/>
      <c r="F1028" s="1295"/>
      <c r="G1028" s="3"/>
    </row>
    <row r="1029" spans="1:9" ht="12.75" customHeight="1">
      <c r="A1029" s="118"/>
      <c r="B1029" s="436"/>
      <c r="D1029" s="482"/>
      <c r="E1029" s="482"/>
      <c r="F1029" s="482"/>
      <c r="G1029" s="3"/>
    </row>
    <row r="1030" spans="1:9" ht="12.75" customHeight="1">
      <c r="A1030" s="118"/>
      <c r="B1030" s="118"/>
      <c r="C1030" s="388"/>
      <c r="D1030" s="1305" t="s">
        <v>1154</v>
      </c>
      <c r="E1030" s="1305"/>
      <c r="F1030" s="1305"/>
      <c r="G1030" s="3"/>
      <c r="I1030" s="438" t="s">
        <v>2273</v>
      </c>
    </row>
    <row r="1031" spans="1:9" ht="12.75" customHeight="1">
      <c r="A1031" s="348"/>
      <c r="B1031" s="348"/>
      <c r="C1031" s="348"/>
      <c r="D1031" s="1289" t="s">
        <v>1171</v>
      </c>
      <c r="E1031" s="1289"/>
      <c r="F1031" s="1289"/>
      <c r="G1031" s="98"/>
    </row>
    <row r="1032" spans="1:9" ht="12.75" customHeight="1">
      <c r="A1032" s="177"/>
      <c r="B1032" s="523" t="s">
        <v>313</v>
      </c>
      <c r="C1032" s="388"/>
      <c r="D1032" s="1289" t="s">
        <v>1046</v>
      </c>
      <c r="E1032" s="1289"/>
      <c r="F1032" s="1289"/>
      <c r="G1032" s="3"/>
    </row>
    <row r="1033" spans="1:9" ht="12.75" customHeight="1">
      <c r="A1033" s="388"/>
      <c r="B1033" s="388"/>
      <c r="C1033" s="388"/>
      <c r="D1033" s="1123" t="s">
        <v>2368</v>
      </c>
      <c r="E1033" s="96"/>
      <c r="F1033" s="96"/>
      <c r="G1033" s="3"/>
    </row>
    <row r="1034" spans="1:9">
      <c r="A1034" s="436"/>
      <c r="B1034" s="436"/>
      <c r="C1034" s="436"/>
    </row>
    <row r="1035" spans="1:9">
      <c r="A1035" s="1291" t="s">
        <v>2148</v>
      </c>
      <c r="B1035" s="1291"/>
      <c r="C1035" s="1291"/>
      <c r="D1035" s="1291"/>
      <c r="E1035" s="1291"/>
      <c r="F1035" s="1291"/>
      <c r="G1035" s="1291"/>
      <c r="H1035" s="1074"/>
      <c r="I1035" s="1075"/>
    </row>
    <row r="1036" spans="1:9">
      <c r="A1036" s="436"/>
      <c r="B1036" s="436"/>
      <c r="C1036" s="436"/>
    </row>
    <row r="1037" spans="1:9">
      <c r="A1037" s="436"/>
      <c r="B1037" s="436"/>
      <c r="C1037" s="436"/>
      <c r="D1037" s="438" t="s">
        <v>2134</v>
      </c>
    </row>
    <row r="1038" spans="1:9">
      <c r="A1038" s="436"/>
      <c r="B1038" s="436"/>
      <c r="C1038" s="436"/>
      <c r="D1038" s="436" t="s">
        <v>2133</v>
      </c>
    </row>
    <row r="1039" spans="1:9">
      <c r="A1039" s="436"/>
      <c r="B1039" s="436"/>
      <c r="C1039" s="436"/>
      <c r="D1039" s="438"/>
    </row>
    <row r="1040" spans="1:9">
      <c r="A1040" s="436"/>
      <c r="B1040" s="523" t="s">
        <v>313</v>
      </c>
      <c r="C1040" s="436"/>
      <c r="D1040" s="1307" t="s">
        <v>2132</v>
      </c>
      <c r="E1040" s="1307"/>
      <c r="F1040" s="1307"/>
      <c r="I1040" s="438" t="s">
        <v>2245</v>
      </c>
    </row>
    <row r="1041" spans="1:9">
      <c r="A1041" s="436"/>
      <c r="B1041" s="436"/>
      <c r="C1041" s="436"/>
      <c r="D1041" s="1307"/>
      <c r="E1041" s="1307"/>
      <c r="F1041" s="1307"/>
    </row>
    <row r="1042" spans="1:9">
      <c r="A1042" s="436"/>
      <c r="B1042" s="436"/>
      <c r="C1042" s="436"/>
      <c r="D1042" s="1307"/>
      <c r="E1042" s="1307"/>
      <c r="F1042" s="1307"/>
    </row>
    <row r="1043" spans="1:9">
      <c r="A1043" s="436"/>
      <c r="B1043" s="436"/>
      <c r="C1043" s="436"/>
      <c r="D1043" s="1307"/>
      <c r="E1043" s="1307"/>
      <c r="F1043" s="1307"/>
    </row>
    <row r="1044" spans="1:9">
      <c r="A1044" s="436"/>
      <c r="B1044" s="436"/>
      <c r="C1044" s="436"/>
    </row>
    <row r="1045" spans="1:9">
      <c r="A1045" s="436"/>
      <c r="B1045" s="436"/>
      <c r="C1045" s="436"/>
      <c r="D1045" s="438" t="s">
        <v>1510</v>
      </c>
    </row>
    <row r="1046" spans="1:9">
      <c r="A1046" s="436"/>
      <c r="B1046" s="436"/>
      <c r="C1046" s="436"/>
      <c r="D1046" s="436" t="s">
        <v>2135</v>
      </c>
    </row>
    <row r="1047" spans="1:9">
      <c r="A1047" s="436"/>
      <c r="B1047" s="436"/>
      <c r="C1047" s="436"/>
    </row>
    <row r="1048" spans="1:9">
      <c r="A1048" s="436"/>
      <c r="B1048" s="523" t="s">
        <v>313</v>
      </c>
      <c r="C1048" s="436"/>
      <c r="D1048" s="436" t="s">
        <v>2130</v>
      </c>
      <c r="I1048" s="438" t="s">
        <v>2246</v>
      </c>
    </row>
    <row r="1049" spans="1:9">
      <c r="A1049" s="436"/>
      <c r="B1049" s="436"/>
      <c r="C1049" s="436"/>
    </row>
    <row r="1050" spans="1:9">
      <c r="A1050" s="436"/>
      <c r="B1050" s="523" t="s">
        <v>313</v>
      </c>
      <c r="C1050" s="436"/>
      <c r="D1050" s="1307" t="s">
        <v>2136</v>
      </c>
      <c r="E1050" s="1307"/>
      <c r="F1050" s="1307"/>
      <c r="I1050" s="438" t="s">
        <v>2247</v>
      </c>
    </row>
    <row r="1051" spans="1:9">
      <c r="A1051" s="436"/>
      <c r="B1051" s="436"/>
      <c r="C1051" s="436"/>
      <c r="D1051" s="1307"/>
      <c r="E1051" s="1307"/>
      <c r="F1051" s="1307"/>
    </row>
    <row r="1052" spans="1:9">
      <c r="A1052" s="436"/>
      <c r="B1052" s="436"/>
      <c r="C1052" s="436"/>
      <c r="D1052" s="1307"/>
      <c r="E1052" s="1307"/>
      <c r="F1052" s="1307"/>
    </row>
    <row r="1053" spans="1:9">
      <c r="A1053" s="436"/>
      <c r="B1053" s="436"/>
      <c r="C1053" s="436"/>
      <c r="D1053" s="1307"/>
      <c r="E1053" s="1307"/>
      <c r="F1053" s="1307"/>
    </row>
    <row r="1054" spans="1:9">
      <c r="A1054" s="436"/>
      <c r="B1054" s="436"/>
      <c r="C1054" s="436"/>
      <c r="D1054" s="1307"/>
      <c r="E1054" s="1307"/>
      <c r="F1054" s="1307"/>
    </row>
    <row r="1055" spans="1:9">
      <c r="A1055" s="436"/>
      <c r="B1055" s="436"/>
      <c r="C1055" s="436"/>
    </row>
    <row r="1056" spans="1:9">
      <c r="A1056" s="1291" t="s">
        <v>2137</v>
      </c>
      <c r="B1056" s="1291"/>
      <c r="C1056" s="1291"/>
      <c r="D1056" s="1291"/>
      <c r="E1056" s="1291"/>
      <c r="F1056" s="1291"/>
      <c r="G1056" s="1291"/>
      <c r="H1056" s="1074"/>
      <c r="I1056" s="1075"/>
    </row>
    <row r="1057" spans="1:9">
      <c r="A1057" s="436"/>
      <c r="B1057" s="436"/>
      <c r="C1057" s="436"/>
    </row>
    <row r="1058" spans="1:9">
      <c r="A1058" s="436"/>
      <c r="B1058" s="436"/>
      <c r="C1058" s="436"/>
    </row>
    <row r="1059" spans="1:9">
      <c r="A1059" s="436"/>
      <c r="B1059" s="523" t="s">
        <v>313</v>
      </c>
      <c r="C1059" s="436"/>
      <c r="D1059" s="565" t="s">
        <v>2140</v>
      </c>
      <c r="I1059" s="438" t="s">
        <v>2248</v>
      </c>
    </row>
    <row r="1060" spans="1:9">
      <c r="A1060" s="436"/>
      <c r="B1060" s="436"/>
      <c r="C1060" s="436"/>
      <c r="D1060" s="565" t="s">
        <v>2142</v>
      </c>
    </row>
    <row r="1061" spans="1:9">
      <c r="A1061" s="436"/>
      <c r="B1061" s="436"/>
      <c r="C1061" s="436"/>
      <c r="D1061" s="565"/>
    </row>
    <row r="1062" spans="1:9">
      <c r="A1062" s="436"/>
      <c r="B1062" s="523" t="s">
        <v>313</v>
      </c>
      <c r="C1062" s="436"/>
      <c r="D1062" s="565" t="s">
        <v>2143</v>
      </c>
      <c r="I1062" s="438" t="s">
        <v>2249</v>
      </c>
    </row>
    <row r="1063" spans="1:9">
      <c r="A1063" s="436"/>
      <c r="B1063" s="436"/>
      <c r="C1063" s="436"/>
      <c r="D1063" s="565" t="s">
        <v>2141</v>
      </c>
    </row>
    <row r="1064" spans="1:9">
      <c r="A1064" s="436"/>
      <c r="B1064" s="436"/>
      <c r="C1064" s="436"/>
      <c r="D1064" s="565"/>
    </row>
    <row r="1065" spans="1:9">
      <c r="A1065" s="436"/>
      <c r="B1065" s="523" t="s">
        <v>313</v>
      </c>
      <c r="C1065" s="436"/>
      <c r="D1065" s="119" t="s">
        <v>2146</v>
      </c>
      <c r="I1065" s="438" t="s">
        <v>2250</v>
      </c>
    </row>
    <row r="1066" spans="1:9">
      <c r="A1066" s="436"/>
      <c r="B1066" s="436"/>
      <c r="C1066" s="436"/>
      <c r="D1066" s="1246" t="s">
        <v>2147</v>
      </c>
      <c r="E1066" s="1246"/>
      <c r="F1066" s="1246"/>
    </row>
    <row r="1067" spans="1:9">
      <c r="A1067" s="436"/>
      <c r="B1067" s="436"/>
      <c r="C1067" s="436"/>
      <c r="D1067" s="1246"/>
      <c r="E1067" s="1246"/>
      <c r="F1067" s="1246"/>
    </row>
    <row r="1068" spans="1:9">
      <c r="A1068" s="436"/>
      <c r="B1068" s="436"/>
      <c r="C1068" s="436"/>
      <c r="D1068" s="1246"/>
      <c r="E1068" s="1246"/>
      <c r="F1068" s="1246"/>
    </row>
    <row r="1069" spans="1:9">
      <c r="A1069" s="436"/>
      <c r="B1069" s="436"/>
      <c r="C1069" s="436"/>
      <c r="D1069" s="1246"/>
      <c r="E1069" s="1246"/>
      <c r="F1069" s="1246"/>
    </row>
    <row r="1070" spans="1:9">
      <c r="A1070" s="436"/>
      <c r="B1070" s="436"/>
      <c r="C1070" s="436"/>
      <c r="D1070" s="119" t="s">
        <v>2145</v>
      </c>
    </row>
    <row r="1071" spans="1:9">
      <c r="A1071" s="436"/>
      <c r="B1071" s="436"/>
      <c r="C1071" s="436"/>
      <c r="D1071" s="119"/>
    </row>
    <row r="1072" spans="1:9">
      <c r="A1072" s="436"/>
      <c r="B1072" s="436"/>
      <c r="C1072" s="436"/>
      <c r="D1072" s="565" t="s">
        <v>2138</v>
      </c>
      <c r="I1072" s="438" t="s">
        <v>2251</v>
      </c>
    </row>
    <row r="1073" spans="1:9">
      <c r="A1073" s="436"/>
      <c r="B1073" s="523" t="s">
        <v>313</v>
      </c>
      <c r="C1073" s="436"/>
      <c r="D1073" s="1306" t="s">
        <v>2139</v>
      </c>
      <c r="E1073" s="1306"/>
      <c r="F1073" s="1306"/>
    </row>
    <row r="1074" spans="1:9">
      <c r="A1074" s="436"/>
      <c r="B1074" s="436"/>
      <c r="C1074" s="436"/>
      <c r="D1074" s="1306"/>
      <c r="E1074" s="1306"/>
      <c r="F1074" s="1306"/>
    </row>
    <row r="1075" spans="1:9">
      <c r="A1075" s="436"/>
      <c r="B1075" s="436"/>
      <c r="C1075" s="436"/>
      <c r="D1075" s="1306"/>
      <c r="E1075" s="1306"/>
      <c r="F1075" s="1306"/>
    </row>
    <row r="1076" spans="1:9">
      <c r="A1076" s="436"/>
      <c r="B1076" s="436"/>
      <c r="C1076" s="436"/>
      <c r="D1076" s="1306"/>
      <c r="E1076" s="1306"/>
      <c r="F1076" s="1306"/>
    </row>
    <row r="1077" spans="1:9">
      <c r="A1077" s="436"/>
      <c r="B1077" s="436"/>
      <c r="C1077" s="436"/>
      <c r="D1077" s="1306"/>
      <c r="E1077" s="1306"/>
      <c r="F1077" s="1306"/>
    </row>
    <row r="1078" spans="1:9">
      <c r="A1078" s="436"/>
      <c r="B1078" s="436"/>
      <c r="C1078" s="436"/>
      <c r="D1078" s="565" t="s">
        <v>2144</v>
      </c>
    </row>
    <row r="1079" spans="1:9">
      <c r="A1079" s="436"/>
      <c r="B1079" s="436"/>
      <c r="C1079" s="436"/>
    </row>
    <row r="1080" spans="1:9">
      <c r="A1080" s="1291" t="s">
        <v>2149</v>
      </c>
      <c r="B1080" s="1291"/>
      <c r="C1080" s="1291"/>
      <c r="D1080" s="1291"/>
      <c r="E1080" s="1291"/>
      <c r="F1080" s="1291"/>
      <c r="G1080" s="1291"/>
      <c r="H1080" s="1074"/>
      <c r="I1080" s="1075"/>
    </row>
    <row r="1081" spans="1:9">
      <c r="A1081" s="436"/>
      <c r="B1081" s="436"/>
      <c r="C1081" s="436"/>
    </row>
    <row r="1082" spans="1:9">
      <c r="A1082" s="436"/>
      <c r="B1082" s="436"/>
      <c r="C1082" s="436"/>
    </row>
    <row r="1083" spans="1:9" ht="12.75" customHeight="1">
      <c r="A1083" s="436"/>
      <c r="B1083" s="523" t="s">
        <v>313</v>
      </c>
      <c r="C1083" s="436"/>
      <c r="D1083" s="1308" t="s">
        <v>2380</v>
      </c>
      <c r="E1083" s="1308"/>
      <c r="F1083" s="1308"/>
      <c r="I1083" s="438" t="s">
        <v>2252</v>
      </c>
    </row>
    <row r="1084" spans="1:9">
      <c r="A1084" s="436"/>
      <c r="B1084" s="436"/>
      <c r="C1084" s="436"/>
      <c r="D1084" s="1308"/>
      <c r="E1084" s="1308"/>
      <c r="F1084" s="1308"/>
    </row>
    <row r="1085" spans="1:9">
      <c r="A1085" s="436"/>
      <c r="B1085" s="436"/>
      <c r="C1085" s="436"/>
      <c r="D1085" s="1309" t="s">
        <v>2552</v>
      </c>
      <c r="E1085" s="1246"/>
      <c r="F1085" s="1246"/>
    </row>
    <row r="1086" spans="1:9">
      <c r="A1086" s="436"/>
      <c r="B1086" s="436"/>
      <c r="C1086" s="436"/>
      <c r="D1086" s="565"/>
    </row>
    <row r="1087" spans="1:9">
      <c r="A1087" s="436"/>
      <c r="B1087" s="523" t="s">
        <v>313</v>
      </c>
      <c r="C1087" s="436"/>
      <c r="D1087" s="1306" t="s">
        <v>2150</v>
      </c>
      <c r="E1087" s="1306"/>
      <c r="F1087" s="1306"/>
      <c r="I1087" s="438" t="s">
        <v>2253</v>
      </c>
    </row>
    <row r="1088" spans="1:9">
      <c r="A1088" s="436"/>
      <c r="B1088" s="436"/>
      <c r="C1088" s="436"/>
      <c r="D1088" s="1306"/>
      <c r="E1088" s="1306"/>
      <c r="F1088" s="1306"/>
    </row>
    <row r="1089" spans="1:9">
      <c r="A1089" s="436"/>
      <c r="B1089" s="436"/>
      <c r="C1089" s="436"/>
      <c r="D1089" s="565"/>
    </row>
    <row r="1090" spans="1:9">
      <c r="A1090" s="436"/>
      <c r="B1090" s="523" t="s">
        <v>313</v>
      </c>
      <c r="C1090" s="436"/>
      <c r="D1090" s="1306" t="s">
        <v>2298</v>
      </c>
      <c r="E1090" s="1306"/>
      <c r="F1090" s="1306"/>
      <c r="I1090" s="438" t="s">
        <v>2296</v>
      </c>
    </row>
    <row r="1091" spans="1:9">
      <c r="A1091" s="436"/>
      <c r="B1091" s="436"/>
      <c r="C1091" s="436"/>
      <c r="D1091" s="1306"/>
      <c r="E1091" s="1306"/>
      <c r="F1091" s="1306"/>
    </row>
    <row r="1092" spans="1:9">
      <c r="A1092" s="436"/>
      <c r="B1092" s="436"/>
      <c r="C1092" s="436"/>
      <c r="D1092" s="1306"/>
      <c r="E1092" s="1306"/>
      <c r="F1092" s="1306"/>
    </row>
    <row r="1093" spans="1:9">
      <c r="A1093" s="436"/>
      <c r="B1093" s="436"/>
      <c r="C1093" s="436"/>
      <c r="D1093" s="1306"/>
      <c r="E1093" s="1306"/>
      <c r="F1093" s="1306"/>
    </row>
    <row r="1094" spans="1:9">
      <c r="A1094" s="436"/>
      <c r="B1094" s="436"/>
      <c r="C1094" s="436"/>
      <c r="D1094" s="1306"/>
      <c r="E1094" s="1306"/>
      <c r="F1094" s="1306"/>
    </row>
    <row r="1095" spans="1:9">
      <c r="A1095" s="436"/>
      <c r="B1095" s="436"/>
      <c r="C1095" s="436"/>
      <c r="D1095" s="1306"/>
      <c r="E1095" s="1306"/>
      <c r="F1095" s="1306"/>
    </row>
    <row r="1096" spans="1:9">
      <c r="A1096" s="436"/>
      <c r="B1096" s="436"/>
      <c r="C1096" s="436"/>
      <c r="D1096" s="565" t="s">
        <v>2297</v>
      </c>
      <c r="I1096" s="436"/>
    </row>
    <row r="1097" spans="1:9">
      <c r="A1097" s="436"/>
      <c r="B1097" s="523" t="s">
        <v>313</v>
      </c>
      <c r="C1097" s="436"/>
      <c r="D1097" s="1306" t="s">
        <v>2151</v>
      </c>
      <c r="E1097" s="1306"/>
      <c r="F1097" s="1306"/>
      <c r="I1097" s="438" t="s">
        <v>2254</v>
      </c>
    </row>
    <row r="1098" spans="1:9">
      <c r="A1098" s="436"/>
      <c r="B1098" s="436"/>
      <c r="C1098" s="436"/>
      <c r="D1098" s="1306"/>
      <c r="E1098" s="1306"/>
      <c r="F1098" s="1306"/>
    </row>
    <row r="1099" spans="1:9">
      <c r="A1099" s="436"/>
      <c r="B1099" s="436"/>
      <c r="C1099" s="436"/>
      <c r="D1099" s="1306"/>
      <c r="E1099" s="1306"/>
      <c r="F1099" s="1306"/>
    </row>
    <row r="1100" spans="1:9">
      <c r="A1100" s="436"/>
      <c r="B1100" s="436"/>
      <c r="C1100" s="436"/>
      <c r="D1100" s="565"/>
    </row>
    <row r="1101" spans="1:9">
      <c r="A1101" s="436"/>
      <c r="B1101" s="523" t="s">
        <v>313</v>
      </c>
      <c r="C1101" s="436"/>
      <c r="D1101" s="1250" t="s">
        <v>2299</v>
      </c>
      <c r="E1101" s="1250"/>
      <c r="F1101" s="1250"/>
      <c r="I1101" s="438" t="s">
        <v>2255</v>
      </c>
    </row>
    <row r="1102" spans="1:9">
      <c r="A1102" s="436"/>
      <c r="B1102" s="436"/>
      <c r="C1102" s="436"/>
      <c r="D1102" s="1250"/>
      <c r="E1102" s="1250"/>
      <c r="F1102" s="1250"/>
    </row>
    <row r="1103" spans="1:9">
      <c r="A1103" s="436"/>
      <c r="B1103" s="436"/>
      <c r="C1103" s="436"/>
      <c r="D1103" s="1250"/>
      <c r="E1103" s="1250"/>
      <c r="F1103" s="1250"/>
    </row>
    <row r="1104" spans="1:9">
      <c r="A1104" s="436"/>
      <c r="B1104" s="436"/>
      <c r="C1104" s="436"/>
      <c r="D1104" s="1020"/>
      <c r="E1104" s="1020"/>
      <c r="F1104" s="1020"/>
    </row>
    <row r="1105" spans="1:9" ht="15.75" customHeight="1">
      <c r="A1105" s="436"/>
      <c r="B1105" s="523" t="s">
        <v>313</v>
      </c>
      <c r="C1105" s="436"/>
      <c r="D1105" s="1246" t="s">
        <v>2301</v>
      </c>
      <c r="E1105" s="1246"/>
      <c r="F1105" s="1246"/>
      <c r="I1105" s="438" t="s">
        <v>2300</v>
      </c>
    </row>
    <row r="1106" spans="1:9">
      <c r="A1106" s="436"/>
      <c r="B1106" s="436"/>
      <c r="C1106" s="436"/>
      <c r="D1106" s="1246"/>
      <c r="E1106" s="1246"/>
      <c r="F1106" s="1246"/>
    </row>
    <row r="1107" spans="1:9">
      <c r="A1107" s="436"/>
      <c r="B1107" s="436"/>
      <c r="C1107" s="436"/>
      <c r="D1107" s="1246"/>
      <c r="E1107" s="1246"/>
      <c r="F1107" s="1246"/>
    </row>
    <row r="1108" spans="1:9">
      <c r="A1108" s="436"/>
      <c r="B1108" s="436"/>
      <c r="C1108" s="436"/>
      <c r="D1108" s="1246"/>
      <c r="E1108" s="1246"/>
      <c r="F1108" s="1246"/>
    </row>
    <row r="1109" spans="1:9">
      <c r="A1109" s="436"/>
      <c r="B1109" s="436"/>
      <c r="C1109" s="436"/>
      <c r="D1109" s="1020"/>
      <c r="E1109" s="1020"/>
      <c r="F1109" s="1020"/>
    </row>
    <row r="1110" spans="1:9" ht="38.25">
      <c r="A1110" s="436"/>
      <c r="B1110" s="436"/>
      <c r="C1110" s="436"/>
      <c r="I1110" s="450" t="s">
        <v>2546</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71"/>
      <c r="H1523" s="1271"/>
      <c r="I1523" s="127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04" zoomScaleNormal="100" zoomScaleSheetLayoutView="80" workbookViewId="0">
      <selection activeCell="G742" activeCellId="3" sqref="G730:J730 G734:J734 G738:J738 G742:J742"/>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608" t="s">
        <v>105</v>
      </c>
      <c r="B8" s="1608"/>
      <c r="C8" s="1608"/>
      <c r="D8" s="1608"/>
      <c r="E8" s="1608"/>
      <c r="F8" s="1608"/>
      <c r="G8" s="1608"/>
      <c r="H8" s="1608"/>
      <c r="I8" s="1608"/>
      <c r="J8" s="1608"/>
      <c r="K8" s="1608"/>
      <c r="L8" s="1608"/>
      <c r="M8" s="1608"/>
      <c r="N8" s="1608"/>
      <c r="O8" s="1608"/>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c r="AM8" s="938"/>
      <c r="AN8" s="938"/>
      <c r="AO8" s="938"/>
      <c r="AP8" s="938"/>
      <c r="AQ8" s="938"/>
      <c r="AR8" s="938"/>
      <c r="AS8" s="938"/>
      <c r="AT8" s="938"/>
      <c r="AU8" s="938"/>
      <c r="AV8" s="938"/>
      <c r="AW8" s="938"/>
      <c r="AX8" s="938"/>
      <c r="AY8" s="938"/>
    </row>
    <row r="9" spans="1:51" ht="12.75">
      <c r="A9" s="1282" t="s">
        <v>2554</v>
      </c>
      <c r="B9" s="1282"/>
      <c r="C9" s="1282"/>
      <c r="D9" s="1282"/>
      <c r="E9" s="1282"/>
      <c r="F9" s="1282"/>
      <c r="G9" s="1282"/>
      <c r="H9" s="1282"/>
      <c r="I9" s="1282"/>
      <c r="J9" s="1282"/>
      <c r="K9" s="1282"/>
      <c r="L9" s="1282"/>
      <c r="M9" s="1282"/>
      <c r="N9" s="1282"/>
      <c r="O9" s="1282"/>
      <c r="P9" s="1282"/>
      <c r="Q9" s="1282"/>
      <c r="R9" s="1282"/>
      <c r="S9" s="1282"/>
      <c r="T9" s="1282"/>
      <c r="U9" s="1282"/>
      <c r="V9" s="1282"/>
      <c r="W9" s="1282"/>
      <c r="X9" s="1282"/>
      <c r="Y9" s="1282"/>
      <c r="Z9" s="1282"/>
      <c r="AA9" s="1282"/>
      <c r="AB9" s="1282"/>
      <c r="AC9" s="1282"/>
      <c r="AD9" s="1282"/>
      <c r="AE9" s="1282"/>
      <c r="AF9" s="1282"/>
      <c r="AG9" s="1282"/>
      <c r="AH9" s="1282"/>
      <c r="AI9" s="1282"/>
      <c r="AJ9" s="1282"/>
      <c r="AK9" s="1282"/>
      <c r="AL9" s="1282"/>
      <c r="AM9" s="13"/>
      <c r="AN9" s="13"/>
      <c r="AO9" s="13"/>
      <c r="AP9" s="13"/>
      <c r="AQ9" s="13"/>
      <c r="AR9" s="13"/>
      <c r="AS9" s="13"/>
      <c r="AT9" s="13"/>
      <c r="AU9" s="13"/>
      <c r="AV9" s="13"/>
      <c r="AW9" s="13"/>
      <c r="AX9" s="13"/>
      <c r="AY9" s="13"/>
    </row>
    <row r="10" spans="1:51" ht="15" customHeight="1">
      <c r="A10" s="1282" t="s">
        <v>2315</v>
      </c>
      <c r="B10" s="1282"/>
      <c r="C10" s="1282"/>
      <c r="D10" s="1282"/>
      <c r="E10" s="1282"/>
      <c r="F10" s="1282"/>
      <c r="G10" s="1282"/>
      <c r="H10" s="1282"/>
      <c r="I10" s="1282"/>
      <c r="J10" s="1282"/>
      <c r="K10" s="1282"/>
      <c r="L10" s="1282"/>
      <c r="M10" s="1282"/>
      <c r="N10" s="1282"/>
      <c r="O10" s="1282"/>
      <c r="P10" s="1282"/>
      <c r="Q10" s="1282"/>
      <c r="R10" s="1282"/>
      <c r="S10" s="1282"/>
      <c r="T10" s="1282"/>
      <c r="U10" s="1282"/>
      <c r="V10" s="1282"/>
      <c r="W10" s="1282"/>
      <c r="X10" s="1282"/>
      <c r="Y10" s="1282"/>
      <c r="Z10" s="1282"/>
      <c r="AA10" s="1282"/>
      <c r="AB10" s="1282"/>
      <c r="AC10" s="1282"/>
      <c r="AD10" s="1282"/>
      <c r="AE10" s="1282"/>
      <c r="AF10" s="1282"/>
      <c r="AG10" s="1282"/>
      <c r="AH10" s="1282"/>
      <c r="AI10" s="1282"/>
      <c r="AJ10" s="1282"/>
      <c r="AK10" s="1282"/>
      <c r="AL10" s="1282"/>
      <c r="AM10" s="13"/>
      <c r="AN10" s="13"/>
      <c r="AO10" s="13"/>
      <c r="AP10" s="13"/>
      <c r="AQ10" s="13"/>
      <c r="AR10" s="13"/>
      <c r="AS10" s="13"/>
      <c r="AT10" s="13"/>
      <c r="AU10" s="13"/>
      <c r="AV10" s="13"/>
      <c r="AW10" s="13"/>
      <c r="AX10" s="13"/>
      <c r="AY10" s="13"/>
    </row>
    <row r="11" spans="1:51" ht="15" customHeight="1">
      <c r="A11" s="1282" t="s">
        <v>1867</v>
      </c>
      <c r="B11" s="1282"/>
      <c r="C11" s="1282"/>
      <c r="D11" s="1282"/>
      <c r="E11" s="1282"/>
      <c r="F11" s="1282"/>
      <c r="G11" s="1282"/>
      <c r="H11" s="1282"/>
      <c r="I11" s="1282"/>
      <c r="J11" s="1282"/>
      <c r="K11" s="1282"/>
      <c r="L11" s="1282"/>
      <c r="M11" s="1282"/>
      <c r="N11" s="1282"/>
      <c r="O11" s="1282"/>
      <c r="P11" s="1282"/>
      <c r="Q11" s="1282"/>
      <c r="R11" s="1282"/>
      <c r="S11" s="1282"/>
      <c r="T11" s="1282"/>
      <c r="U11" s="1282"/>
      <c r="V11" s="1282"/>
      <c r="W11" s="1282"/>
      <c r="X11" s="1282"/>
      <c r="Y11" s="1282"/>
      <c r="Z11" s="1282"/>
      <c r="AA11" s="1282"/>
      <c r="AB11" s="1282"/>
      <c r="AC11" s="1282"/>
      <c r="AD11" s="1282"/>
      <c r="AE11" s="1282"/>
      <c r="AF11" s="1282"/>
      <c r="AG11" s="1282"/>
      <c r="AH11" s="1282"/>
      <c r="AI11" s="1282"/>
      <c r="AJ11" s="1282"/>
      <c r="AK11" s="1282"/>
      <c r="AL11" s="1282"/>
      <c r="AM11" s="13"/>
      <c r="AN11" s="13"/>
      <c r="AO11" s="13"/>
      <c r="AP11" s="13"/>
      <c r="AQ11" s="13"/>
      <c r="AR11" s="13"/>
      <c r="AS11" s="13"/>
      <c r="AT11" s="13"/>
      <c r="AU11" s="13"/>
      <c r="AV11" s="13"/>
      <c r="AW11" s="13"/>
      <c r="AX11" s="13"/>
      <c r="AY11" s="13"/>
    </row>
    <row r="12" spans="1:51" ht="12.75">
      <c r="A12" s="1765" t="s">
        <v>2553</v>
      </c>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1766"/>
      <c r="Y12" s="1766"/>
      <c r="Z12" s="1766"/>
      <c r="AA12" s="1766"/>
      <c r="AB12" s="1766"/>
      <c r="AC12" s="1766"/>
      <c r="AD12" s="1766"/>
      <c r="AE12" s="1766"/>
      <c r="AF12" s="1766"/>
      <c r="AG12" s="1766"/>
      <c r="AH12" s="1766"/>
      <c r="AI12" s="1766"/>
      <c r="AJ12" s="1766"/>
      <c r="AK12" s="1766"/>
      <c r="AL12" s="1766"/>
      <c r="AM12" s="6"/>
      <c r="AN12" s="6"/>
      <c r="AO12" s="6"/>
      <c r="AP12" s="6"/>
      <c r="AQ12" s="6"/>
      <c r="AR12" s="6"/>
      <c r="AS12" s="6"/>
      <c r="AT12" s="6"/>
      <c r="AU12" s="6"/>
      <c r="AV12" s="6"/>
      <c r="AW12" s="6"/>
      <c r="AX12" s="6"/>
      <c r="AY12" s="6"/>
    </row>
    <row r="13" spans="1:51" ht="12.75">
      <c r="A13" s="1244" t="s">
        <v>2555</v>
      </c>
      <c r="B13" s="1244"/>
      <c r="C13" s="1244"/>
      <c r="D13" s="1244"/>
      <c r="E13" s="1244"/>
      <c r="F13" s="1244"/>
      <c r="G13" s="1244"/>
      <c r="H13" s="1244"/>
      <c r="I13" s="1244"/>
      <c r="J13" s="1244"/>
      <c r="K13" s="1244"/>
      <c r="L13" s="1244"/>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939"/>
      <c r="AN13" s="939"/>
      <c r="AO13" s="939"/>
      <c r="AP13" s="939"/>
      <c r="AQ13" s="939"/>
      <c r="AR13" s="939"/>
      <c r="AS13" s="939"/>
      <c r="AT13" s="939"/>
      <c r="AU13" s="939"/>
      <c r="AV13" s="939"/>
      <c r="AW13" s="939"/>
      <c r="AX13" s="939"/>
      <c r="AY13" s="939"/>
    </row>
    <row r="14" spans="1:51" ht="12.75" customHeight="1" thickBot="1">
      <c r="A14" s="1245"/>
      <c r="B14" s="1245"/>
      <c r="C14" s="1245"/>
      <c r="D14" s="1245"/>
      <c r="E14" s="1245"/>
      <c r="F14" s="1245"/>
      <c r="G14" s="1245"/>
      <c r="H14" s="1245"/>
      <c r="I14" s="1245"/>
      <c r="J14" s="1245"/>
      <c r="K14" s="1245"/>
      <c r="L14" s="1245"/>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5"/>
      <c r="AL14" s="1245"/>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2556</v>
      </c>
      <c r="C16" s="4"/>
      <c r="D16" s="4"/>
      <c r="E16" s="4"/>
      <c r="F16" s="4"/>
      <c r="G16" s="4"/>
      <c r="H16" s="1745" t="s">
        <v>2600</v>
      </c>
      <c r="I16" s="1746"/>
      <c r="J16" s="1746"/>
      <c r="K16" s="1746"/>
      <c r="L16" s="1746"/>
      <c r="M16" s="1746"/>
      <c r="N16" s="1746"/>
      <c r="O16" s="1746"/>
      <c r="P16" s="1746"/>
      <c r="Q16" s="1746"/>
      <c r="R16" s="1746"/>
      <c r="S16" s="1746"/>
      <c r="T16" s="1746"/>
      <c r="U16" s="1746"/>
      <c r="V16" s="1746"/>
      <c r="W16" s="1746"/>
      <c r="X16" s="1746"/>
      <c r="Y16" s="1746"/>
      <c r="Z16" s="1746"/>
      <c r="AA16" s="1746"/>
      <c r="AB16" s="1746"/>
      <c r="AC16" s="1746"/>
      <c r="AD16" s="1746"/>
      <c r="AE16" s="1746"/>
      <c r="AF16" s="1746"/>
      <c r="AG16" s="1746"/>
      <c r="AH16" s="1746"/>
      <c r="AI16" s="1746"/>
      <c r="AJ16" s="1746"/>
    </row>
    <row r="17" spans="1:52" ht="12.75" customHeight="1"/>
    <row r="18" spans="1:52" ht="12.75" customHeight="1">
      <c r="A18" s="57" t="s">
        <v>106</v>
      </c>
      <c r="C18" s="4"/>
      <c r="D18" s="4"/>
      <c r="E18" s="4"/>
      <c r="F18" s="4"/>
      <c r="G18" s="4"/>
      <c r="H18" s="1615" t="s">
        <v>2601</v>
      </c>
      <c r="I18" s="1657"/>
      <c r="J18" s="1657"/>
      <c r="K18" s="1657"/>
      <c r="L18" s="1657"/>
      <c r="M18" s="1657"/>
      <c r="N18" s="1657"/>
      <c r="O18" s="1657"/>
      <c r="P18" s="1657"/>
      <c r="Q18" s="1657"/>
      <c r="R18" s="1657"/>
      <c r="S18" s="1657"/>
      <c r="T18" s="1657"/>
      <c r="U18" s="1657"/>
      <c r="V18" s="1657"/>
      <c r="W18" s="1657"/>
      <c r="X18" s="1657"/>
      <c r="Y18" s="1657"/>
      <c r="Z18" s="1657"/>
      <c r="AA18" s="1657"/>
      <c r="AB18" s="1657"/>
      <c r="AC18" s="1657"/>
      <c r="AD18" s="1657"/>
      <c r="AE18" s="1657"/>
      <c r="AF18" s="1657"/>
      <c r="AG18" s="1657"/>
      <c r="AH18" s="1657"/>
      <c r="AI18" s="1657"/>
      <c r="AJ18" s="1657"/>
    </row>
    <row r="19" spans="1:52" ht="12.75" customHeight="1"/>
    <row r="20" spans="1:52" ht="14.25" customHeight="1">
      <c r="A20" s="1758" t="s">
        <v>921</v>
      </c>
      <c r="B20" s="1758"/>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940"/>
      <c r="AN20" s="940"/>
      <c r="AO20" s="940"/>
      <c r="AP20" s="940"/>
      <c r="AQ20" s="940"/>
      <c r="AR20" s="940"/>
      <c r="AS20" s="940"/>
      <c r="AT20" s="940"/>
      <c r="AU20" s="940"/>
      <c r="AV20" s="940"/>
      <c r="AW20" s="940"/>
      <c r="AX20" s="940"/>
      <c r="AY20" s="940"/>
    </row>
    <row r="21" spans="1:52" ht="12.75" customHeight="1">
      <c r="A21" s="1768" t="s">
        <v>1087</v>
      </c>
      <c r="B21" s="1768"/>
      <c r="C21" s="1768"/>
      <c r="D21" s="1768"/>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768"/>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67">
        <f>'Basis &amp; Credits'!AB56</f>
        <v>2324199</v>
      </c>
      <c r="N26" s="1767"/>
      <c r="O26" s="1767"/>
      <c r="P26" s="1767"/>
      <c r="Q26" s="1767"/>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4">
        <f>'Basis &amp; Credits'!AB77</f>
        <v>10539300</v>
      </c>
      <c r="N27" s="1344"/>
      <c r="O27" s="1344"/>
      <c r="P27" s="1344"/>
      <c r="Q27" s="1344"/>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1460</v>
      </c>
      <c r="C33" s="557"/>
      <c r="D33" s="557"/>
      <c r="E33" s="557"/>
      <c r="F33" s="557"/>
      <c r="G33" s="557"/>
      <c r="H33" s="557"/>
      <c r="I33" s="557"/>
      <c r="J33" s="557"/>
      <c r="K33" s="557"/>
      <c r="L33" s="557"/>
      <c r="M33" s="557"/>
      <c r="N33" s="557"/>
      <c r="O33" s="1359" t="s">
        <v>571</v>
      </c>
      <c r="P33" s="1359"/>
      <c r="Q33" s="557" t="s">
        <v>1461</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1463</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1462</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1464</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1465</v>
      </c>
      <c r="AZ37" s="20"/>
    </row>
    <row r="38" spans="1:52" ht="12.75" customHeight="1">
      <c r="A38" s="3" t="s">
        <v>1466</v>
      </c>
      <c r="AZ38" s="20"/>
    </row>
    <row r="39" spans="1:52" ht="12.75" customHeight="1">
      <c r="AZ39" s="20"/>
    </row>
    <row r="40" spans="1:52" ht="12.75" customHeight="1">
      <c r="A40" s="557" t="s">
        <v>2559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2560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1490</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1491</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1492</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1493</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1494</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1495</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1496</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2570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759"/>
      <c r="H122" s="1759"/>
      <c r="I122" s="3" t="s">
        <v>187</v>
      </c>
      <c r="L122" s="1759"/>
      <c r="M122" s="1759"/>
      <c r="N122" s="1759"/>
      <c r="O122" s="1755" t="s">
        <v>1449</v>
      </c>
      <c r="P122" s="1755"/>
      <c r="Q122" s="1755"/>
      <c r="R122" s="1755"/>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75"/>
      <c r="D124" s="1775"/>
      <c r="E124" s="1775"/>
      <c r="F124" s="1775"/>
      <c r="G124" s="1775"/>
      <c r="H124" s="1775"/>
      <c r="I124" s="1775"/>
      <c r="J124" s="1775"/>
      <c r="K124" s="1775"/>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759"/>
      <c r="Z126" s="1759"/>
      <c r="AA126" s="1759"/>
      <c r="AB126" s="1759"/>
      <c r="AC126" s="1759"/>
      <c r="AD126" s="1759"/>
      <c r="AE126" s="1759"/>
      <c r="AF126" s="1759"/>
      <c r="AG126" s="1759"/>
      <c r="AH126" s="1759"/>
      <c r="AI126" s="1759"/>
      <c r="AJ126" s="1759"/>
      <c r="AK126" s="1759"/>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759"/>
      <c r="Z129" s="1759"/>
      <c r="AA129" s="1759"/>
      <c r="AB129" s="1759"/>
      <c r="AC129" s="1759"/>
      <c r="AD129" s="1759"/>
      <c r="AE129" s="1759"/>
      <c r="AF129" s="1759"/>
      <c r="AG129" s="1759"/>
      <c r="AH129" s="1759"/>
      <c r="AI129" s="1759"/>
      <c r="AJ129" s="1759"/>
      <c r="AK129" s="1759"/>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59"/>
      <c r="Z132" s="1759"/>
      <c r="AA132" s="1759"/>
      <c r="AB132" s="1759"/>
      <c r="AC132" s="1759"/>
      <c r="AD132" s="1759"/>
      <c r="AE132" s="1759"/>
      <c r="AF132" s="1759"/>
      <c r="AG132" s="1759"/>
      <c r="AH132" s="1759"/>
      <c r="AI132" s="1759"/>
      <c r="AJ132" s="1759"/>
      <c r="AK132" s="1759"/>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1"/>
      <c r="G150" s="1281"/>
      <c r="H150" s="1281"/>
      <c r="I150" s="1281"/>
      <c r="J150" s="1281"/>
      <c r="K150" s="1281"/>
      <c r="L150" s="1281"/>
      <c r="M150" s="1281"/>
      <c r="N150" s="1281"/>
      <c r="O150" s="1281"/>
      <c r="P150" s="1281"/>
      <c r="Q150" s="1281"/>
      <c r="R150" s="1281"/>
      <c r="S150" s="1281"/>
      <c r="T150" s="128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615" t="s">
        <v>2605</v>
      </c>
      <c r="P153" s="1615"/>
      <c r="Q153" s="1615"/>
      <c r="R153" s="1615"/>
      <c r="S153" s="1615"/>
      <c r="T153" s="1615"/>
      <c r="U153" s="1615"/>
      <c r="V153" s="1615"/>
      <c r="W153" s="1615"/>
      <c r="X153" s="1615"/>
      <c r="Y153" s="1615"/>
      <c r="Z153" s="1615"/>
      <c r="AA153" s="1615"/>
      <c r="AB153" s="1615"/>
      <c r="AC153" s="1615"/>
      <c r="AD153" s="1615"/>
      <c r="AE153" s="1615"/>
      <c r="AF153" s="1615"/>
      <c r="AG153" s="1615"/>
      <c r="AH153" s="1615"/>
    </row>
    <row r="154" spans="1:72" ht="12.75" customHeight="1">
      <c r="D154" s="327" t="s">
        <v>458</v>
      </c>
      <c r="O154" s="1413" t="s">
        <v>2606</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2.75">
      <c r="D155" s="8" t="s">
        <v>460</v>
      </c>
      <c r="F155" s="8"/>
      <c r="G155" s="8"/>
      <c r="H155" s="8"/>
      <c r="I155" s="8"/>
      <c r="J155" s="8"/>
      <c r="K155" s="8"/>
      <c r="L155" s="8"/>
      <c r="M155" s="8"/>
      <c r="N155" s="8"/>
      <c r="O155" s="1749" t="s">
        <v>459</v>
      </c>
      <c r="P155" s="1749"/>
      <c r="Q155" s="1749"/>
      <c r="R155" s="1749"/>
      <c r="S155" s="1749"/>
      <c r="T155" s="1749"/>
      <c r="U155" s="1749"/>
      <c r="V155" s="1749"/>
      <c r="W155" s="1749"/>
      <c r="X155" s="1749"/>
      <c r="Y155" s="1749"/>
      <c r="Z155" s="1749"/>
      <c r="AA155" s="1749"/>
      <c r="AB155" s="1749"/>
      <c r="AC155" s="1749"/>
      <c r="AD155" s="1749"/>
      <c r="AE155" s="1749"/>
      <c r="AF155" s="1749"/>
      <c r="AG155" s="1749"/>
      <c r="AH155" s="1749"/>
    </row>
    <row r="156" spans="1:72" ht="12.75">
      <c r="D156" t="s">
        <v>319</v>
      </c>
      <c r="O156" s="1382" t="s">
        <v>2607</v>
      </c>
      <c r="P156" s="1382"/>
      <c r="Q156" s="1382"/>
      <c r="R156" s="1382"/>
      <c r="S156" s="1382"/>
      <c r="T156" s="1382"/>
      <c r="U156" s="1382"/>
      <c r="V156" s="1382"/>
      <c r="W156" s="1382"/>
      <c r="X156" s="1382"/>
      <c r="Y156" s="1382"/>
      <c r="Z156" s="1382"/>
      <c r="AA156" s="1382"/>
      <c r="AB156" s="1382"/>
      <c r="AC156" s="1382"/>
      <c r="AD156" s="1382"/>
      <c r="AE156" s="1382"/>
      <c r="AF156" s="1382"/>
      <c r="AG156" s="1382"/>
      <c r="AH156" s="1382"/>
      <c r="BT156" t="s">
        <v>313</v>
      </c>
    </row>
    <row r="157" spans="1:72" ht="12.75">
      <c r="D157" t="s">
        <v>320</v>
      </c>
      <c r="O157" s="1615" t="s">
        <v>2608</v>
      </c>
      <c r="P157" s="1615"/>
      <c r="Q157" s="1615"/>
      <c r="R157" s="1615"/>
      <c r="S157" s="1615"/>
      <c r="T157" s="1615"/>
      <c r="U157" s="1615"/>
      <c r="V157" s="1615"/>
      <c r="W157" s="1615"/>
      <c r="X157" s="1615"/>
      <c r="Y157" s="8"/>
      <c r="Z157" s="8"/>
      <c r="AA157" s="8"/>
      <c r="AB157" s="8"/>
      <c r="AC157" s="8"/>
      <c r="AD157" s="8"/>
      <c r="AE157" s="8"/>
      <c r="AF157" s="8"/>
      <c r="BN157" s="23" t="s">
        <v>663</v>
      </c>
      <c r="BT157" t="s">
        <v>502</v>
      </c>
    </row>
    <row r="158" spans="1:72" ht="12.75">
      <c r="D158" t="s">
        <v>321</v>
      </c>
      <c r="O158" s="1750">
        <v>95928</v>
      </c>
      <c r="P158" s="1750"/>
      <c r="Q158" s="1750"/>
      <c r="R158" s="1750"/>
      <c r="S158" s="9"/>
      <c r="T158" s="9"/>
      <c r="U158" s="9"/>
      <c r="V158" s="9"/>
      <c r="W158" s="9"/>
      <c r="X158" s="9"/>
      <c r="Y158" s="9"/>
      <c r="Z158" s="9"/>
      <c r="AA158" s="9"/>
      <c r="AB158" s="9"/>
      <c r="AC158" s="9"/>
      <c r="AD158" s="9"/>
      <c r="AE158" s="9"/>
      <c r="AF158" s="9"/>
      <c r="BN158" s="23" t="s">
        <v>664</v>
      </c>
      <c r="BT158" t="s">
        <v>503</v>
      </c>
    </row>
    <row r="159" spans="1:72" ht="12.75">
      <c r="D159" t="s">
        <v>322</v>
      </c>
      <c r="O159" s="1752">
        <v>5308967200</v>
      </c>
      <c r="P159" s="1752"/>
      <c r="Q159" s="1752"/>
      <c r="R159" s="1752"/>
      <c r="S159" s="1752"/>
      <c r="T159" s="1752"/>
      <c r="V159" s="97" t="s">
        <v>277</v>
      </c>
      <c r="W159" s="1751"/>
      <c r="X159" s="1751"/>
      <c r="Y159" s="10"/>
      <c r="Z159" s="10"/>
      <c r="AA159" s="10"/>
      <c r="AB159" s="10"/>
      <c r="AC159" s="10"/>
      <c r="AD159" s="10"/>
      <c r="AE159" s="10"/>
      <c r="AF159" s="10"/>
      <c r="BN159" s="23" t="s">
        <v>346</v>
      </c>
      <c r="BT159" t="s">
        <v>504</v>
      </c>
    </row>
    <row r="160" spans="1:72" ht="12.75">
      <c r="D160" t="s">
        <v>323</v>
      </c>
      <c r="O160" s="1752">
        <v>5308954825</v>
      </c>
      <c r="P160" s="1752"/>
      <c r="Q160" s="1752"/>
      <c r="R160" s="1752"/>
      <c r="S160" s="1752"/>
      <c r="T160" s="1752"/>
      <c r="U160" s="10"/>
      <c r="V160" s="10"/>
      <c r="W160" s="10"/>
      <c r="X160" s="10"/>
      <c r="Y160" s="10"/>
      <c r="Z160" s="10"/>
      <c r="AA160" s="10"/>
      <c r="AB160" s="10"/>
      <c r="AC160" s="10"/>
      <c r="AD160" s="10"/>
      <c r="AE160" s="10"/>
      <c r="AF160" s="10"/>
      <c r="BN160" s="23" t="s">
        <v>687</v>
      </c>
      <c r="BT160" t="s">
        <v>505</v>
      </c>
    </row>
    <row r="161" spans="1:72" ht="12.75">
      <c r="D161" t="s">
        <v>324</v>
      </c>
      <c r="O161" s="1671" t="s">
        <v>2609</v>
      </c>
      <c r="P161" s="1671"/>
      <c r="Q161" s="1671"/>
      <c r="R161" s="1671"/>
      <c r="S161" s="1671"/>
      <c r="T161" s="1671"/>
      <c r="U161" s="1671"/>
      <c r="V161" s="1671"/>
      <c r="W161" s="1671"/>
      <c r="X161" s="1671"/>
      <c r="Y161" s="1671"/>
      <c r="Z161" s="1671"/>
      <c r="AA161" s="1671"/>
      <c r="AB161" s="1671"/>
      <c r="AC161" s="1671"/>
      <c r="AD161" s="1671"/>
      <c r="AE161" s="1671"/>
      <c r="AF161" s="1671"/>
      <c r="AG161" s="1671"/>
      <c r="AH161" s="1671"/>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776" t="s">
        <v>1410</v>
      </c>
      <c r="E164" s="1776"/>
      <c r="F164" s="1776"/>
      <c r="G164" s="1776"/>
      <c r="H164" s="1776"/>
      <c r="I164" s="1776"/>
      <c r="J164" s="1776"/>
      <c r="K164" s="1776"/>
      <c r="L164" s="1776"/>
      <c r="M164" s="1776"/>
      <c r="N164" s="1776"/>
      <c r="O164" s="1776"/>
      <c r="P164" s="1776"/>
      <c r="Q164" s="1776"/>
      <c r="R164" s="1776"/>
      <c r="S164" s="1776"/>
      <c r="T164" s="1776"/>
      <c r="U164" s="1776"/>
      <c r="V164" s="1776"/>
      <c r="W164" s="1776"/>
      <c r="X164" s="1776"/>
      <c r="Y164" s="1776"/>
      <c r="Z164" s="1776"/>
      <c r="AA164" s="1776"/>
      <c r="AB164" s="1776"/>
      <c r="AC164" s="1776"/>
      <c r="AD164" s="1776"/>
      <c r="AE164" s="1776"/>
      <c r="AF164" s="1776"/>
      <c r="AG164" s="1776"/>
      <c r="AH164" s="1776"/>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606" t="s">
        <v>565</v>
      </c>
      <c r="B169" s="1606"/>
      <c r="C169" s="1606"/>
      <c r="D169" s="1606"/>
      <c r="E169" s="1606"/>
      <c r="F169" s="1606"/>
      <c r="G169" s="1606"/>
      <c r="H169" s="1606"/>
      <c r="I169" s="1606"/>
      <c r="J169" s="1606"/>
      <c r="K169" s="1606"/>
      <c r="L169" s="1606"/>
      <c r="M169" s="1606"/>
      <c r="N169" s="1606"/>
      <c r="O169" s="1606"/>
      <c r="P169" s="1606"/>
      <c r="Q169" s="1606"/>
      <c r="R169" s="1606"/>
      <c r="S169" s="1606"/>
      <c r="T169" s="1606"/>
      <c r="U169" s="1606"/>
      <c r="V169" s="1606"/>
      <c r="W169" s="1606"/>
      <c r="X169" s="1606"/>
      <c r="Y169" s="1606"/>
      <c r="Z169" s="1606"/>
      <c r="AA169" s="1606"/>
      <c r="AB169" s="1606"/>
      <c r="AC169" s="1606"/>
      <c r="AD169" s="1606"/>
      <c r="AE169" s="1606"/>
      <c r="AF169" s="1606"/>
      <c r="AG169" s="1606"/>
      <c r="AH169" s="1606"/>
      <c r="AI169" s="1606"/>
      <c r="AJ169" s="1606"/>
      <c r="AK169" s="1606"/>
      <c r="AL169" s="1606"/>
      <c r="AM169" s="95"/>
      <c r="AN169" s="95"/>
      <c r="AO169" s="95"/>
      <c r="AP169" s="95"/>
      <c r="AQ169" s="95"/>
      <c r="AR169" s="95"/>
      <c r="AS169" s="95"/>
      <c r="AT169" s="95"/>
      <c r="AU169" s="95"/>
      <c r="AV169" s="95"/>
      <c r="AW169" s="95"/>
      <c r="AX169" s="95"/>
      <c r="AY169" s="95"/>
      <c r="BN169" s="23" t="s">
        <v>700</v>
      </c>
      <c r="BT169" t="s">
        <v>514</v>
      </c>
    </row>
    <row r="170" spans="1:72" ht="13.5" thickBot="1">
      <c r="A170" s="1607"/>
      <c r="B170" s="1607"/>
      <c r="C170" s="1607"/>
      <c r="D170" s="1607"/>
      <c r="E170" s="1607"/>
      <c r="F170" s="1607"/>
      <c r="G170" s="1607"/>
      <c r="H170" s="1607"/>
      <c r="I170" s="1607"/>
      <c r="J170" s="1607"/>
      <c r="K170" s="1607"/>
      <c r="L170" s="1607"/>
      <c r="M170" s="1607"/>
      <c r="N170" s="1607"/>
      <c r="O170" s="1607"/>
      <c r="P170" s="1607"/>
      <c r="Q170" s="1607"/>
      <c r="R170" s="1607"/>
      <c r="S170" s="1607"/>
      <c r="T170" s="1607"/>
      <c r="U170" s="1607"/>
      <c r="V170" s="1607"/>
      <c r="W170" s="1607"/>
      <c r="X170" s="1607"/>
      <c r="Y170" s="1607"/>
      <c r="Z170" s="1607"/>
      <c r="AA170" s="1607"/>
      <c r="AB170" s="1607"/>
      <c r="AC170" s="1607"/>
      <c r="AD170" s="1607"/>
      <c r="AE170" s="1607"/>
      <c r="AF170" s="1607"/>
      <c r="AG170" s="1607"/>
      <c r="AH170" s="1607"/>
      <c r="AI170" s="1607"/>
      <c r="AJ170" s="1607"/>
      <c r="AK170" s="1607"/>
      <c r="AL170" s="1607"/>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769" t="s">
        <v>386</v>
      </c>
      <c r="K173" s="1769"/>
      <c r="L173" s="1769"/>
      <c r="M173" s="1769"/>
      <c r="N173" s="1769"/>
      <c r="O173" s="1769"/>
      <c r="P173" s="1769"/>
      <c r="Q173" s="1769"/>
      <c r="R173" s="1769"/>
      <c r="S173" s="1769"/>
      <c r="U173" s="25"/>
      <c r="X173" s="25"/>
      <c r="BN173" s="23" t="s">
        <v>220</v>
      </c>
      <c r="BT173" t="s">
        <v>518</v>
      </c>
    </row>
    <row r="174" spans="1:72" ht="12.75">
      <c r="C174" s="24"/>
      <c r="D174" s="3" t="s">
        <v>1367</v>
      </c>
      <c r="J174" s="1382" t="s">
        <v>2576</v>
      </c>
      <c r="K174" s="1382"/>
      <c r="L174" s="1382"/>
      <c r="M174" s="1382"/>
      <c r="N174" s="1382"/>
      <c r="O174" s="1382"/>
      <c r="P174" s="1382"/>
      <c r="Q174" s="1382"/>
      <c r="R174" s="1382"/>
      <c r="S174" s="1382"/>
      <c r="T174" s="1382"/>
      <c r="U174" s="1382"/>
      <c r="V174" s="1382"/>
      <c r="W174" s="1382"/>
      <c r="X174" s="1382"/>
      <c r="Y174" s="1382"/>
      <c r="Z174" s="1382"/>
      <c r="BN174" s="23" t="s">
        <v>222</v>
      </c>
      <c r="BT174" t="s">
        <v>519</v>
      </c>
    </row>
    <row r="175" spans="1:72" ht="12.75">
      <c r="C175" s="8"/>
      <c r="D175" s="3" t="s">
        <v>328</v>
      </c>
      <c r="O175" s="27"/>
      <c r="U175" s="1359" t="s">
        <v>571</v>
      </c>
      <c r="V175" s="1359"/>
      <c r="BN175" s="23" t="s">
        <v>223</v>
      </c>
      <c r="BT175" t="s">
        <v>520</v>
      </c>
    </row>
    <row r="176" spans="1:72" ht="12.75">
      <c r="C176" s="8"/>
      <c r="D176" s="26"/>
      <c r="E176" t="s">
        <v>310</v>
      </c>
      <c r="O176" s="27"/>
      <c r="P176" t="s">
        <v>2577</v>
      </c>
      <c r="S176" t="s">
        <v>311</v>
      </c>
      <c r="U176" s="1367">
        <v>22</v>
      </c>
      <c r="V176" s="1367"/>
      <c r="W176" s="1" t="s">
        <v>312</v>
      </c>
      <c r="X176" s="1754">
        <v>455</v>
      </c>
      <c r="Y176" s="1754"/>
      <c r="BN176" s="23" t="s">
        <v>225</v>
      </c>
      <c r="BT176" t="s">
        <v>521</v>
      </c>
    </row>
    <row r="177" spans="1:72" ht="12.75">
      <c r="C177" s="24"/>
      <c r="D177" t="s">
        <v>255</v>
      </c>
      <c r="R177" s="1359" t="s">
        <v>696</v>
      </c>
      <c r="S177" s="1359"/>
      <c r="BN177" s="23" t="s">
        <v>226</v>
      </c>
      <c r="BT177" t="s">
        <v>522</v>
      </c>
    </row>
    <row r="178" spans="1:72" ht="12.75">
      <c r="C178" s="24"/>
      <c r="D178" s="3" t="s">
        <v>1368</v>
      </c>
      <c r="AA178" t="s">
        <v>2577</v>
      </c>
      <c r="AD178" t="s">
        <v>311</v>
      </c>
      <c r="AF178" s="1616"/>
      <c r="AG178" s="1616"/>
      <c r="AH178" s="1" t="s">
        <v>312</v>
      </c>
      <c r="AI178" s="1662"/>
      <c r="AJ178" s="1662"/>
      <c r="AK178" s="1662"/>
      <c r="BN178" s="23" t="s">
        <v>227</v>
      </c>
      <c r="BT178" t="s">
        <v>56</v>
      </c>
    </row>
    <row r="179" spans="1:72" ht="12.75">
      <c r="C179" s="24"/>
      <c r="BN179" s="23" t="s">
        <v>228</v>
      </c>
      <c r="BT179" t="s">
        <v>57</v>
      </c>
    </row>
    <row r="180" spans="1:72" ht="12.75">
      <c r="C180" s="24"/>
      <c r="D180" t="s">
        <v>2578</v>
      </c>
      <c r="X180" s="1359" t="s">
        <v>696</v>
      </c>
      <c r="Y180" s="1359"/>
      <c r="BN180" s="23" t="s">
        <v>230</v>
      </c>
      <c r="BT180" t="s">
        <v>58</v>
      </c>
    </row>
    <row r="181" spans="1:72" ht="12.95" customHeight="1">
      <c r="C181" s="8"/>
      <c r="E181" s="4" t="s">
        <v>1036</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42" t="str">
        <f>H18</f>
        <v>Cussick Apartments</v>
      </c>
      <c r="J184" s="1342"/>
      <c r="K184" s="1342"/>
      <c r="L184" s="1342"/>
      <c r="M184" s="1342"/>
      <c r="N184" s="1342"/>
      <c r="O184" s="1342"/>
      <c r="P184" s="1342"/>
      <c r="Q184" s="1342"/>
      <c r="R184" s="1342"/>
      <c r="S184" s="1342"/>
      <c r="T184" s="1342"/>
      <c r="U184" s="1342"/>
      <c r="V184" s="1342"/>
      <c r="W184" s="1342"/>
      <c r="X184" s="1342"/>
      <c r="Y184" s="1342"/>
      <c r="Z184" s="1342"/>
      <c r="AA184" s="1342"/>
      <c r="AB184" s="1342"/>
      <c r="AC184" s="1342"/>
      <c r="AD184" s="1342"/>
      <c r="AE184" s="1342"/>
      <c r="BC184" t="s">
        <v>614</v>
      </c>
      <c r="BN184" s="23" t="s">
        <v>236</v>
      </c>
      <c r="BT184" t="s">
        <v>65</v>
      </c>
    </row>
    <row r="185" spans="1:72" ht="12.75">
      <c r="C185" s="21"/>
      <c r="D185" t="s">
        <v>606</v>
      </c>
      <c r="I185" s="1352" t="s">
        <v>2602</v>
      </c>
      <c r="J185" s="1352"/>
      <c r="K185" s="1352"/>
      <c r="L185" s="1352"/>
      <c r="M185" s="1352"/>
      <c r="N185" s="1352"/>
      <c r="O185" s="1352"/>
      <c r="P185" s="1352"/>
      <c r="Q185" s="1352"/>
      <c r="R185" s="1352"/>
      <c r="S185" s="1352"/>
      <c r="T185" s="1352"/>
      <c r="U185" s="1352"/>
      <c r="V185" s="1352"/>
      <c r="W185" s="1352"/>
      <c r="X185" s="1352"/>
      <c r="Y185" s="1352"/>
      <c r="Z185" s="1352"/>
      <c r="AA185" s="1352"/>
      <c r="AB185" s="1352"/>
      <c r="AC185" s="1352"/>
      <c r="AD185" s="1352"/>
      <c r="AE185" s="1352"/>
      <c r="BC185" t="s">
        <v>615</v>
      </c>
      <c r="BN185" s="23" t="s">
        <v>237</v>
      </c>
      <c r="BT185" t="s">
        <v>66</v>
      </c>
    </row>
    <row r="186" spans="1:72" ht="12.75">
      <c r="C186" s="21"/>
      <c r="E186" t="s">
        <v>173</v>
      </c>
      <c r="BN186" s="23" t="s">
        <v>238</v>
      </c>
      <c r="BT186" t="s">
        <v>67</v>
      </c>
    </row>
    <row r="187" spans="1:72" ht="12.75">
      <c r="C187" s="21"/>
      <c r="E187" s="1763" t="s">
        <v>2602</v>
      </c>
      <c r="F187" s="1763"/>
      <c r="G187" s="1763"/>
      <c r="H187" s="1763"/>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BN187" s="23" t="s">
        <v>239</v>
      </c>
      <c r="BT187" t="s">
        <v>68</v>
      </c>
    </row>
    <row r="188" spans="1:72" ht="12.75">
      <c r="C188" s="21"/>
      <c r="E188" s="1764"/>
      <c r="F188" s="1764"/>
      <c r="G188" s="1764"/>
      <c r="H188" s="1764"/>
      <c r="I188" s="1764"/>
      <c r="J188" s="1764"/>
      <c r="K188" s="1764"/>
      <c r="L188" s="1764"/>
      <c r="M188" s="1764"/>
      <c r="N188" s="1764"/>
      <c r="O188" s="1764"/>
      <c r="P188" s="1764"/>
      <c r="Q188" s="1764"/>
      <c r="R188" s="1764"/>
      <c r="S188" s="1764"/>
      <c r="T188" s="1764"/>
      <c r="U188" s="1764"/>
      <c r="V188" s="1764"/>
      <c r="W188" s="1764"/>
      <c r="X188" s="1764"/>
      <c r="Y188" s="1764"/>
      <c r="Z188" s="1764"/>
      <c r="AA188" s="1764"/>
      <c r="AB188" s="1764"/>
      <c r="AC188" s="1764"/>
      <c r="AD188" s="1764"/>
      <c r="AE188" s="1764"/>
      <c r="BN188" s="23" t="s">
        <v>241</v>
      </c>
      <c r="BT188" t="s">
        <v>69</v>
      </c>
    </row>
    <row r="189" spans="1:72" ht="12.75">
      <c r="C189" s="21"/>
      <c r="D189" t="s">
        <v>607</v>
      </c>
      <c r="I189" s="1382" t="s">
        <v>2604</v>
      </c>
      <c r="J189" s="1382"/>
      <c r="K189" s="1382"/>
      <c r="L189" s="1382"/>
      <c r="M189" s="1382"/>
      <c r="N189" s="1382"/>
      <c r="O189" s="1382"/>
      <c r="P189" s="1382"/>
      <c r="Q189" t="s">
        <v>609</v>
      </c>
      <c r="T189" s="1382" t="s">
        <v>505</v>
      </c>
      <c r="U189" s="1382"/>
      <c r="V189" s="1382"/>
      <c r="W189" s="1382"/>
      <c r="X189" s="1382"/>
      <c r="Y189" s="1382"/>
      <c r="Z189" s="1382"/>
      <c r="AA189" s="1382"/>
      <c r="AB189" s="1382"/>
      <c r="AC189" s="1382"/>
      <c r="AD189" s="1382"/>
      <c r="AE189" s="1382"/>
      <c r="BC189" t="s">
        <v>313</v>
      </c>
      <c r="BH189" s="3" t="s">
        <v>618</v>
      </c>
      <c r="BN189" s="23" t="s">
        <v>242</v>
      </c>
      <c r="BT189" t="s">
        <v>70</v>
      </c>
    </row>
    <row r="190" spans="1:72" ht="12.75">
      <c r="C190" s="21"/>
      <c r="D190" t="s">
        <v>610</v>
      </c>
      <c r="I190" s="1352">
        <v>95928</v>
      </c>
      <c r="J190" s="1352"/>
      <c r="K190" s="1352"/>
      <c r="L190" s="1352"/>
      <c r="M190" s="1352"/>
      <c r="N190" s="1352"/>
      <c r="O190" t="s">
        <v>612</v>
      </c>
      <c r="T190" s="1761">
        <v>4.03</v>
      </c>
      <c r="U190" s="1761"/>
      <c r="V190" s="1761"/>
      <c r="W190" s="1761"/>
      <c r="X190" s="1761"/>
      <c r="Y190" s="1761"/>
      <c r="Z190" s="1761"/>
      <c r="AA190" s="1761"/>
      <c r="AB190" s="1761"/>
      <c r="AC190" s="1761"/>
      <c r="AD190" s="1761"/>
      <c r="AE190" s="1761"/>
      <c r="BC190" t="s">
        <v>1124</v>
      </c>
      <c r="BH190" t="s">
        <v>1124</v>
      </c>
      <c r="BN190" s="23" t="s">
        <v>662</v>
      </c>
      <c r="BT190" t="s">
        <v>71</v>
      </c>
    </row>
    <row r="191" spans="1:72" ht="12.75">
      <c r="C191" s="21"/>
      <c r="D191" t="s">
        <v>488</v>
      </c>
      <c r="N191" s="1763" t="s">
        <v>2603</v>
      </c>
      <c r="O191" s="1763"/>
      <c r="P191" s="1763"/>
      <c r="Q191" s="1763"/>
      <c r="R191" s="1763"/>
      <c r="S191" s="1763"/>
      <c r="T191" s="1763"/>
      <c r="U191" s="1763"/>
      <c r="V191" s="1763"/>
      <c r="W191" s="1763"/>
      <c r="X191" s="1763"/>
      <c r="Y191" s="1763"/>
      <c r="Z191" s="1763"/>
      <c r="AA191" s="1763"/>
      <c r="AB191" s="1763"/>
      <c r="AC191" s="1763"/>
      <c r="AD191" s="1763"/>
      <c r="AE191" s="1763"/>
      <c r="BC191" t="s">
        <v>1123</v>
      </c>
      <c r="BH191" t="s">
        <v>1123</v>
      </c>
      <c r="BN191" s="23" t="s">
        <v>716</v>
      </c>
      <c r="BT191" t="s">
        <v>758</v>
      </c>
    </row>
    <row r="192" spans="1:72" ht="12.75">
      <c r="C192" s="21"/>
      <c r="M192" s="40"/>
      <c r="N192" s="1764"/>
      <c r="O192" s="1764"/>
      <c r="P192" s="1764"/>
      <c r="Q192" s="1764"/>
      <c r="R192" s="1764"/>
      <c r="S192" s="1764"/>
      <c r="T192" s="1764"/>
      <c r="U192" s="1764"/>
      <c r="V192" s="1764"/>
      <c r="W192" s="1764"/>
      <c r="X192" s="1764"/>
      <c r="Y192" s="1764"/>
      <c r="Z192" s="1764"/>
      <c r="AA192" s="1764"/>
      <c r="AB192" s="1764"/>
      <c r="AC192" s="1764"/>
      <c r="AD192" s="1764"/>
      <c r="AE192" s="1764"/>
      <c r="BC192" t="s">
        <v>1126</v>
      </c>
      <c r="BH192" s="3" t="s">
        <v>1836</v>
      </c>
      <c r="BN192" s="23" t="s">
        <v>717</v>
      </c>
      <c r="BT192" t="s">
        <v>759</v>
      </c>
    </row>
    <row r="193" spans="1:74" ht="12.75">
      <c r="C193" s="21"/>
      <c r="D193" t="s">
        <v>2579</v>
      </c>
      <c r="M193" s="40"/>
      <c r="N193" s="933"/>
      <c r="O193" s="933"/>
      <c r="P193" s="933"/>
      <c r="Q193" s="933"/>
      <c r="R193" s="933"/>
      <c r="S193" s="933"/>
      <c r="T193" s="1770" t="s">
        <v>2390</v>
      </c>
      <c r="U193" s="1770"/>
      <c r="V193" s="1770"/>
      <c r="W193" s="1770"/>
      <c r="X193" s="1770"/>
      <c r="Y193" s="1770"/>
      <c r="Z193" s="1770"/>
      <c r="AA193" s="1770"/>
      <c r="AB193" s="1770"/>
      <c r="AC193" s="1770"/>
      <c r="AD193" s="1770"/>
      <c r="AE193" s="1770"/>
      <c r="AF193" s="1770"/>
      <c r="AG193" s="1770"/>
      <c r="AH193" s="1770"/>
      <c r="AI193" s="1770"/>
      <c r="BC193" t="s">
        <v>1125</v>
      </c>
      <c r="BH193" s="3" t="s">
        <v>1837</v>
      </c>
      <c r="BN193" s="23" t="s">
        <v>718</v>
      </c>
      <c r="BT193" t="s">
        <v>760</v>
      </c>
    </row>
    <row r="194" spans="1:74" ht="12.75">
      <c r="C194" s="21"/>
      <c r="D194" t="s">
        <v>337</v>
      </c>
      <c r="T194" s="1359" t="s">
        <v>571</v>
      </c>
      <c r="U194" s="1359"/>
      <c r="W194" t="s">
        <v>712</v>
      </c>
      <c r="AH194" s="1359">
        <v>1</v>
      </c>
      <c r="AI194" s="1359"/>
      <c r="BC194" t="s">
        <v>1561</v>
      </c>
      <c r="BN194" s="23" t="s">
        <v>719</v>
      </c>
      <c r="BT194" t="s">
        <v>761</v>
      </c>
    </row>
    <row r="195" spans="1:74" ht="12.75">
      <c r="C195" s="21"/>
      <c r="D195" t="s">
        <v>401</v>
      </c>
      <c r="T195" s="1520" t="s">
        <v>696</v>
      </c>
      <c r="U195" s="1520"/>
      <c r="W195" t="s">
        <v>713</v>
      </c>
      <c r="AH195" s="1359">
        <v>3</v>
      </c>
      <c r="AI195" s="1359"/>
      <c r="BC195" t="s">
        <v>2175</v>
      </c>
      <c r="BN195" s="23" t="s">
        <v>248</v>
      </c>
      <c r="BT195" t="s">
        <v>762</v>
      </c>
    </row>
    <row r="196" spans="1:74" ht="12.75">
      <c r="C196" s="21"/>
      <c r="D196" s="3" t="s">
        <v>174</v>
      </c>
      <c r="T196" s="1520" t="s">
        <v>696</v>
      </c>
      <c r="U196" s="1520"/>
      <c r="W196" t="s">
        <v>714</v>
      </c>
      <c r="AH196" s="1359">
        <v>4</v>
      </c>
      <c r="AI196" s="1359"/>
      <c r="BN196" s="23" t="s">
        <v>249</v>
      </c>
      <c r="BT196" t="s">
        <v>72</v>
      </c>
    </row>
    <row r="197" spans="1:74" ht="12.75" customHeight="1">
      <c r="C197" s="21"/>
      <c r="D197" s="3" t="s">
        <v>1861</v>
      </c>
      <c r="T197" s="1520"/>
      <c r="U197" s="1520"/>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2580</v>
      </c>
      <c r="Y198" s="1359" t="s">
        <v>696</v>
      </c>
      <c r="Z198" s="1359"/>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42" t="s">
        <v>400</v>
      </c>
      <c r="E203" s="1342"/>
      <c r="F203" s="1342"/>
      <c r="G203" s="1342"/>
      <c r="H203" s="1342"/>
      <c r="I203" s="1342"/>
      <c r="J203" s="1342"/>
      <c r="K203" s="1342"/>
      <c r="L203" s="1342"/>
      <c r="M203" s="1342"/>
      <c r="P203" s="1756">
        <f>M26</f>
        <v>2324199</v>
      </c>
      <c r="Q203" s="1757"/>
      <c r="R203" s="1757"/>
      <c r="S203" s="1757"/>
      <c r="T203" s="1757"/>
      <c r="U203" s="1757"/>
      <c r="Z203" s="1772" t="s">
        <v>2610</v>
      </c>
      <c r="AA203" s="1772"/>
      <c r="AB203" s="1772"/>
      <c r="AC203" s="1772"/>
      <c r="AD203" s="1772"/>
      <c r="AE203" s="1772"/>
      <c r="AF203" s="1772"/>
      <c r="BC203" t="s">
        <v>1151</v>
      </c>
      <c r="BN203" s="23" t="s">
        <v>731</v>
      </c>
      <c r="BO203" s="14"/>
      <c r="BP203" s="32"/>
      <c r="BQ203" s="32"/>
      <c r="BR203" s="32"/>
      <c r="BS203" s="32"/>
      <c r="BT203" s="32" t="s">
        <v>202</v>
      </c>
    </row>
    <row r="204" spans="1:74" ht="12.75" customHeight="1">
      <c r="C204" s="21"/>
      <c r="D204" s="1771" t="s">
        <v>1426</v>
      </c>
      <c r="E204" s="1342"/>
      <c r="F204" s="1342"/>
      <c r="G204" s="1342"/>
      <c r="H204" s="1342"/>
      <c r="I204" s="1342"/>
      <c r="J204" s="1342"/>
      <c r="K204" s="1342"/>
      <c r="L204" s="1342"/>
      <c r="M204" s="1342"/>
      <c r="P204" s="1757">
        <f>M27</f>
        <v>10539300</v>
      </c>
      <c r="Q204" s="1757"/>
      <c r="R204" s="1757"/>
      <c r="S204" s="1757"/>
      <c r="T204" s="1757"/>
      <c r="U204" s="1757"/>
      <c r="V204" s="28"/>
      <c r="W204" s="3" t="s">
        <v>2036</v>
      </c>
      <c r="Z204" s="1772"/>
      <c r="AA204" s="1772"/>
      <c r="AB204" s="1772"/>
      <c r="AC204" s="1772"/>
      <c r="AD204" s="1772"/>
      <c r="AE204" s="1772"/>
      <c r="AF204" s="1772"/>
      <c r="AG204" t="s">
        <v>1427</v>
      </c>
      <c r="AP204" s="1359" t="s">
        <v>696</v>
      </c>
      <c r="AQ204" s="1359"/>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73"/>
      <c r="AA205" s="1773"/>
      <c r="AB205" s="1773"/>
      <c r="AC205" s="1773"/>
      <c r="AD205" s="1773"/>
      <c r="AE205" s="1773"/>
      <c r="AF205" s="1773"/>
      <c r="BC205" t="s">
        <v>1108</v>
      </c>
      <c r="BN205" s="23" t="s">
        <v>114</v>
      </c>
      <c r="BT205" s="32" t="s">
        <v>179</v>
      </c>
      <c r="BU205" s="14"/>
    </row>
    <row r="206" spans="1:74" ht="12.75">
      <c r="A206" s="2" t="s">
        <v>616</v>
      </c>
      <c r="C206" s="2" t="s">
        <v>577</v>
      </c>
      <c r="BC206" s="474" t="s">
        <v>1152</v>
      </c>
      <c r="BN206" s="23" t="s">
        <v>115</v>
      </c>
      <c r="BT206" s="32" t="s">
        <v>204</v>
      </c>
      <c r="BU206" s="14"/>
    </row>
    <row r="207" spans="1:74" ht="12.75">
      <c r="C207" s="21"/>
      <c r="D207" s="1657" t="s">
        <v>2611</v>
      </c>
      <c r="E207" s="1657"/>
      <c r="F207" s="1657"/>
      <c r="G207" s="1657"/>
      <c r="H207" s="1657"/>
      <c r="I207" s="1657"/>
      <c r="J207" s="1657"/>
      <c r="K207" s="1657"/>
      <c r="L207" s="1657"/>
      <c r="M207" s="1657"/>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657" t="s">
        <v>1124</v>
      </c>
      <c r="E210" s="1657"/>
      <c r="F210" s="1657"/>
      <c r="G210" s="1657"/>
      <c r="H210" s="1657"/>
      <c r="I210" s="1657"/>
      <c r="J210" s="1657"/>
      <c r="K210" s="1657"/>
      <c r="L210" s="1657"/>
      <c r="M210" s="1657"/>
      <c r="BN210" s="23" t="s">
        <v>51</v>
      </c>
      <c r="BT210" s="32" t="s">
        <v>208</v>
      </c>
    </row>
    <row r="211" spans="1:72" ht="12.75">
      <c r="C211" s="21"/>
      <c r="D211" t="s">
        <v>1416</v>
      </c>
      <c r="Y211" s="1359"/>
      <c r="Z211" s="1359"/>
      <c r="BN211" s="23" t="s">
        <v>134</v>
      </c>
      <c r="BT211" s="32" t="s">
        <v>135</v>
      </c>
    </row>
    <row r="212" spans="1:72" ht="12.75">
      <c r="D212" s="3" t="s">
        <v>1835</v>
      </c>
      <c r="BC212" t="s">
        <v>313</v>
      </c>
      <c r="BN212" s="23" t="s">
        <v>52</v>
      </c>
      <c r="BT212" s="32" t="s">
        <v>209</v>
      </c>
    </row>
    <row r="213" spans="1:72" ht="12.75">
      <c r="D213" s="1839" t="s">
        <v>618</v>
      </c>
      <c r="E213" s="1839"/>
      <c r="F213" s="1839"/>
      <c r="G213" s="1839"/>
      <c r="H213" s="1839"/>
      <c r="I213" s="1839"/>
      <c r="J213" s="1839"/>
      <c r="K213" s="1839"/>
      <c r="L213" s="1839"/>
      <c r="M213" s="1839"/>
      <c r="N213" s="1839"/>
      <c r="O213" s="1839"/>
      <c r="P213" s="1839"/>
      <c r="Q213" s="1839"/>
      <c r="R213" s="1839"/>
      <c r="S213" s="1839"/>
      <c r="T213" s="1839"/>
      <c r="U213" s="1839"/>
      <c r="V213" s="1839"/>
      <c r="W213" s="1839"/>
      <c r="X213" s="1839"/>
      <c r="Y213" s="1839"/>
      <c r="Z213" s="1839"/>
      <c r="BC213" t="s">
        <v>552</v>
      </c>
      <c r="BN213" s="23" t="s">
        <v>53</v>
      </c>
      <c r="BT213" s="32" t="s">
        <v>210</v>
      </c>
    </row>
    <row r="214" spans="1:72" ht="12.75">
      <c r="D214" s="3" t="s">
        <v>1862</v>
      </c>
      <c r="Z214" s="40"/>
      <c r="AB214" s="1780"/>
      <c r="AC214" s="1780"/>
      <c r="AD214" s="1780"/>
      <c r="AE214" s="1780"/>
      <c r="AF214" s="1780"/>
      <c r="AG214" s="1780"/>
      <c r="AH214" s="1780"/>
      <c r="AI214" s="1780"/>
      <c r="AJ214" s="1780"/>
      <c r="AK214" s="1780"/>
      <c r="AL214" s="1780"/>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1860</v>
      </c>
      <c r="Z215" s="40"/>
      <c r="AB215" s="1780"/>
      <c r="AC215" s="1780"/>
      <c r="AD215" s="1780"/>
      <c r="AE215" s="1780"/>
      <c r="AF215" s="1780"/>
      <c r="AG215" s="1780"/>
      <c r="AH215" s="1780"/>
      <c r="AI215" s="1780"/>
      <c r="AJ215" s="1780"/>
      <c r="AK215" s="1780"/>
      <c r="AL215" s="1780"/>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657" t="s">
        <v>1153</v>
      </c>
      <c r="E219" s="1657"/>
      <c r="F219" s="1657"/>
      <c r="G219" s="1657"/>
      <c r="H219" s="1657"/>
      <c r="I219" s="1657"/>
      <c r="J219" s="1657"/>
      <c r="K219" s="1657"/>
      <c r="L219" s="1657"/>
      <c r="M219" s="1657"/>
      <c r="N219" s="1657"/>
      <c r="O219" s="1657"/>
      <c r="P219" s="1657"/>
      <c r="Q219" s="1657"/>
      <c r="R219" s="1657"/>
      <c r="S219" s="1657"/>
      <c r="T219" s="1657"/>
      <c r="U219" s="1657"/>
      <c r="V219" s="1657"/>
      <c r="W219" s="1657"/>
      <c r="X219" s="1657"/>
      <c r="Y219" s="1657"/>
      <c r="Z219" s="1657"/>
      <c r="AZ219" s="3"/>
      <c r="BA219" s="3"/>
      <c r="BC219" t="s">
        <v>392</v>
      </c>
    </row>
    <row r="220" spans="1:72" ht="12.75">
      <c r="A220" s="2"/>
      <c r="B220" s="14"/>
      <c r="C220" s="2"/>
      <c r="BA220" s="3"/>
      <c r="BC220" t="s">
        <v>306</v>
      </c>
    </row>
    <row r="221" spans="1:72" ht="12.75">
      <c r="A221" s="1606" t="s">
        <v>566</v>
      </c>
      <c r="B221" s="1606"/>
      <c r="C221" s="1606"/>
      <c r="D221" s="1606"/>
      <c r="E221" s="1606"/>
      <c r="F221" s="1606"/>
      <c r="G221" s="1606"/>
      <c r="H221" s="1606"/>
      <c r="I221" s="1606"/>
      <c r="J221" s="1606"/>
      <c r="K221" s="1606"/>
      <c r="L221" s="1606"/>
      <c r="M221" s="1606"/>
      <c r="N221" s="1606"/>
      <c r="O221" s="1606"/>
      <c r="P221" s="1606"/>
      <c r="Q221" s="1606"/>
      <c r="R221" s="1606"/>
      <c r="S221" s="1606"/>
      <c r="T221" s="1606"/>
      <c r="U221" s="1606"/>
      <c r="V221" s="1606"/>
      <c r="W221" s="1606"/>
      <c r="X221" s="1606"/>
      <c r="Y221" s="1606"/>
      <c r="Z221" s="1606"/>
      <c r="AA221" s="1606"/>
      <c r="AB221" s="1606"/>
      <c r="AC221" s="1606"/>
      <c r="AD221" s="1606"/>
      <c r="AE221" s="1606"/>
      <c r="AF221" s="1606"/>
      <c r="AG221" s="1606"/>
      <c r="AH221" s="1606"/>
      <c r="AI221" s="1606"/>
      <c r="AJ221" s="1606"/>
      <c r="AK221" s="1606"/>
      <c r="AL221" s="1606"/>
      <c r="AM221" s="95"/>
      <c r="AN221" s="95"/>
      <c r="AO221" s="95"/>
      <c r="AP221" s="95"/>
      <c r="AQ221" s="95"/>
      <c r="AR221" s="95"/>
      <c r="AS221" s="95"/>
      <c r="AT221" s="95"/>
      <c r="AU221" s="95"/>
      <c r="AV221" s="95"/>
      <c r="AW221" s="95"/>
      <c r="AX221" s="95"/>
      <c r="AY221" s="95"/>
      <c r="BA221" s="3"/>
    </row>
    <row r="222" spans="1:72" ht="13.5" thickBot="1">
      <c r="A222" s="1607"/>
      <c r="B222" s="1607"/>
      <c r="C222" s="1607"/>
      <c r="D222" s="1607"/>
      <c r="E222" s="1607"/>
      <c r="F222" s="1607"/>
      <c r="G222" s="1607"/>
      <c r="H222" s="1607"/>
      <c r="I222" s="1607"/>
      <c r="J222" s="1607"/>
      <c r="K222" s="1607"/>
      <c r="L222" s="1607"/>
      <c r="M222" s="1607"/>
      <c r="N222" s="1607"/>
      <c r="O222" s="1607"/>
      <c r="P222" s="1607"/>
      <c r="Q222" s="1607"/>
      <c r="R222" s="1607"/>
      <c r="S222" s="1607"/>
      <c r="T222" s="1607"/>
      <c r="U222" s="1607"/>
      <c r="V222" s="1607"/>
      <c r="W222" s="1607"/>
      <c r="X222" s="1607"/>
      <c r="Y222" s="1607"/>
      <c r="Z222" s="1607"/>
      <c r="AA222" s="1607"/>
      <c r="AB222" s="1607"/>
      <c r="AC222" s="1607"/>
      <c r="AD222" s="1607"/>
      <c r="AE222" s="1607"/>
      <c r="AF222" s="1607"/>
      <c r="AG222" s="1607"/>
      <c r="AH222" s="1607"/>
      <c r="AI222" s="1607"/>
      <c r="AJ222" s="1607"/>
      <c r="AK222" s="1607"/>
      <c r="AL222" s="1607"/>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9" t="s">
        <v>618</v>
      </c>
      <c r="AJ225" s="1359"/>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9" t="s">
        <v>571</v>
      </c>
      <c r="AJ226" s="1359"/>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9" t="s">
        <v>618</v>
      </c>
      <c r="AJ227" s="1359"/>
      <c r="AL227" s="3"/>
      <c r="AM227" s="3"/>
      <c r="AN227" s="3"/>
      <c r="AO227" s="3"/>
      <c r="AP227" s="3"/>
      <c r="AQ227" s="3"/>
      <c r="AR227" s="3"/>
      <c r="AS227" s="3"/>
      <c r="AT227" s="3"/>
      <c r="AU227" s="3"/>
      <c r="AV227" s="3"/>
      <c r="AW227" s="3"/>
      <c r="AX227" s="3"/>
      <c r="AY227" s="3"/>
      <c r="BA227" s="3"/>
      <c r="BB227" s="219" t="s">
        <v>564</v>
      </c>
      <c r="BG227" s="261">
        <f>IF(AND(AND($M$248="for profit",$M$256="nonprofit",$M$264="for profit")),2,0)</f>
        <v>2</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9" t="s">
        <v>618</v>
      </c>
      <c r="AJ228" s="1359"/>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0</v>
      </c>
      <c r="BO229" s="34"/>
    </row>
    <row r="230" spans="1:69" ht="12.75">
      <c r="A230" s="2" t="s">
        <v>603</v>
      </c>
      <c r="B230" s="4"/>
      <c r="C230" s="2" t="s">
        <v>2582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0</v>
      </c>
      <c r="BO230" s="34"/>
    </row>
    <row r="231" spans="1:69" ht="12.75">
      <c r="D231" s="4" t="s">
        <v>496</v>
      </c>
      <c r="E231" s="4"/>
      <c r="F231" s="4"/>
      <c r="G231" s="4"/>
      <c r="H231" s="4"/>
      <c r="I231" s="4"/>
      <c r="J231" s="4"/>
      <c r="K231" s="4"/>
      <c r="M231" s="1762" t="str">
        <f>H16</f>
        <v>Community Revitalization and Development Corporation</v>
      </c>
      <c r="N231" s="1762"/>
      <c r="O231" s="1762"/>
      <c r="P231" s="1762"/>
      <c r="Q231" s="1762"/>
      <c r="R231" s="1762"/>
      <c r="S231" s="1762"/>
      <c r="T231" s="1762"/>
      <c r="U231" s="1762"/>
      <c r="V231" s="1762"/>
      <c r="W231" s="1762"/>
      <c r="X231" s="1762"/>
      <c r="Y231" s="1762"/>
      <c r="Z231" s="1762"/>
      <c r="AA231" s="1762"/>
      <c r="AB231" s="1762"/>
      <c r="AC231" s="1762"/>
      <c r="AD231" s="1762"/>
      <c r="AE231" s="1762"/>
      <c r="AF231" s="1762"/>
      <c r="AG231" s="1762"/>
      <c r="AH231" s="1762"/>
      <c r="AI231" s="1762"/>
      <c r="AJ231" s="1762"/>
      <c r="AK231" s="1762"/>
      <c r="BA231" s="3"/>
      <c r="BB231" s="219"/>
      <c r="BG231" s="219"/>
      <c r="BQ231" s="34"/>
    </row>
    <row r="232" spans="1:69" ht="12.75">
      <c r="D232" s="4" t="s">
        <v>90</v>
      </c>
      <c r="E232" s="4"/>
      <c r="F232" s="4"/>
      <c r="G232" s="4"/>
      <c r="H232" s="4"/>
      <c r="I232" s="4"/>
      <c r="J232" s="4"/>
      <c r="K232" s="4"/>
      <c r="M232" s="1615" t="s">
        <v>2612</v>
      </c>
      <c r="N232" s="1657"/>
      <c r="O232" s="1657"/>
      <c r="P232" s="1657"/>
      <c r="Q232" s="1657"/>
      <c r="R232" s="1657"/>
      <c r="S232" s="1657"/>
      <c r="T232" s="1657"/>
      <c r="U232" s="1657"/>
      <c r="V232" s="1657"/>
      <c r="W232" s="1657"/>
      <c r="X232" s="1657"/>
      <c r="Y232" s="1657"/>
      <c r="Z232" s="1657"/>
      <c r="AA232" s="1657"/>
      <c r="AB232" s="1657"/>
      <c r="AC232" s="1657"/>
      <c r="AD232" s="1657"/>
      <c r="AE232" s="1657"/>
      <c r="AZ232" s="4"/>
      <c r="BA232" s="3"/>
      <c r="BB232" s="220" t="s">
        <v>564</v>
      </c>
      <c r="BG232" s="261">
        <f>IF(AND(AND($M$248="nonprofit",$M$256="nonprofit",$M$264="for profit")),2,0)</f>
        <v>0</v>
      </c>
      <c r="BQ232" s="34"/>
    </row>
    <row r="233" spans="1:69" ht="12.75">
      <c r="D233" s="4" t="s">
        <v>607</v>
      </c>
      <c r="E233" s="4"/>
      <c r="M233" s="1615" t="s">
        <v>2613</v>
      </c>
      <c r="N233" s="1657"/>
      <c r="O233" s="1657"/>
      <c r="P233" s="1657"/>
      <c r="Q233" s="1657"/>
      <c r="R233" s="1657"/>
      <c r="S233" s="1657"/>
      <c r="T233" s="1657"/>
      <c r="V233" s="33" t="s">
        <v>91</v>
      </c>
      <c r="W233" s="1413" t="s">
        <v>2614</v>
      </c>
      <c r="X233" s="1351"/>
      <c r="Y233" s="4" t="s">
        <v>610</v>
      </c>
      <c r="AC233" s="1657">
        <v>96001</v>
      </c>
      <c r="AD233" s="1657"/>
      <c r="AE233" s="1657"/>
      <c r="BB233" s="220" t="s">
        <v>564</v>
      </c>
      <c r="BG233" s="261">
        <f>IF(AND(AND($M$248="nonprofit",$M$256="for profit",$M$264="nonprofit")),2,0)</f>
        <v>0</v>
      </c>
    </row>
    <row r="234" spans="1:69" ht="12.75">
      <c r="D234" s="4" t="s">
        <v>92</v>
      </c>
      <c r="E234" s="4"/>
      <c r="F234" s="4"/>
      <c r="G234" s="4"/>
      <c r="H234" s="4"/>
      <c r="I234" s="4"/>
      <c r="J234" s="4"/>
      <c r="K234" s="19"/>
      <c r="M234" s="1615" t="s">
        <v>2615</v>
      </c>
      <c r="N234" s="1657"/>
      <c r="O234" s="1657"/>
      <c r="P234" s="1657"/>
      <c r="Q234" s="1657"/>
      <c r="R234" s="1657"/>
      <c r="S234" s="1657"/>
      <c r="T234" s="1657"/>
      <c r="U234" s="1657"/>
      <c r="V234" s="1657"/>
      <c r="W234" s="1657"/>
      <c r="X234" s="1657"/>
      <c r="Y234" s="1657"/>
      <c r="Z234" s="1657"/>
      <c r="AA234" s="1657"/>
      <c r="AB234" s="1657"/>
      <c r="AC234" s="1657"/>
      <c r="AD234" s="1657"/>
      <c r="AE234" s="1657"/>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617">
        <v>5302457129</v>
      </c>
      <c r="N235" s="1617"/>
      <c r="O235" s="1617"/>
      <c r="P235" s="1617"/>
      <c r="Q235" s="1617"/>
      <c r="R235" s="1617"/>
      <c r="S235" s="4" t="s">
        <v>212</v>
      </c>
      <c r="T235" s="4"/>
      <c r="U235" s="1351"/>
      <c r="V235" s="1351"/>
      <c r="W235" s="1351"/>
      <c r="X235" s="4" t="s">
        <v>94</v>
      </c>
      <c r="Z235" s="1617"/>
      <c r="AA235" s="1617"/>
      <c r="AB235" s="1617"/>
      <c r="AC235" s="1617"/>
      <c r="AD235" s="1617"/>
      <c r="AE235" s="1617"/>
      <c r="BB235" s="220"/>
      <c r="BG235" s="219"/>
    </row>
    <row r="236" spans="1:69" ht="12.75">
      <c r="D236" s="4" t="s">
        <v>95</v>
      </c>
      <c r="E236" s="4"/>
      <c r="F236" s="4"/>
      <c r="M236" s="1671" t="s">
        <v>2616</v>
      </c>
      <c r="N236" s="1671"/>
      <c r="O236" s="1671"/>
      <c r="P236" s="1671"/>
      <c r="Q236" s="1671"/>
      <c r="R236" s="1671"/>
      <c r="S236" s="1671"/>
      <c r="T236" s="1671"/>
      <c r="U236" s="1671"/>
      <c r="V236" s="1671"/>
      <c r="W236" s="1671"/>
      <c r="X236" s="1671"/>
      <c r="Y236" s="1671"/>
      <c r="Z236" s="1671"/>
      <c r="AA236" s="1671"/>
      <c r="AB236" s="1671"/>
      <c r="AC236" s="1671"/>
      <c r="AD236" s="1671"/>
      <c r="AE236" s="1671"/>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52" t="s">
        <v>392</v>
      </c>
      <c r="N237" s="1352"/>
      <c r="O237" s="1352"/>
      <c r="P237" s="1352"/>
      <c r="Q237" s="1352"/>
      <c r="R237" s="1352"/>
      <c r="S237" s="1352"/>
      <c r="T237" s="1352"/>
      <c r="U237" s="219" t="s">
        <v>959</v>
      </c>
      <c r="V237" s="219"/>
      <c r="W237" s="219"/>
      <c r="X237" s="219"/>
      <c r="Y237" s="219"/>
      <c r="Z237" s="219"/>
      <c r="AA237" s="1747"/>
      <c r="AB237" s="1747"/>
      <c r="AC237" s="1747"/>
      <c r="AD237" s="1747"/>
      <c r="AE237" s="1747"/>
      <c r="AF237" s="1747"/>
      <c r="AG237" s="1747"/>
      <c r="AH237" s="1747"/>
      <c r="AI237" s="1747"/>
      <c r="AJ237" s="1747"/>
      <c r="AK237" s="1747"/>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82"/>
      <c r="N238" s="1382"/>
      <c r="O238" s="1382"/>
      <c r="P238" s="1382"/>
      <c r="Q238" s="1382"/>
      <c r="R238" s="1382"/>
      <c r="S238" s="1382"/>
      <c r="T238" s="1382"/>
      <c r="U238" s="1382"/>
      <c r="V238" s="1382"/>
      <c r="W238" s="1382"/>
      <c r="X238" s="1382"/>
      <c r="Y238" s="1382"/>
      <c r="Z238" s="1382"/>
      <c r="AA238" s="1382"/>
      <c r="AB238" s="1382"/>
      <c r="AC238" s="1382"/>
      <c r="AD238" s="1382"/>
      <c r="AE238" s="1382"/>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75">
      <c r="D239" s="4"/>
      <c r="BB239" s="219" t="s">
        <v>926</v>
      </c>
      <c r="BG239" s="261">
        <f>IF(AND(AND($M$248="for profit",$M$256="for profit",$M$264="(select one)")),3,0)</f>
        <v>0</v>
      </c>
    </row>
    <row r="240" spans="1:69" ht="12.75">
      <c r="A240" s="2" t="s">
        <v>616</v>
      </c>
      <c r="C240" s="2" t="s">
        <v>1348</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745" t="s">
        <v>2617</v>
      </c>
      <c r="N242" s="1746"/>
      <c r="O242" s="1746"/>
      <c r="P242" s="1746"/>
      <c r="Q242" s="1746"/>
      <c r="R242" s="1746"/>
      <c r="S242" s="1746"/>
      <c r="T242" s="1746"/>
      <c r="U242" s="1746"/>
      <c r="V242" s="1746"/>
      <c r="W242" s="1746"/>
      <c r="X242" s="1746"/>
      <c r="Y242" s="1746"/>
      <c r="Z242" s="1746"/>
      <c r="AA242" s="1746"/>
      <c r="AB242" s="1746"/>
      <c r="AC242" s="1746"/>
      <c r="AD242" s="1746"/>
      <c r="AE242" s="1746"/>
      <c r="AF242" s="1746" t="s">
        <v>2618</v>
      </c>
      <c r="AG242" s="1746"/>
      <c r="AH242" s="1746"/>
      <c r="AI242" s="1746"/>
      <c r="AJ242" s="1746"/>
      <c r="AK242" s="1746"/>
      <c r="BO242" s="34"/>
      <c r="BP242" s="4"/>
      <c r="BQ242" s="4"/>
      <c r="BR242" s="4"/>
      <c r="BS242" s="4"/>
    </row>
    <row r="243" spans="1:71" ht="12.75">
      <c r="A243" s="19"/>
      <c r="B243" s="4"/>
      <c r="C243" s="4"/>
      <c r="D243" s="4" t="s">
        <v>90</v>
      </c>
      <c r="E243" s="4"/>
      <c r="F243" s="4"/>
      <c r="G243" s="4"/>
      <c r="H243" s="4"/>
      <c r="I243" s="4"/>
      <c r="J243" s="4"/>
      <c r="K243" s="4"/>
      <c r="L243" s="4"/>
      <c r="M243" s="1615" t="s">
        <v>2619</v>
      </c>
      <c r="N243" s="1657"/>
      <c r="O243" s="1657"/>
      <c r="P243" s="1657"/>
      <c r="Q243" s="1657"/>
      <c r="R243" s="1657"/>
      <c r="S243" s="1657"/>
      <c r="T243" s="1657"/>
      <c r="U243" s="1657"/>
      <c r="V243" s="1657"/>
      <c r="W243" s="1657"/>
      <c r="X243" s="1657"/>
      <c r="Y243" s="1657"/>
      <c r="Z243" s="1657"/>
      <c r="AA243" s="1657"/>
      <c r="AB243" s="1657"/>
      <c r="AC243" s="1657"/>
      <c r="AD243" s="1657"/>
      <c r="AE243" s="1657"/>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615" t="s">
        <v>2620</v>
      </c>
      <c r="N244" s="1657"/>
      <c r="O244" s="1657"/>
      <c r="P244" s="1657"/>
      <c r="Q244" s="1657"/>
      <c r="R244" s="1657"/>
      <c r="S244" s="1657"/>
      <c r="T244" s="1657"/>
      <c r="V244" s="33" t="s">
        <v>91</v>
      </c>
      <c r="W244" s="1413" t="s">
        <v>2614</v>
      </c>
      <c r="X244" s="1351"/>
      <c r="Y244" s="4" t="s">
        <v>610</v>
      </c>
      <c r="AC244" s="1657">
        <v>95521</v>
      </c>
      <c r="AD244" s="1657"/>
      <c r="AE244" s="1657"/>
      <c r="AF244" s="3" t="s">
        <v>1345</v>
      </c>
      <c r="BB244" t="s">
        <v>313</v>
      </c>
      <c r="BG244">
        <v>1</v>
      </c>
      <c r="BH244" t="s">
        <v>560</v>
      </c>
    </row>
    <row r="245" spans="1:71" ht="12.75">
      <c r="A245" s="19"/>
      <c r="B245" s="4"/>
      <c r="C245" s="4"/>
      <c r="D245" s="4" t="s">
        <v>92</v>
      </c>
      <c r="E245" s="4"/>
      <c r="F245" s="4"/>
      <c r="G245" s="4"/>
      <c r="H245" s="4"/>
      <c r="I245" s="4"/>
      <c r="J245" s="4"/>
      <c r="K245" s="4"/>
      <c r="L245" s="19"/>
      <c r="M245" s="1615" t="s">
        <v>2621</v>
      </c>
      <c r="N245" s="1657"/>
      <c r="O245" s="1657"/>
      <c r="P245" s="1657"/>
      <c r="Q245" s="1657"/>
      <c r="R245" s="1657"/>
      <c r="S245" s="1657"/>
      <c r="T245" s="1657"/>
      <c r="U245" s="1657"/>
      <c r="V245" s="1657"/>
      <c r="W245" s="1657"/>
      <c r="X245" s="1657"/>
      <c r="Y245" s="1657"/>
      <c r="Z245" s="1657"/>
      <c r="AA245" s="1657"/>
      <c r="AB245" s="1657"/>
      <c r="AC245" s="1657"/>
      <c r="AD245" s="1657"/>
      <c r="AE245" s="1657"/>
      <c r="AH245" s="1753">
        <v>4.4999999999999998E-2</v>
      </c>
      <c r="AI245" s="1753"/>
      <c r="AJ245" s="1753"/>
      <c r="AK245" s="1753"/>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75">
      <c r="A246" s="19"/>
      <c r="B246" s="4"/>
      <c r="C246" s="4"/>
      <c r="D246" s="4" t="s">
        <v>93</v>
      </c>
      <c r="E246" s="4"/>
      <c r="F246" s="4"/>
      <c r="M246" s="1617">
        <v>7078229000</v>
      </c>
      <c r="N246" s="1617"/>
      <c r="O246" s="1617"/>
      <c r="P246" s="1617"/>
      <c r="Q246" s="1617"/>
      <c r="R246" s="1617"/>
      <c r="S246" s="4" t="s">
        <v>212</v>
      </c>
      <c r="T246" s="4"/>
      <c r="U246" s="1351"/>
      <c r="V246" s="1351"/>
      <c r="W246" s="1351"/>
      <c r="X246" s="4" t="s">
        <v>94</v>
      </c>
      <c r="Z246" s="1617">
        <v>7078229596</v>
      </c>
      <c r="AA246" s="1617"/>
      <c r="AB246" s="1617"/>
      <c r="AC246" s="1617"/>
      <c r="AD246" s="1617"/>
      <c r="AE246" s="1617"/>
      <c r="BB246" s="4" t="s">
        <v>178</v>
      </c>
      <c r="BG246">
        <v>3</v>
      </c>
      <c r="BH246" t="s">
        <v>562</v>
      </c>
      <c r="BN246" s="34"/>
    </row>
    <row r="247" spans="1:71" ht="12.75">
      <c r="A247" s="19"/>
      <c r="B247" s="4"/>
      <c r="C247" s="4"/>
      <c r="D247" s="4" t="s">
        <v>95</v>
      </c>
      <c r="E247" s="4"/>
      <c r="F247" s="4"/>
      <c r="M247" s="1671" t="s">
        <v>2622</v>
      </c>
      <c r="N247" s="1671"/>
      <c r="O247" s="1671"/>
      <c r="P247" s="1671"/>
      <c r="Q247" s="1671"/>
      <c r="R247" s="1671"/>
      <c r="S247" s="1671"/>
      <c r="T247" s="1671"/>
      <c r="U247" s="1671"/>
      <c r="V247" s="1671"/>
      <c r="W247" s="1671"/>
      <c r="X247" s="1671"/>
      <c r="Y247" s="1671"/>
      <c r="Z247" s="1671"/>
      <c r="AA247" s="1671"/>
      <c r="AB247" s="1671"/>
      <c r="AC247" s="1671"/>
      <c r="AD247" s="1671"/>
      <c r="AE247" s="1671"/>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52" t="s">
        <v>562</v>
      </c>
      <c r="N248" s="1352"/>
      <c r="O248" s="1352"/>
      <c r="P248" s="1352"/>
      <c r="Q248" s="1352"/>
      <c r="R248" s="1352"/>
      <c r="S248" s="1352"/>
      <c r="T248" s="1352"/>
      <c r="U248" s="219" t="s">
        <v>959</v>
      </c>
      <c r="V248" s="219"/>
      <c r="W248" s="219"/>
      <c r="X248" s="219"/>
      <c r="Y248" s="219"/>
      <c r="Z248" s="219"/>
      <c r="AA248" s="1747"/>
      <c r="AB248" s="1747"/>
      <c r="AC248" s="1747"/>
      <c r="AD248" s="1747"/>
      <c r="AE248" s="1747"/>
      <c r="AF248" s="1747"/>
      <c r="AG248" s="1747"/>
      <c r="AH248" s="1747"/>
      <c r="AI248" s="1747"/>
      <c r="AJ248" s="1747"/>
      <c r="AK248" s="1747"/>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745" t="s">
        <v>2600</v>
      </c>
      <c r="N250" s="1746"/>
      <c r="O250" s="1746"/>
      <c r="P250" s="1746"/>
      <c r="Q250" s="1746"/>
      <c r="R250" s="1746"/>
      <c r="S250" s="1746"/>
      <c r="T250" s="1746"/>
      <c r="U250" s="1746"/>
      <c r="V250" s="1746"/>
      <c r="W250" s="1746"/>
      <c r="X250" s="1746"/>
      <c r="Y250" s="1746"/>
      <c r="Z250" s="1746"/>
      <c r="AA250" s="1746"/>
      <c r="AB250" s="1746"/>
      <c r="AC250" s="1746"/>
      <c r="AD250" s="1746"/>
      <c r="AE250" s="1746"/>
      <c r="AF250" s="1746" t="s">
        <v>313</v>
      </c>
      <c r="AG250" s="1746"/>
      <c r="AH250" s="1746"/>
      <c r="AI250" s="1746"/>
      <c r="AJ250" s="1746"/>
      <c r="AK250" s="1746"/>
      <c r="BN250" s="34"/>
    </row>
    <row r="251" spans="1:71" ht="12.75">
      <c r="A251" s="19"/>
      <c r="B251" s="4"/>
      <c r="C251" s="4"/>
      <c r="D251" s="4" t="s">
        <v>90</v>
      </c>
      <c r="E251" s="4"/>
      <c r="F251" s="4"/>
      <c r="G251" s="4"/>
      <c r="H251" s="4"/>
      <c r="I251" s="4"/>
      <c r="J251" s="4"/>
      <c r="K251" s="4"/>
      <c r="L251" s="4"/>
      <c r="M251" s="1615" t="s">
        <v>2612</v>
      </c>
      <c r="N251" s="1657"/>
      <c r="O251" s="1657"/>
      <c r="P251" s="1657"/>
      <c r="Q251" s="1657"/>
      <c r="R251" s="1657"/>
      <c r="S251" s="1657"/>
      <c r="T251" s="1657"/>
      <c r="U251" s="1657"/>
      <c r="V251" s="1657"/>
      <c r="W251" s="1657"/>
      <c r="X251" s="1657"/>
      <c r="Y251" s="1657"/>
      <c r="Z251" s="1657"/>
      <c r="AA251" s="1657"/>
      <c r="AB251" s="1657"/>
      <c r="AC251" s="1657"/>
      <c r="AD251" s="1657"/>
      <c r="AE251" s="1657"/>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615" t="s">
        <v>2613</v>
      </c>
      <c r="N252" s="1657"/>
      <c r="O252" s="1657"/>
      <c r="P252" s="1657"/>
      <c r="Q252" s="1657"/>
      <c r="R252" s="1657"/>
      <c r="S252" s="1657"/>
      <c r="T252" s="1657"/>
      <c r="V252" s="33" t="s">
        <v>91</v>
      </c>
      <c r="W252" s="1413" t="s">
        <v>2614</v>
      </c>
      <c r="X252" s="1351"/>
      <c r="Y252" s="4" t="s">
        <v>610</v>
      </c>
      <c r="AC252" s="1657">
        <v>96001</v>
      </c>
      <c r="AD252" s="1657"/>
      <c r="AE252" s="1657"/>
      <c r="AF252" s="3" t="s">
        <v>1345</v>
      </c>
      <c r="BN252" s="34"/>
    </row>
    <row r="253" spans="1:71" ht="12.75">
      <c r="A253" s="19"/>
      <c r="B253" s="4"/>
      <c r="C253" s="4"/>
      <c r="D253" s="4" t="s">
        <v>92</v>
      </c>
      <c r="E253" s="4"/>
      <c r="F253" s="4"/>
      <c r="G253" s="4"/>
      <c r="H253" s="4"/>
      <c r="I253" s="4"/>
      <c r="J253" s="4"/>
      <c r="K253" s="4"/>
      <c r="L253" s="19"/>
      <c r="M253" s="1615" t="s">
        <v>2615</v>
      </c>
      <c r="N253" s="1657"/>
      <c r="O253" s="1657"/>
      <c r="P253" s="1657"/>
      <c r="Q253" s="1657"/>
      <c r="R253" s="1657"/>
      <c r="S253" s="1657"/>
      <c r="T253" s="1657"/>
      <c r="U253" s="1657"/>
      <c r="V253" s="1657"/>
      <c r="W253" s="1657"/>
      <c r="X253" s="1657"/>
      <c r="Y253" s="1657"/>
      <c r="Z253" s="1657"/>
      <c r="AA253" s="1657"/>
      <c r="AB253" s="1657"/>
      <c r="AC253" s="1657"/>
      <c r="AD253" s="1657"/>
      <c r="AE253" s="1657"/>
      <c r="AH253" s="1753">
        <v>0.01</v>
      </c>
      <c r="AI253" s="1753"/>
      <c r="AJ253" s="1753"/>
      <c r="AK253" s="1753"/>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617">
        <v>5302457129</v>
      </c>
      <c r="N254" s="1617"/>
      <c r="O254" s="1617"/>
      <c r="P254" s="1617"/>
      <c r="Q254" s="1617"/>
      <c r="R254" s="1617"/>
      <c r="S254" s="4" t="s">
        <v>212</v>
      </c>
      <c r="T254" s="4"/>
      <c r="U254" s="1351"/>
      <c r="V254" s="1351"/>
      <c r="W254" s="1351"/>
      <c r="X254" s="4" t="s">
        <v>94</v>
      </c>
      <c r="Z254" s="1617"/>
      <c r="AA254" s="1617"/>
      <c r="AB254" s="1617"/>
      <c r="AC254" s="1617"/>
      <c r="AD254" s="1617"/>
      <c r="AE254" s="1617"/>
    </row>
    <row r="255" spans="1:71" ht="12.75">
      <c r="A255" s="19"/>
      <c r="B255" s="4"/>
      <c r="C255" s="4"/>
      <c r="D255" s="4" t="s">
        <v>95</v>
      </c>
      <c r="E255" s="4"/>
      <c r="F255" s="4"/>
      <c r="M255" s="1671" t="s">
        <v>2616</v>
      </c>
      <c r="N255" s="1671"/>
      <c r="O255" s="1671"/>
      <c r="P255" s="1671"/>
      <c r="Q255" s="1671"/>
      <c r="R255" s="1671"/>
      <c r="S255" s="1671"/>
      <c r="T255" s="1671"/>
      <c r="U255" s="1671"/>
      <c r="V255" s="1671"/>
      <c r="W255" s="1671"/>
      <c r="X255" s="1671"/>
      <c r="Y255" s="1671"/>
      <c r="Z255" s="1671"/>
      <c r="AA255" s="1671"/>
      <c r="AB255" s="1671"/>
      <c r="AC255" s="1671"/>
      <c r="AD255" s="1671"/>
      <c r="AE255" s="1671"/>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52" t="s">
        <v>560</v>
      </c>
      <c r="N256" s="1352"/>
      <c r="O256" s="1352"/>
      <c r="P256" s="1352"/>
      <c r="Q256" s="1352"/>
      <c r="R256" s="1352"/>
      <c r="S256" s="1352"/>
      <c r="T256" s="1352"/>
      <c r="U256" s="219" t="s">
        <v>959</v>
      </c>
      <c r="V256" s="219"/>
      <c r="W256" s="219"/>
      <c r="X256" s="219"/>
      <c r="Y256" s="219"/>
      <c r="Z256" s="219"/>
      <c r="AA256" s="1747"/>
      <c r="AB256" s="1747"/>
      <c r="AC256" s="1747"/>
      <c r="AD256" s="1747"/>
      <c r="AE256" s="1747"/>
      <c r="AF256" s="1747"/>
      <c r="AG256" s="1747"/>
      <c r="AH256" s="1747"/>
      <c r="AI256" s="1747"/>
      <c r="AJ256" s="1747"/>
      <c r="AK256" s="1747"/>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45" t="s">
        <v>2623</v>
      </c>
      <c r="N258" s="1746"/>
      <c r="O258" s="1746"/>
      <c r="P258" s="1746"/>
      <c r="Q258" s="1746"/>
      <c r="R258" s="1746"/>
      <c r="S258" s="1746"/>
      <c r="T258" s="1746"/>
      <c r="U258" s="1746"/>
      <c r="V258" s="1746"/>
      <c r="W258" s="1746"/>
      <c r="X258" s="1746"/>
      <c r="Y258" s="1746"/>
      <c r="Z258" s="1746"/>
      <c r="AA258" s="1746"/>
      <c r="AB258" s="1746"/>
      <c r="AC258" s="1746"/>
      <c r="AD258" s="1746"/>
      <c r="AE258" s="1746"/>
      <c r="AF258" s="1746" t="s">
        <v>2618</v>
      </c>
      <c r="AG258" s="1746"/>
      <c r="AH258" s="1746"/>
      <c r="AI258" s="1746"/>
      <c r="AJ258" s="1746"/>
      <c r="AK258" s="1746"/>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15" t="s">
        <v>2619</v>
      </c>
      <c r="N259" s="1657"/>
      <c r="O259" s="1657"/>
      <c r="P259" s="1657"/>
      <c r="Q259" s="1657"/>
      <c r="R259" s="1657"/>
      <c r="S259" s="1657"/>
      <c r="T259" s="1657"/>
      <c r="U259" s="1657"/>
      <c r="V259" s="1657"/>
      <c r="W259" s="1657"/>
      <c r="X259" s="1657"/>
      <c r="Y259" s="1657"/>
      <c r="Z259" s="1657"/>
      <c r="AA259" s="1657"/>
      <c r="AB259" s="1657"/>
      <c r="AC259" s="1657"/>
      <c r="AD259" s="1657"/>
      <c r="AE259" s="1657"/>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15" t="s">
        <v>2620</v>
      </c>
      <c r="N260" s="1657"/>
      <c r="O260" s="1657"/>
      <c r="P260" s="1657"/>
      <c r="Q260" s="1657"/>
      <c r="R260" s="1657"/>
      <c r="S260" s="1657"/>
      <c r="T260" s="1657"/>
      <c r="V260" s="33" t="s">
        <v>91</v>
      </c>
      <c r="W260" s="1413" t="s">
        <v>2614</v>
      </c>
      <c r="X260" s="1351"/>
      <c r="Y260" s="4" t="s">
        <v>610</v>
      </c>
      <c r="AC260" s="1657">
        <v>95521</v>
      </c>
      <c r="AD260" s="1657"/>
      <c r="AE260" s="1657"/>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15" t="s">
        <v>2621</v>
      </c>
      <c r="N261" s="1657"/>
      <c r="O261" s="1657"/>
      <c r="P261" s="1657"/>
      <c r="Q261" s="1657"/>
      <c r="R261" s="1657"/>
      <c r="S261" s="1657"/>
      <c r="T261" s="1657"/>
      <c r="U261" s="1657"/>
      <c r="V261" s="1657"/>
      <c r="W261" s="1657"/>
      <c r="X261" s="1657"/>
      <c r="Y261" s="1657"/>
      <c r="Z261" s="1657"/>
      <c r="AA261" s="1657"/>
      <c r="AB261" s="1657"/>
      <c r="AC261" s="1657"/>
      <c r="AD261" s="1657"/>
      <c r="AE261" s="1657"/>
      <c r="AH261" s="1753">
        <v>4.4999999999999998E-2</v>
      </c>
      <c r="AI261" s="1753"/>
      <c r="AJ261" s="1753"/>
      <c r="AK261" s="1753"/>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617">
        <v>7078229000</v>
      </c>
      <c r="N262" s="1617"/>
      <c r="O262" s="1617"/>
      <c r="P262" s="1617"/>
      <c r="Q262" s="1617"/>
      <c r="R262" s="1617"/>
      <c r="S262" s="4" t="s">
        <v>212</v>
      </c>
      <c r="T262" s="4"/>
      <c r="U262" s="1351"/>
      <c r="V262" s="1351"/>
      <c r="W262" s="1351"/>
      <c r="X262" s="4" t="s">
        <v>94</v>
      </c>
      <c r="Z262" s="1617">
        <v>7078229596</v>
      </c>
      <c r="AA262" s="1617"/>
      <c r="AB262" s="1617"/>
      <c r="AC262" s="1617"/>
      <c r="AD262" s="1617"/>
      <c r="AE262" s="1617"/>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71" t="s">
        <v>2622</v>
      </c>
      <c r="N263" s="1671"/>
      <c r="O263" s="1671"/>
      <c r="P263" s="1671"/>
      <c r="Q263" s="1671"/>
      <c r="R263" s="1671"/>
      <c r="S263" s="1671"/>
      <c r="T263" s="1671"/>
      <c r="U263" s="1671"/>
      <c r="V263" s="1671"/>
      <c r="W263" s="1671"/>
      <c r="X263" s="1671"/>
      <c r="Y263" s="1671"/>
      <c r="Z263" s="1671"/>
      <c r="AA263" s="1774"/>
      <c r="AB263" s="1774"/>
      <c r="AC263" s="1774"/>
      <c r="AD263" s="1774"/>
      <c r="AE263" s="1774"/>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52" t="s">
        <v>562</v>
      </c>
      <c r="N264" s="1352"/>
      <c r="O264" s="1352"/>
      <c r="P264" s="1352"/>
      <c r="Q264" s="1352"/>
      <c r="R264" s="1352"/>
      <c r="S264" s="1352"/>
      <c r="T264" s="1352"/>
      <c r="U264" s="219" t="s">
        <v>959</v>
      </c>
      <c r="V264" s="219"/>
      <c r="W264" s="219"/>
      <c r="X264" s="219"/>
      <c r="Y264" s="219"/>
      <c r="Z264" s="219"/>
      <c r="AA264" s="1760"/>
      <c r="AB264" s="1760"/>
      <c r="AC264" s="1760"/>
      <c r="AD264" s="1760"/>
      <c r="AE264" s="1760"/>
      <c r="AF264" s="1760"/>
      <c r="AG264" s="1760"/>
      <c r="AH264" s="1760"/>
      <c r="AI264" s="1760"/>
      <c r="AJ264" s="1760"/>
      <c r="AK264" s="1760"/>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748" t="str">
        <f>BO245</f>
        <v>Joint Venture</v>
      </c>
      <c r="U266" s="1748"/>
      <c r="V266" s="1748"/>
      <c r="W266" s="1748"/>
      <c r="X266" s="1748"/>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657" t="s">
        <v>178</v>
      </c>
      <c r="E269" s="1657"/>
      <c r="F269" s="1657"/>
      <c r="G269" s="1657"/>
      <c r="H269" s="1657"/>
      <c r="J269" t="s">
        <v>285</v>
      </c>
      <c r="X269" s="1639">
        <v>44958</v>
      </c>
      <c r="Y269" s="1639"/>
      <c r="Z269" s="1639"/>
      <c r="AA269" s="1639"/>
      <c r="AB269" s="1639"/>
      <c r="AC269" s="1639"/>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745" t="s">
        <v>2623</v>
      </c>
      <c r="M273" s="1746"/>
      <c r="N273" s="1746"/>
      <c r="O273" s="1746"/>
      <c r="P273" s="1746"/>
      <c r="Q273" s="1746"/>
      <c r="R273" s="1746"/>
      <c r="S273" s="1746"/>
      <c r="T273" s="1746"/>
      <c r="U273" s="1746"/>
      <c r="V273" s="1746"/>
      <c r="W273" s="1746"/>
      <c r="X273" s="1746"/>
      <c r="Y273" s="1746"/>
      <c r="Z273" s="1746"/>
      <c r="AA273" s="1746"/>
      <c r="AB273" s="1746"/>
      <c r="AC273" s="1746"/>
      <c r="AD273" s="1746"/>
      <c r="AE273" s="1746"/>
      <c r="AF273" s="1746"/>
      <c r="AG273" s="1746"/>
      <c r="AH273" s="1746"/>
      <c r="AI273" s="1746"/>
      <c r="AJ273" s="1746"/>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615" t="s">
        <v>2619</v>
      </c>
      <c r="M274" s="1657"/>
      <c r="N274" s="1657"/>
      <c r="O274" s="1657"/>
      <c r="P274" s="1657"/>
      <c r="Q274" s="1657"/>
      <c r="R274" s="1657"/>
      <c r="S274" s="1657"/>
      <c r="T274" s="1657"/>
      <c r="U274" s="1657"/>
      <c r="V274" s="1657"/>
      <c r="W274" s="1657"/>
      <c r="X274" s="1657"/>
      <c r="Y274" s="1657"/>
      <c r="Z274" s="1657"/>
      <c r="AA274" s="1657"/>
      <c r="AB274" s="1657"/>
      <c r="AC274" s="1657"/>
      <c r="AD274" s="1657"/>
      <c r="AK274" s="3"/>
      <c r="AL274" s="3"/>
      <c r="AM274" s="3"/>
      <c r="AN274" s="3"/>
      <c r="AO274" s="3"/>
      <c r="AP274" s="3"/>
      <c r="AQ274" s="3"/>
      <c r="AR274" s="3"/>
      <c r="AS274" s="3"/>
      <c r="AT274" s="3"/>
      <c r="AU274" s="3"/>
      <c r="AV274" s="3"/>
      <c r="AW274" s="3"/>
      <c r="AX274" s="3"/>
      <c r="AY274" s="3"/>
      <c r="BN274" s="34"/>
    </row>
    <row r="275" spans="1:66" ht="12.75">
      <c r="D275" s="4" t="s">
        <v>607</v>
      </c>
      <c r="E275" s="4"/>
      <c r="L275" s="1615" t="s">
        <v>2620</v>
      </c>
      <c r="M275" s="1657"/>
      <c r="N275" s="1657"/>
      <c r="O275" s="1657"/>
      <c r="P275" s="1657"/>
      <c r="Q275" s="1657"/>
      <c r="R275" s="1657"/>
      <c r="S275" s="1657"/>
      <c r="U275" s="33" t="s">
        <v>91</v>
      </c>
      <c r="V275" s="1413" t="s">
        <v>2614</v>
      </c>
      <c r="W275" s="1351"/>
      <c r="X275" s="4" t="s">
        <v>610</v>
      </c>
      <c r="AB275" s="1657">
        <v>95521</v>
      </c>
      <c r="AC275" s="1657"/>
      <c r="AD275" s="1657"/>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15" t="s">
        <v>2624</v>
      </c>
      <c r="M276" s="1657"/>
      <c r="N276" s="1657"/>
      <c r="O276" s="1657"/>
      <c r="P276" s="1657"/>
      <c r="Q276" s="1657"/>
      <c r="R276" s="1657"/>
      <c r="S276" s="1657"/>
      <c r="T276" s="1657"/>
      <c r="U276" s="1657"/>
      <c r="V276" s="1657"/>
      <c r="W276" s="1657"/>
      <c r="X276" s="1657"/>
      <c r="Y276" s="1657"/>
      <c r="Z276" s="1657"/>
      <c r="AA276" s="1657"/>
      <c r="AB276" s="1657"/>
      <c r="AC276" s="1657"/>
      <c r="AD276" s="1657"/>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617">
        <v>7078251580</v>
      </c>
      <c r="M277" s="1617"/>
      <c r="N277" s="1617"/>
      <c r="O277" s="1617"/>
      <c r="P277" s="1617"/>
      <c r="Q277" s="1617"/>
      <c r="R277" s="4" t="s">
        <v>212</v>
      </c>
      <c r="S277" s="4"/>
      <c r="T277" s="1351"/>
      <c r="U277" s="1351"/>
      <c r="V277" s="1351"/>
      <c r="W277" s="4" t="s">
        <v>94</v>
      </c>
      <c r="Y277" s="1617">
        <v>7078229596</v>
      </c>
      <c r="Z277" s="1617"/>
      <c r="AA277" s="1617"/>
      <c r="AB277" s="1617"/>
      <c r="AC277" s="1617"/>
      <c r="AD277" s="1617"/>
      <c r="BN277" s="34"/>
    </row>
    <row r="278" spans="1:66" ht="12.75">
      <c r="D278" s="4" t="s">
        <v>95</v>
      </c>
      <c r="E278" s="4"/>
      <c r="F278" s="4"/>
      <c r="L278" s="1671" t="s">
        <v>2625</v>
      </c>
      <c r="M278" s="1671"/>
      <c r="N278" s="1671"/>
      <c r="O278" s="1671"/>
      <c r="P278" s="1671"/>
      <c r="Q278" s="1671"/>
      <c r="R278" s="1671"/>
      <c r="S278" s="1671"/>
      <c r="T278" s="1671"/>
      <c r="U278" s="1671"/>
      <c r="V278" s="1671"/>
      <c r="W278" s="1671"/>
      <c r="X278" s="1671"/>
      <c r="Y278" s="1671"/>
      <c r="Z278" s="1671"/>
      <c r="AA278" s="1671"/>
      <c r="AB278" s="1671"/>
      <c r="AC278" s="1671"/>
      <c r="AD278" s="1671"/>
      <c r="AF278" s="4"/>
      <c r="AG278" s="4"/>
      <c r="AH278" s="4"/>
      <c r="AI278" s="4"/>
      <c r="AJ278" s="4"/>
      <c r="BN278" s="34"/>
    </row>
    <row r="279" spans="1:66" ht="12.75">
      <c r="D279" s="3" t="s">
        <v>650</v>
      </c>
      <c r="E279" s="3"/>
      <c r="F279" s="3"/>
      <c r="G279" s="3"/>
      <c r="H279" s="3"/>
      <c r="I279" s="3"/>
      <c r="L279" s="1413" t="s">
        <v>2626</v>
      </c>
      <c r="M279" s="1413"/>
      <c r="N279" s="1413"/>
      <c r="O279" s="1413"/>
      <c r="P279" s="1413"/>
      <c r="Q279" s="1413"/>
      <c r="R279" s="1413"/>
      <c r="S279" s="1413"/>
      <c r="T279" s="1413"/>
      <c r="U279" s="1413"/>
      <c r="V279" s="1413"/>
      <c r="W279" s="1413"/>
      <c r="X279" s="1413"/>
      <c r="Y279" s="1413"/>
      <c r="Z279" s="1413"/>
      <c r="AA279" s="1413"/>
      <c r="AB279" s="1413"/>
      <c r="AC279" s="1413"/>
      <c r="AD279" s="1413"/>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606" t="s">
        <v>567</v>
      </c>
      <c r="B281" s="1606"/>
      <c r="C281" s="1606"/>
      <c r="D281" s="1606"/>
      <c r="E281" s="1606"/>
      <c r="F281" s="1606"/>
      <c r="G281" s="1606"/>
      <c r="H281" s="1606"/>
      <c r="I281" s="1606"/>
      <c r="J281" s="1606"/>
      <c r="K281" s="1606"/>
      <c r="L281" s="1606"/>
      <c r="M281" s="1606"/>
      <c r="N281" s="1606"/>
      <c r="O281" s="1606"/>
      <c r="P281" s="1606"/>
      <c r="Q281" s="1606"/>
      <c r="R281" s="1606"/>
      <c r="S281" s="1606"/>
      <c r="T281" s="1606"/>
      <c r="U281" s="1606"/>
      <c r="V281" s="1606"/>
      <c r="W281" s="1606"/>
      <c r="X281" s="1606"/>
      <c r="Y281" s="1606"/>
      <c r="Z281" s="1606"/>
      <c r="AA281" s="1606"/>
      <c r="AB281" s="1606"/>
      <c r="AC281" s="1606"/>
      <c r="AD281" s="1606"/>
      <c r="AE281" s="1606"/>
      <c r="AF281" s="1606"/>
      <c r="AG281" s="1606"/>
      <c r="AH281" s="1606"/>
      <c r="AI281" s="1606"/>
      <c r="AJ281" s="1606"/>
      <c r="AK281" s="1606"/>
      <c r="AL281" s="1606"/>
      <c r="AM281" s="95"/>
      <c r="AN281" s="95"/>
      <c r="AO281" s="95"/>
      <c r="AP281" s="95"/>
      <c r="AQ281" s="95"/>
      <c r="AR281" s="95"/>
      <c r="AS281" s="95"/>
      <c r="AT281" s="95"/>
      <c r="AU281" s="95"/>
      <c r="AV281" s="95"/>
      <c r="AW281" s="95"/>
      <c r="AX281" s="95"/>
      <c r="AY281" s="95"/>
      <c r="BN281" s="34"/>
    </row>
    <row r="282" spans="1:66" ht="13.5" thickBot="1">
      <c r="A282" s="1607"/>
      <c r="B282" s="1607"/>
      <c r="C282" s="1607"/>
      <c r="D282" s="1607"/>
      <c r="E282" s="1607"/>
      <c r="F282" s="1607"/>
      <c r="G282" s="1607"/>
      <c r="H282" s="1607"/>
      <c r="I282" s="1607"/>
      <c r="J282" s="1607"/>
      <c r="K282" s="1607"/>
      <c r="L282" s="1607"/>
      <c r="M282" s="1607"/>
      <c r="N282" s="1607"/>
      <c r="O282" s="1607"/>
      <c r="P282" s="1607"/>
      <c r="Q282" s="1607"/>
      <c r="R282" s="1607"/>
      <c r="S282" s="1607"/>
      <c r="T282" s="1607"/>
      <c r="U282" s="1607"/>
      <c r="V282" s="1607"/>
      <c r="W282" s="1607"/>
      <c r="X282" s="1607"/>
      <c r="Y282" s="1607"/>
      <c r="Z282" s="1607"/>
      <c r="AA282" s="1607"/>
      <c r="AB282" s="1607"/>
      <c r="AC282" s="1607"/>
      <c r="AD282" s="1607"/>
      <c r="AE282" s="1607"/>
      <c r="AF282" s="1607"/>
      <c r="AG282" s="1607"/>
      <c r="AH282" s="1607"/>
      <c r="AI282" s="1607"/>
      <c r="AJ282" s="1607"/>
      <c r="AK282" s="1607"/>
      <c r="AL282" s="1607"/>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82" t="s">
        <v>2623</v>
      </c>
      <c r="I286" s="1382"/>
      <c r="J286" s="1382"/>
      <c r="K286" s="1382"/>
      <c r="L286" s="1382"/>
      <c r="M286" s="1382"/>
      <c r="N286" s="1382"/>
      <c r="O286" s="1382"/>
      <c r="P286" s="1382"/>
      <c r="Q286" s="1382"/>
      <c r="R286" s="1382"/>
      <c r="T286" s="3" t="s">
        <v>593</v>
      </c>
      <c r="V286" s="3"/>
      <c r="W286" s="3"/>
      <c r="X286" s="3"/>
      <c r="Y286" s="3"/>
      <c r="AA286" s="1382" t="s">
        <v>2628</v>
      </c>
      <c r="AB286" s="1382"/>
      <c r="AC286" s="1382"/>
      <c r="AD286" s="1382"/>
      <c r="AE286" s="1382"/>
      <c r="AF286" s="1382"/>
      <c r="AG286" s="1382"/>
      <c r="AH286" s="1382"/>
      <c r="AI286" s="1382"/>
      <c r="AJ286" s="1382"/>
      <c r="AK286" s="1382"/>
      <c r="BN286" s="34"/>
    </row>
    <row r="287" spans="1:66" ht="12.75">
      <c r="B287" s="3" t="s">
        <v>497</v>
      </c>
      <c r="C287" s="3"/>
      <c r="D287" s="3"/>
      <c r="E287" s="3"/>
      <c r="F287" s="3"/>
      <c r="H287" s="1352" t="s">
        <v>2619</v>
      </c>
      <c r="I287" s="1352"/>
      <c r="J287" s="1352"/>
      <c r="K287" s="1352"/>
      <c r="L287" s="1352"/>
      <c r="M287" s="1352"/>
      <c r="N287" s="1352"/>
      <c r="O287" s="1352"/>
      <c r="P287" s="1352"/>
      <c r="Q287" s="1352"/>
      <c r="R287" s="1352"/>
      <c r="T287" s="3" t="s">
        <v>497</v>
      </c>
      <c r="V287" s="3"/>
      <c r="W287" s="3"/>
      <c r="X287" s="3"/>
      <c r="Y287" s="3"/>
      <c r="AA287" s="1413" t="s">
        <v>2629</v>
      </c>
      <c r="AB287" s="1352"/>
      <c r="AC287" s="1352"/>
      <c r="AD287" s="1352"/>
      <c r="AE287" s="1352"/>
      <c r="AF287" s="1352"/>
      <c r="AG287" s="1352"/>
      <c r="AH287" s="1352"/>
      <c r="AI287" s="1352"/>
      <c r="AJ287" s="1352"/>
      <c r="AK287" s="1352"/>
      <c r="BN287" s="34"/>
    </row>
    <row r="288" spans="1:66" ht="12.75">
      <c r="B288" s="3" t="s">
        <v>498</v>
      </c>
      <c r="C288" s="3"/>
      <c r="D288" s="3"/>
      <c r="E288" s="3"/>
      <c r="F288" s="3"/>
      <c r="H288" s="1352" t="s">
        <v>2627</v>
      </c>
      <c r="I288" s="1352"/>
      <c r="J288" s="1352"/>
      <c r="K288" s="1352"/>
      <c r="L288" s="1352"/>
      <c r="M288" s="1352"/>
      <c r="N288" s="1352"/>
      <c r="O288" s="1352"/>
      <c r="P288" s="1352"/>
      <c r="Q288" s="1352"/>
      <c r="R288" s="1352"/>
      <c r="T288" s="3" t="s">
        <v>79</v>
      </c>
      <c r="V288" s="3"/>
      <c r="W288" s="3"/>
      <c r="X288" s="3"/>
      <c r="Y288" s="3"/>
      <c r="AA288" s="1413" t="s">
        <v>2630</v>
      </c>
      <c r="AB288" s="1352"/>
      <c r="AC288" s="1352"/>
      <c r="AD288" s="1352"/>
      <c r="AE288" s="1352"/>
      <c r="AF288" s="1352"/>
      <c r="AG288" s="1352"/>
      <c r="AH288" s="1352"/>
      <c r="AI288" s="1352"/>
      <c r="AJ288" s="1352"/>
      <c r="AK288" s="1352"/>
      <c r="BN288" s="34"/>
    </row>
    <row r="289" spans="2:66" ht="12.75" customHeight="1">
      <c r="B289" s="3" t="s">
        <v>92</v>
      </c>
      <c r="C289" s="3"/>
      <c r="D289" s="3"/>
      <c r="E289" s="3"/>
      <c r="F289" s="3"/>
      <c r="H289" s="1352" t="s">
        <v>2624</v>
      </c>
      <c r="I289" s="1352"/>
      <c r="J289" s="1352"/>
      <c r="K289" s="1352"/>
      <c r="L289" s="1352"/>
      <c r="M289" s="1352"/>
      <c r="N289" s="1352"/>
      <c r="O289" s="1352"/>
      <c r="P289" s="1352"/>
      <c r="Q289" s="1352"/>
      <c r="R289" s="1352"/>
      <c r="T289" s="3" t="s">
        <v>92</v>
      </c>
      <c r="V289" s="3"/>
      <c r="W289" s="3"/>
      <c r="X289" s="3"/>
      <c r="Y289" s="3"/>
      <c r="AA289" s="1413" t="s">
        <v>2631</v>
      </c>
      <c r="AB289" s="1352"/>
      <c r="AC289" s="1352"/>
      <c r="AD289" s="1352"/>
      <c r="AE289" s="1352"/>
      <c r="AF289" s="1352"/>
      <c r="AG289" s="1352"/>
      <c r="AH289" s="1352"/>
      <c r="AI289" s="1352"/>
      <c r="AJ289" s="1352"/>
      <c r="AK289" s="1352"/>
      <c r="BN289" s="34"/>
    </row>
    <row r="290" spans="2:66" ht="12.75" customHeight="1">
      <c r="B290" s="3" t="s">
        <v>93</v>
      </c>
      <c r="C290" s="3"/>
      <c r="D290" s="3"/>
      <c r="E290" s="3"/>
      <c r="F290" s="3"/>
      <c r="G290" s="3"/>
      <c r="H290" s="1672">
        <v>7078251580</v>
      </c>
      <c r="I290" s="1672"/>
      <c r="J290" s="1672"/>
      <c r="K290" s="1672"/>
      <c r="L290" s="1672"/>
      <c r="M290" s="1672"/>
      <c r="N290" s="4" t="s">
        <v>212</v>
      </c>
      <c r="O290" s="4"/>
      <c r="P290" s="1657"/>
      <c r="Q290" s="1657"/>
      <c r="R290" s="1657"/>
      <c r="S290" s="3"/>
      <c r="T290" s="3" t="s">
        <v>93</v>
      </c>
      <c r="V290" s="3"/>
      <c r="W290" s="3"/>
      <c r="X290" s="3"/>
      <c r="Y290" s="3"/>
      <c r="AA290" s="1672" t="s">
        <v>2632</v>
      </c>
      <c r="AB290" s="1672"/>
      <c r="AC290" s="1672"/>
      <c r="AD290" s="1672"/>
      <c r="AE290" s="1672"/>
      <c r="AF290" s="1672"/>
      <c r="AG290" s="4" t="s">
        <v>212</v>
      </c>
      <c r="AH290" s="4"/>
      <c r="AI290" s="1657"/>
      <c r="AJ290" s="1657"/>
      <c r="AK290" s="1657"/>
      <c r="BN290" s="34"/>
    </row>
    <row r="291" spans="2:66" ht="12.75" customHeight="1">
      <c r="B291" s="3" t="s">
        <v>94</v>
      </c>
      <c r="C291" s="3"/>
      <c r="D291" s="3"/>
      <c r="E291" s="3"/>
      <c r="F291" s="3"/>
      <c r="G291" s="3"/>
      <c r="H291" s="1629">
        <v>7078229596</v>
      </c>
      <c r="I291" s="1629"/>
      <c r="J291" s="1629"/>
      <c r="K291" s="1629"/>
      <c r="L291" s="1629"/>
      <c r="M291" s="1629"/>
      <c r="N291" s="4"/>
      <c r="O291" s="4"/>
      <c r="P291" s="35"/>
      <c r="Q291" s="35"/>
      <c r="R291" s="35"/>
      <c r="S291" s="3"/>
      <c r="T291" s="3" t="s">
        <v>94</v>
      </c>
      <c r="V291" s="3"/>
      <c r="W291" s="3"/>
      <c r="X291" s="3"/>
      <c r="Y291" s="3"/>
      <c r="AA291" s="1617"/>
      <c r="AB291" s="1617"/>
      <c r="AC291" s="1617"/>
      <c r="AD291" s="1617"/>
      <c r="AE291" s="1617"/>
      <c r="AF291" s="1617"/>
      <c r="AG291" s="4"/>
      <c r="AH291" s="4"/>
      <c r="AI291" s="35"/>
      <c r="AJ291" s="35"/>
      <c r="AK291" s="35"/>
      <c r="BN291" s="34"/>
    </row>
    <row r="292" spans="2:66" ht="12.75" customHeight="1">
      <c r="B292" s="3" t="s">
        <v>80</v>
      </c>
      <c r="C292" s="3"/>
      <c r="D292" s="3"/>
      <c r="E292" s="3"/>
      <c r="F292" s="3"/>
      <c r="G292" s="3"/>
      <c r="H292" s="1352" t="s">
        <v>2625</v>
      </c>
      <c r="I292" s="1352"/>
      <c r="J292" s="1352"/>
      <c r="K292" s="1352"/>
      <c r="L292" s="1352"/>
      <c r="M292" s="1352"/>
      <c r="N292" s="1382"/>
      <c r="O292" s="1382"/>
      <c r="P292" s="1382"/>
      <c r="Q292" s="1382"/>
      <c r="R292" s="1382"/>
      <c r="S292" s="3"/>
      <c r="T292" s="3" t="s">
        <v>80</v>
      </c>
      <c r="V292" s="3"/>
      <c r="W292" s="3"/>
      <c r="X292" s="3"/>
      <c r="Y292" s="3"/>
      <c r="AA292" s="1413" t="s">
        <v>2633</v>
      </c>
      <c r="AB292" s="1352"/>
      <c r="AC292" s="1352"/>
      <c r="AD292" s="1352"/>
      <c r="AE292" s="1352"/>
      <c r="AF292" s="1352"/>
      <c r="AG292" s="1382"/>
      <c r="AH292" s="1382"/>
      <c r="AI292" s="1382"/>
      <c r="AJ292" s="1382"/>
      <c r="AK292" s="1382"/>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615" t="s">
        <v>2634</v>
      </c>
      <c r="I294" s="1382"/>
      <c r="J294" s="1382"/>
      <c r="K294" s="1382"/>
      <c r="L294" s="1382"/>
      <c r="M294" s="1382"/>
      <c r="N294" s="1382"/>
      <c r="O294" s="1382"/>
      <c r="P294" s="1382"/>
      <c r="Q294" s="1382"/>
      <c r="R294" s="1382"/>
      <c r="T294" s="3" t="s">
        <v>371</v>
      </c>
      <c r="V294" s="3"/>
      <c r="W294" s="3"/>
      <c r="X294" s="3"/>
      <c r="Y294" s="3"/>
      <c r="AA294" s="1615" t="s">
        <v>2639</v>
      </c>
      <c r="AB294" s="1382"/>
      <c r="AC294" s="1382"/>
      <c r="AD294" s="1382"/>
      <c r="AE294" s="1382"/>
      <c r="AF294" s="1382"/>
      <c r="AG294" s="1382"/>
      <c r="AH294" s="1382"/>
      <c r="AI294" s="1382"/>
      <c r="AJ294" s="1382"/>
      <c r="AK294" s="1382"/>
      <c r="BN294" s="34"/>
    </row>
    <row r="295" spans="2:66" ht="12.75">
      <c r="B295" s="3" t="s">
        <v>497</v>
      </c>
      <c r="C295" s="3"/>
      <c r="D295" s="3"/>
      <c r="E295" s="3"/>
      <c r="F295" s="3"/>
      <c r="H295" s="1352" t="s">
        <v>2635</v>
      </c>
      <c r="I295" s="1352"/>
      <c r="J295" s="1352"/>
      <c r="K295" s="1352"/>
      <c r="L295" s="1352"/>
      <c r="M295" s="1352"/>
      <c r="N295" s="1352"/>
      <c r="O295" s="1352"/>
      <c r="P295" s="1352"/>
      <c r="Q295" s="1352"/>
      <c r="R295" s="1352"/>
      <c r="T295" s="3" t="s">
        <v>497</v>
      </c>
      <c r="V295" s="3"/>
      <c r="W295" s="3"/>
      <c r="X295" s="3"/>
      <c r="Y295" s="3"/>
      <c r="AA295" s="1413" t="s">
        <v>2619</v>
      </c>
      <c r="AB295" s="1352"/>
      <c r="AC295" s="1352"/>
      <c r="AD295" s="1352"/>
      <c r="AE295" s="1352"/>
      <c r="AF295" s="1352"/>
      <c r="AG295" s="1352"/>
      <c r="AH295" s="1352"/>
      <c r="AI295" s="1352"/>
      <c r="AJ295" s="1352"/>
      <c r="AK295" s="1352"/>
      <c r="BN295" s="34"/>
    </row>
    <row r="296" spans="2:66" ht="12.75">
      <c r="B296" s="3" t="s">
        <v>498</v>
      </c>
      <c r="C296" s="3"/>
      <c r="D296" s="3"/>
      <c r="E296" s="3"/>
      <c r="F296" s="3"/>
      <c r="H296" s="1352" t="s">
        <v>2636</v>
      </c>
      <c r="I296" s="1352"/>
      <c r="J296" s="1352"/>
      <c r="K296" s="1352"/>
      <c r="L296" s="1352"/>
      <c r="M296" s="1352"/>
      <c r="N296" s="1352"/>
      <c r="O296" s="1352"/>
      <c r="P296" s="1352"/>
      <c r="Q296" s="1352"/>
      <c r="R296" s="1352"/>
      <c r="T296" s="3" t="s">
        <v>79</v>
      </c>
      <c r="V296" s="3"/>
      <c r="W296" s="3"/>
      <c r="X296" s="3"/>
      <c r="Y296" s="3"/>
      <c r="AA296" s="1413" t="s">
        <v>2627</v>
      </c>
      <c r="AB296" s="1352"/>
      <c r="AC296" s="1352"/>
      <c r="AD296" s="1352"/>
      <c r="AE296" s="1352"/>
      <c r="AF296" s="1352"/>
      <c r="AG296" s="1352"/>
      <c r="AH296" s="1352"/>
      <c r="AI296" s="1352"/>
      <c r="AJ296" s="1352"/>
      <c r="AK296" s="1352"/>
      <c r="BN296" s="34"/>
    </row>
    <row r="297" spans="2:66" ht="12.75">
      <c r="B297" s="3" t="s">
        <v>92</v>
      </c>
      <c r="C297" s="3"/>
      <c r="D297" s="3"/>
      <c r="E297" s="3"/>
      <c r="F297" s="3"/>
      <c r="H297" s="1352" t="s">
        <v>2637</v>
      </c>
      <c r="I297" s="1352"/>
      <c r="J297" s="1352"/>
      <c r="K297" s="1352"/>
      <c r="L297" s="1352"/>
      <c r="M297" s="1352"/>
      <c r="N297" s="1352"/>
      <c r="O297" s="1352"/>
      <c r="P297" s="1352"/>
      <c r="Q297" s="1352"/>
      <c r="R297" s="1352"/>
      <c r="T297" s="3" t="s">
        <v>92</v>
      </c>
      <c r="V297" s="3"/>
      <c r="W297" s="3"/>
      <c r="X297" s="3"/>
      <c r="Y297" s="3"/>
      <c r="AA297" s="1413" t="s">
        <v>2621</v>
      </c>
      <c r="AB297" s="1352"/>
      <c r="AC297" s="1352"/>
      <c r="AD297" s="1352"/>
      <c r="AE297" s="1352"/>
      <c r="AF297" s="1352"/>
      <c r="AG297" s="1352"/>
      <c r="AH297" s="1352"/>
      <c r="AI297" s="1352"/>
      <c r="AJ297" s="1352"/>
      <c r="AK297" s="1352"/>
      <c r="BN297" s="34"/>
    </row>
    <row r="298" spans="2:66" ht="12.75">
      <c r="B298" s="3" t="s">
        <v>93</v>
      </c>
      <c r="C298" s="3"/>
      <c r="D298" s="3"/>
      <c r="E298" s="3"/>
      <c r="F298" s="3"/>
      <c r="G298" s="3"/>
      <c r="H298" s="1672">
        <v>9512156212</v>
      </c>
      <c r="I298" s="1672"/>
      <c r="J298" s="1672"/>
      <c r="K298" s="1672"/>
      <c r="L298" s="1672"/>
      <c r="M298" s="1672"/>
      <c r="N298" s="4" t="s">
        <v>212</v>
      </c>
      <c r="O298" s="4"/>
      <c r="P298" s="1657"/>
      <c r="Q298" s="1657"/>
      <c r="R298" s="1657"/>
      <c r="S298" s="3"/>
      <c r="T298" s="3" t="s">
        <v>93</v>
      </c>
      <c r="V298" s="3"/>
      <c r="W298" s="3"/>
      <c r="X298" s="3"/>
      <c r="Y298" s="3"/>
      <c r="AA298" s="1672" t="s">
        <v>2640</v>
      </c>
      <c r="AB298" s="1672"/>
      <c r="AC298" s="1672"/>
      <c r="AD298" s="1672"/>
      <c r="AE298" s="1672"/>
      <c r="AF298" s="1672"/>
      <c r="AG298" s="4" t="s">
        <v>212</v>
      </c>
      <c r="AH298" s="4"/>
      <c r="AI298" s="1657"/>
      <c r="AJ298" s="1657"/>
      <c r="AK298" s="1657"/>
      <c r="BN298" s="34"/>
    </row>
    <row r="299" spans="2:66" ht="12.75" customHeight="1">
      <c r="B299" s="3" t="s">
        <v>94</v>
      </c>
      <c r="C299" s="3"/>
      <c r="D299" s="3"/>
      <c r="E299" s="3"/>
      <c r="F299" s="3"/>
      <c r="G299" s="3"/>
      <c r="H299" s="1617"/>
      <c r="I299" s="1617"/>
      <c r="J299" s="1617"/>
      <c r="K299" s="1617"/>
      <c r="L299" s="1617"/>
      <c r="M299" s="1617"/>
      <c r="N299" s="4"/>
      <c r="O299" s="4"/>
      <c r="P299" s="35"/>
      <c r="Q299" s="35"/>
      <c r="R299" s="35"/>
      <c r="S299" s="3"/>
      <c r="T299" s="3" t="s">
        <v>94</v>
      </c>
      <c r="V299" s="3"/>
      <c r="W299" s="3"/>
      <c r="X299" s="3"/>
      <c r="Y299" s="3"/>
      <c r="AA299" s="1629" t="s">
        <v>2641</v>
      </c>
      <c r="AB299" s="1629"/>
      <c r="AC299" s="1629"/>
      <c r="AD299" s="1629"/>
      <c r="AE299" s="1629"/>
      <c r="AF299" s="1629"/>
      <c r="AG299" s="4"/>
      <c r="AH299" s="4"/>
      <c r="AI299" s="35"/>
      <c r="AJ299" s="35"/>
      <c r="AK299" s="35"/>
      <c r="BN299" s="34"/>
    </row>
    <row r="300" spans="2:66" ht="12.75" customHeight="1">
      <c r="B300" s="3" t="s">
        <v>80</v>
      </c>
      <c r="C300" s="3"/>
      <c r="D300" s="3"/>
      <c r="E300" s="3"/>
      <c r="F300" s="3"/>
      <c r="G300" s="3"/>
      <c r="H300" s="1352" t="s">
        <v>2638</v>
      </c>
      <c r="I300" s="1352"/>
      <c r="J300" s="1352"/>
      <c r="K300" s="1352"/>
      <c r="L300" s="1352"/>
      <c r="M300" s="1352"/>
      <c r="N300" s="1382"/>
      <c r="O300" s="1382"/>
      <c r="P300" s="1382"/>
      <c r="Q300" s="1382"/>
      <c r="R300" s="1382"/>
      <c r="S300" s="3"/>
      <c r="T300" s="3" t="s">
        <v>80</v>
      </c>
      <c r="V300" s="3"/>
      <c r="W300" s="3"/>
      <c r="X300" s="3"/>
      <c r="Y300" s="3"/>
      <c r="AA300" s="1352" t="s">
        <v>2622</v>
      </c>
      <c r="AB300" s="1352"/>
      <c r="AC300" s="1352"/>
      <c r="AD300" s="1352"/>
      <c r="AE300" s="1352"/>
      <c r="AF300" s="1352"/>
      <c r="AG300" s="1382"/>
      <c r="AH300" s="1382"/>
      <c r="AI300" s="1382"/>
      <c r="AJ300" s="1382"/>
      <c r="AK300" s="1382"/>
      <c r="BN300" s="34"/>
    </row>
    <row r="301" spans="2:66" ht="12.75" customHeight="1">
      <c r="BN301" s="34"/>
    </row>
    <row r="302" spans="2:66" ht="12.75" customHeight="1">
      <c r="B302" s="3" t="s">
        <v>81</v>
      </c>
      <c r="C302" s="3"/>
      <c r="D302" s="3"/>
      <c r="E302" s="3"/>
      <c r="F302" s="3"/>
      <c r="H302" s="1382"/>
      <c r="I302" s="1382"/>
      <c r="J302" s="1382"/>
      <c r="K302" s="1382"/>
      <c r="L302" s="1382"/>
      <c r="M302" s="1382"/>
      <c r="N302" s="1382"/>
      <c r="O302" s="1382"/>
      <c r="P302" s="1382"/>
      <c r="Q302" s="1382"/>
      <c r="R302" s="1382"/>
      <c r="T302" s="4" t="s">
        <v>927</v>
      </c>
      <c r="V302" s="3"/>
      <c r="W302" s="3"/>
      <c r="X302" s="3"/>
      <c r="Y302" s="3"/>
      <c r="AA302" s="1382" t="s">
        <v>2642</v>
      </c>
      <c r="AB302" s="1382"/>
      <c r="AC302" s="1382"/>
      <c r="AD302" s="1382"/>
      <c r="AE302" s="1382"/>
      <c r="AF302" s="1382"/>
      <c r="AG302" s="1382"/>
      <c r="AH302" s="1382"/>
      <c r="AI302" s="1382"/>
      <c r="AJ302" s="1382"/>
      <c r="AK302" s="1382"/>
      <c r="BN302" s="34"/>
    </row>
    <row r="303" spans="2:66" ht="12.75">
      <c r="B303" s="3" t="s">
        <v>497</v>
      </c>
      <c r="C303" s="3"/>
      <c r="D303" s="3"/>
      <c r="E303" s="3"/>
      <c r="F303" s="3"/>
      <c r="H303" s="1352"/>
      <c r="I303" s="1352"/>
      <c r="J303" s="1352"/>
      <c r="K303" s="1352"/>
      <c r="L303" s="1352"/>
      <c r="M303" s="1352"/>
      <c r="N303" s="1352"/>
      <c r="O303" s="1352"/>
      <c r="P303" s="1352"/>
      <c r="Q303" s="1352"/>
      <c r="R303" s="1352"/>
      <c r="T303" s="3" t="s">
        <v>497</v>
      </c>
      <c r="V303" s="3"/>
      <c r="W303" s="3"/>
      <c r="X303" s="3"/>
      <c r="Y303" s="3"/>
      <c r="AA303" s="1352" t="s">
        <v>2643</v>
      </c>
      <c r="AB303" s="1352"/>
      <c r="AC303" s="1352"/>
      <c r="AD303" s="1352"/>
      <c r="AE303" s="1352"/>
      <c r="AF303" s="1352"/>
      <c r="AG303" s="1352"/>
      <c r="AH303" s="1352"/>
      <c r="AI303" s="1352"/>
      <c r="AJ303" s="1352"/>
      <c r="AK303" s="1352"/>
      <c r="BN303" s="34"/>
    </row>
    <row r="304" spans="2:66" ht="12.75">
      <c r="B304" s="3" t="s">
        <v>498</v>
      </c>
      <c r="C304" s="3"/>
      <c r="D304" s="3"/>
      <c r="E304" s="3"/>
      <c r="F304" s="3"/>
      <c r="H304" s="1352"/>
      <c r="I304" s="1352"/>
      <c r="J304" s="1352"/>
      <c r="K304" s="1352"/>
      <c r="L304" s="1352"/>
      <c r="M304" s="1352"/>
      <c r="N304" s="1352"/>
      <c r="O304" s="1352"/>
      <c r="P304" s="1352"/>
      <c r="Q304" s="1352"/>
      <c r="R304" s="1352"/>
      <c r="T304" s="3" t="s">
        <v>79</v>
      </c>
      <c r="V304" s="3"/>
      <c r="W304" s="3"/>
      <c r="X304" s="3"/>
      <c r="Y304" s="3"/>
      <c r="AA304" s="1352" t="s">
        <v>2627</v>
      </c>
      <c r="AB304" s="1352"/>
      <c r="AC304" s="1352"/>
      <c r="AD304" s="1352"/>
      <c r="AE304" s="1352"/>
      <c r="AF304" s="1352"/>
      <c r="AG304" s="1352"/>
      <c r="AH304" s="1352"/>
      <c r="AI304" s="1352"/>
      <c r="AJ304" s="1352"/>
      <c r="AK304" s="1352"/>
      <c r="BN304" s="34"/>
    </row>
    <row r="305" spans="2:66" ht="12.75">
      <c r="B305" s="3" t="s">
        <v>92</v>
      </c>
      <c r="C305" s="3"/>
      <c r="D305" s="3"/>
      <c r="E305" s="3"/>
      <c r="F305" s="3"/>
      <c r="H305" s="1352"/>
      <c r="I305" s="1352"/>
      <c r="J305" s="1352"/>
      <c r="K305" s="1352"/>
      <c r="L305" s="1352"/>
      <c r="M305" s="1352"/>
      <c r="N305" s="1352"/>
      <c r="O305" s="1352"/>
      <c r="P305" s="1352"/>
      <c r="Q305" s="1352"/>
      <c r="R305" s="1352"/>
      <c r="T305" s="3" t="s">
        <v>92</v>
      </c>
      <c r="V305" s="3"/>
      <c r="W305" s="3"/>
      <c r="X305" s="3"/>
      <c r="Y305" s="3"/>
      <c r="AA305" s="1352" t="s">
        <v>2644</v>
      </c>
      <c r="AB305" s="1352"/>
      <c r="AC305" s="1352"/>
      <c r="AD305" s="1352"/>
      <c r="AE305" s="1352"/>
      <c r="AF305" s="1352"/>
      <c r="AG305" s="1352"/>
      <c r="AH305" s="1352"/>
      <c r="AI305" s="1352"/>
      <c r="AJ305" s="1352"/>
      <c r="AK305" s="1352"/>
      <c r="BN305" s="34"/>
    </row>
    <row r="306" spans="2:66" ht="12.75">
      <c r="B306" s="3" t="s">
        <v>93</v>
      </c>
      <c r="C306" s="3"/>
      <c r="D306" s="3"/>
      <c r="E306" s="3"/>
      <c r="F306" s="3"/>
      <c r="G306" s="3"/>
      <c r="H306" s="1658"/>
      <c r="I306" s="1658"/>
      <c r="J306" s="1658"/>
      <c r="K306" s="1658"/>
      <c r="L306" s="1658"/>
      <c r="M306" s="1658"/>
      <c r="N306" s="4" t="s">
        <v>212</v>
      </c>
      <c r="O306" s="4"/>
      <c r="P306" s="1657"/>
      <c r="Q306" s="1657"/>
      <c r="R306" s="1657"/>
      <c r="S306" s="3"/>
      <c r="T306" s="3" t="s">
        <v>93</v>
      </c>
      <c r="V306" s="3"/>
      <c r="W306" s="3"/>
      <c r="X306" s="3"/>
      <c r="Y306" s="3"/>
      <c r="AA306" s="1672" t="s">
        <v>2645</v>
      </c>
      <c r="AB306" s="1672"/>
      <c r="AC306" s="1672"/>
      <c r="AD306" s="1672"/>
      <c r="AE306" s="1672"/>
      <c r="AF306" s="1672"/>
      <c r="AG306" s="4" t="s">
        <v>212</v>
      </c>
      <c r="AH306" s="4"/>
      <c r="AI306" s="1657"/>
      <c r="AJ306" s="1657"/>
      <c r="AK306" s="1657"/>
      <c r="BN306" s="34"/>
    </row>
    <row r="307" spans="2:66" ht="12.75">
      <c r="B307" s="3" t="s">
        <v>94</v>
      </c>
      <c r="C307" s="3"/>
      <c r="D307" s="3"/>
      <c r="E307" s="3"/>
      <c r="F307" s="3"/>
      <c r="G307" s="3"/>
      <c r="H307" s="1617"/>
      <c r="I307" s="1617"/>
      <c r="J307" s="1617"/>
      <c r="K307" s="1617"/>
      <c r="L307" s="1617"/>
      <c r="M307" s="1617"/>
      <c r="N307" s="4"/>
      <c r="O307" s="4"/>
      <c r="P307" s="35"/>
      <c r="Q307" s="35"/>
      <c r="R307" s="35"/>
      <c r="S307" s="3"/>
      <c r="T307" s="3" t="s">
        <v>94</v>
      </c>
      <c r="V307" s="3"/>
      <c r="W307" s="3"/>
      <c r="X307" s="3"/>
      <c r="Y307" s="3"/>
      <c r="AA307" s="1617"/>
      <c r="AB307" s="1617"/>
      <c r="AC307" s="1617"/>
      <c r="AD307" s="1617"/>
      <c r="AE307" s="1617"/>
      <c r="AF307" s="1617"/>
      <c r="AG307" s="4"/>
      <c r="AH307" s="4"/>
      <c r="AI307" s="35"/>
      <c r="AJ307" s="35"/>
      <c r="AK307" s="35"/>
      <c r="BN307" s="34"/>
    </row>
    <row r="308" spans="2:66" ht="12.75">
      <c r="B308" s="3" t="s">
        <v>80</v>
      </c>
      <c r="C308" s="3"/>
      <c r="D308" s="3"/>
      <c r="E308" s="3"/>
      <c r="F308" s="3"/>
      <c r="G308" s="3"/>
      <c r="H308" s="1352"/>
      <c r="I308" s="1352"/>
      <c r="J308" s="1352"/>
      <c r="K308" s="1352"/>
      <c r="L308" s="1352"/>
      <c r="M308" s="1352"/>
      <c r="N308" s="1382"/>
      <c r="O308" s="1382"/>
      <c r="P308" s="1382"/>
      <c r="Q308" s="1382"/>
      <c r="R308" s="1382"/>
      <c r="S308" s="3"/>
      <c r="T308" s="3" t="s">
        <v>80</v>
      </c>
      <c r="V308" s="3"/>
      <c r="W308" s="3"/>
      <c r="X308" s="3"/>
      <c r="Y308" s="3"/>
      <c r="AA308" s="1352" t="s">
        <v>2646</v>
      </c>
      <c r="AB308" s="1352"/>
      <c r="AC308" s="1352"/>
      <c r="AD308" s="1352"/>
      <c r="AE308" s="1352"/>
      <c r="AF308" s="1352"/>
      <c r="AG308" s="1382"/>
      <c r="AH308" s="1382"/>
      <c r="AI308" s="1382"/>
      <c r="AJ308" s="1382"/>
      <c r="AK308" s="1382"/>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82"/>
      <c r="I310" s="1382"/>
      <c r="J310" s="1382"/>
      <c r="K310" s="1382"/>
      <c r="L310" s="1382"/>
      <c r="M310" s="1382"/>
      <c r="N310" s="1382"/>
      <c r="O310" s="1382"/>
      <c r="P310" s="1382"/>
      <c r="Q310" s="1382"/>
      <c r="R310" s="1382"/>
      <c r="S310" s="3"/>
      <c r="T310" s="3" t="s">
        <v>372</v>
      </c>
      <c r="V310" s="3"/>
      <c r="W310" s="3"/>
      <c r="X310" s="3"/>
      <c r="Y310" s="3"/>
      <c r="AA310" s="1615" t="s">
        <v>2647</v>
      </c>
      <c r="AB310" s="1382"/>
      <c r="AC310" s="1382"/>
      <c r="AD310" s="1382"/>
      <c r="AE310" s="1382"/>
      <c r="AF310" s="1382"/>
      <c r="AG310" s="1382"/>
      <c r="AH310" s="1382"/>
      <c r="AI310" s="1382"/>
      <c r="AJ310" s="1382"/>
      <c r="AK310" s="1382"/>
      <c r="BN310" s="34"/>
    </row>
    <row r="311" spans="2:66" ht="12.75">
      <c r="B311" s="3" t="s">
        <v>497</v>
      </c>
      <c r="C311" s="3"/>
      <c r="D311" s="3"/>
      <c r="E311" s="3"/>
      <c r="F311" s="3"/>
      <c r="H311" s="1352"/>
      <c r="I311" s="1352"/>
      <c r="J311" s="1352"/>
      <c r="K311" s="1352"/>
      <c r="L311" s="1352"/>
      <c r="M311" s="1352"/>
      <c r="N311" s="1352"/>
      <c r="O311" s="1352"/>
      <c r="P311" s="1352"/>
      <c r="Q311" s="1352"/>
      <c r="R311" s="1352"/>
      <c r="S311" s="3"/>
      <c r="T311" s="3" t="s">
        <v>497</v>
      </c>
      <c r="V311" s="3"/>
      <c r="W311" s="3"/>
      <c r="X311" s="3"/>
      <c r="Y311" s="3"/>
      <c r="AA311" s="1413" t="s">
        <v>2648</v>
      </c>
      <c r="AB311" s="1352"/>
      <c r="AC311" s="1352"/>
      <c r="AD311" s="1352"/>
      <c r="AE311" s="1352"/>
      <c r="AF311" s="1352"/>
      <c r="AG311" s="1352"/>
      <c r="AH311" s="1352"/>
      <c r="AI311" s="1352"/>
      <c r="AJ311" s="1352"/>
      <c r="AK311" s="1352"/>
      <c r="BN311" s="34"/>
    </row>
    <row r="312" spans="2:66" ht="12.75" customHeight="1">
      <c r="B312" s="3" t="s">
        <v>498</v>
      </c>
      <c r="C312" s="3"/>
      <c r="D312" s="3"/>
      <c r="E312" s="3"/>
      <c r="F312" s="3"/>
      <c r="H312" s="1352"/>
      <c r="I312" s="1352"/>
      <c r="J312" s="1352"/>
      <c r="K312" s="1352"/>
      <c r="L312" s="1352"/>
      <c r="M312" s="1352"/>
      <c r="N312" s="1352"/>
      <c r="O312" s="1352"/>
      <c r="P312" s="1352"/>
      <c r="Q312" s="1352"/>
      <c r="R312" s="1352"/>
      <c r="S312" s="3"/>
      <c r="T312" s="3" t="s">
        <v>79</v>
      </c>
      <c r="V312" s="3"/>
      <c r="W312" s="3"/>
      <c r="X312" s="3"/>
      <c r="Y312" s="3"/>
      <c r="AA312" s="1413" t="s">
        <v>2649</v>
      </c>
      <c r="AB312" s="1352"/>
      <c r="AC312" s="1352"/>
      <c r="AD312" s="1352"/>
      <c r="AE312" s="1352"/>
      <c r="AF312" s="1352"/>
      <c r="AG312" s="1352"/>
      <c r="AH312" s="1352"/>
      <c r="AI312" s="1352"/>
      <c r="AJ312" s="1352"/>
      <c r="AK312" s="1352"/>
      <c r="BN312" s="34"/>
    </row>
    <row r="313" spans="2:66" ht="12.75">
      <c r="B313" s="3" t="s">
        <v>92</v>
      </c>
      <c r="C313" s="3"/>
      <c r="D313" s="3"/>
      <c r="E313" s="3"/>
      <c r="F313" s="3"/>
      <c r="H313" s="1352"/>
      <c r="I313" s="1352"/>
      <c r="J313" s="1352"/>
      <c r="K313" s="1352"/>
      <c r="L313" s="1352"/>
      <c r="M313" s="1352"/>
      <c r="N313" s="1352"/>
      <c r="O313" s="1352"/>
      <c r="P313" s="1352"/>
      <c r="Q313" s="1352"/>
      <c r="R313" s="1352"/>
      <c r="S313" s="3"/>
      <c r="T313" s="3" t="s">
        <v>92</v>
      </c>
      <c r="V313" s="3"/>
      <c r="W313" s="3"/>
      <c r="X313" s="3"/>
      <c r="Y313" s="3"/>
      <c r="AA313" s="1413" t="s">
        <v>2650</v>
      </c>
      <c r="AB313" s="1352"/>
      <c r="AC313" s="1352"/>
      <c r="AD313" s="1352"/>
      <c r="AE313" s="1352"/>
      <c r="AF313" s="1352"/>
      <c r="AG313" s="1352"/>
      <c r="AH313" s="1352"/>
      <c r="AI313" s="1352"/>
      <c r="AJ313" s="1352"/>
      <c r="AK313" s="1352"/>
      <c r="BN313" s="34"/>
    </row>
    <row r="314" spans="2:66" ht="12.75">
      <c r="B314" s="3" t="s">
        <v>93</v>
      </c>
      <c r="C314" s="3"/>
      <c r="D314" s="3"/>
      <c r="E314" s="3"/>
      <c r="F314" s="3"/>
      <c r="G314" s="3"/>
      <c r="H314" s="1658"/>
      <c r="I314" s="1658"/>
      <c r="J314" s="1658"/>
      <c r="K314" s="1658"/>
      <c r="L314" s="1658"/>
      <c r="M314" s="1658"/>
      <c r="N314" s="4" t="s">
        <v>212</v>
      </c>
      <c r="O314" s="4"/>
      <c r="P314" s="1657"/>
      <c r="Q314" s="1657"/>
      <c r="R314" s="1657"/>
      <c r="S314" s="3"/>
      <c r="T314" s="3" t="s">
        <v>93</v>
      </c>
      <c r="V314" s="3"/>
      <c r="W314" s="3"/>
      <c r="X314" s="3"/>
      <c r="Y314" s="3"/>
      <c r="AA314" s="1672" t="s">
        <v>2651</v>
      </c>
      <c r="AB314" s="1672"/>
      <c r="AC314" s="1672"/>
      <c r="AD314" s="1672"/>
      <c r="AE314" s="1672"/>
      <c r="AF314" s="1672"/>
      <c r="AG314" s="4" t="s">
        <v>212</v>
      </c>
      <c r="AH314" s="4"/>
      <c r="AI314" s="1657"/>
      <c r="AJ314" s="1657"/>
      <c r="AK314" s="1657"/>
      <c r="BN314" s="34"/>
    </row>
    <row r="315" spans="2:66" ht="12.75">
      <c r="B315" s="3" t="s">
        <v>94</v>
      </c>
      <c r="C315" s="3"/>
      <c r="D315" s="3"/>
      <c r="E315" s="3"/>
      <c r="F315" s="3"/>
      <c r="G315" s="3"/>
      <c r="H315" s="1617"/>
      <c r="I315" s="1617"/>
      <c r="J315" s="1617"/>
      <c r="K315" s="1617"/>
      <c r="L315" s="1617"/>
      <c r="M315" s="1617"/>
      <c r="N315" s="4"/>
      <c r="O315" s="4"/>
      <c r="P315" s="35"/>
      <c r="Q315" s="35"/>
      <c r="R315" s="35"/>
      <c r="S315" s="3"/>
      <c r="T315" s="3" t="s">
        <v>94</v>
      </c>
      <c r="V315" s="3"/>
      <c r="W315" s="3"/>
      <c r="X315" s="3"/>
      <c r="Y315" s="3"/>
      <c r="AA315" s="1617"/>
      <c r="AB315" s="1617"/>
      <c r="AC315" s="1617"/>
      <c r="AD315" s="1617"/>
      <c r="AE315" s="1617"/>
      <c r="AF315" s="1617"/>
      <c r="AG315" s="4"/>
      <c r="AH315" s="4"/>
      <c r="AI315" s="35"/>
      <c r="AJ315" s="35"/>
      <c r="AK315" s="35"/>
      <c r="BN315" s="34"/>
    </row>
    <row r="316" spans="2:66" ht="12.75">
      <c r="B316" s="3" t="s">
        <v>80</v>
      </c>
      <c r="C316" s="3"/>
      <c r="D316" s="3"/>
      <c r="E316" s="3"/>
      <c r="F316" s="3"/>
      <c r="G316" s="3"/>
      <c r="H316" s="1352"/>
      <c r="I316" s="1352"/>
      <c r="J316" s="1352"/>
      <c r="K316" s="1352"/>
      <c r="L316" s="1352"/>
      <c r="M316" s="1352"/>
      <c r="N316" s="1382"/>
      <c r="O316" s="1382"/>
      <c r="P316" s="1382"/>
      <c r="Q316" s="1382"/>
      <c r="R316" s="1382"/>
      <c r="S316" s="3"/>
      <c r="T316" s="3" t="s">
        <v>80</v>
      </c>
      <c r="V316" s="3"/>
      <c r="W316" s="3"/>
      <c r="X316" s="3"/>
      <c r="Y316" s="3"/>
      <c r="AA316" s="1413" t="s">
        <v>2652</v>
      </c>
      <c r="AB316" s="1352"/>
      <c r="AC316" s="1352"/>
      <c r="AD316" s="1352"/>
      <c r="AE316" s="1352"/>
      <c r="AF316" s="1352"/>
      <c r="AG316" s="1382"/>
      <c r="AH316" s="1382"/>
      <c r="AI316" s="1382"/>
      <c r="AJ316" s="1382"/>
      <c r="AK316" s="1382"/>
      <c r="BN316" s="34"/>
    </row>
    <row r="317" spans="2:66" ht="12.75">
      <c r="BN317" s="34"/>
    </row>
    <row r="318" spans="2:66" ht="12.75">
      <c r="B318" s="4" t="s">
        <v>961</v>
      </c>
      <c r="C318" s="3"/>
      <c r="D318" s="3"/>
      <c r="E318" s="3"/>
      <c r="F318" s="3"/>
      <c r="H318" s="1382"/>
      <c r="I318" s="1382"/>
      <c r="J318" s="1382"/>
      <c r="K318" s="1382"/>
      <c r="L318" s="1382"/>
      <c r="M318" s="1382"/>
      <c r="N318" s="1382"/>
      <c r="O318" s="1382"/>
      <c r="P318" s="1382"/>
      <c r="Q318" s="1382"/>
      <c r="R318" s="1382"/>
      <c r="T318" s="3" t="s">
        <v>373</v>
      </c>
      <c r="V318" s="3"/>
      <c r="W318" s="3"/>
      <c r="X318" s="3"/>
      <c r="Y318" s="3"/>
      <c r="AA318" s="1615" t="s">
        <v>2653</v>
      </c>
      <c r="AB318" s="1615"/>
      <c r="AC318" s="1615"/>
      <c r="AD318" s="1615"/>
      <c r="AE318" s="1615"/>
      <c r="AF318" s="1615"/>
      <c r="AG318" s="1615"/>
      <c r="AH318" s="1615"/>
      <c r="AI318" s="1615"/>
      <c r="AJ318" s="1615"/>
      <c r="AK318" s="1615"/>
      <c r="BN318" s="34"/>
    </row>
    <row r="319" spans="2:66" ht="12.75">
      <c r="B319" s="3" t="s">
        <v>497</v>
      </c>
      <c r="C319" s="3"/>
      <c r="D319" s="3"/>
      <c r="E319" s="3"/>
      <c r="F319" s="3"/>
      <c r="H319" s="1352"/>
      <c r="I319" s="1352"/>
      <c r="J319" s="1352"/>
      <c r="K319" s="1352"/>
      <c r="L319" s="1352"/>
      <c r="M319" s="1352"/>
      <c r="N319" s="1352"/>
      <c r="O319" s="1352"/>
      <c r="P319" s="1352"/>
      <c r="Q319" s="1352"/>
      <c r="R319" s="1352"/>
      <c r="T319" s="3" t="s">
        <v>497</v>
      </c>
      <c r="V319" s="3"/>
      <c r="W319" s="3"/>
      <c r="X319" s="3"/>
      <c r="Y319" s="3"/>
      <c r="AA319" s="1413" t="s">
        <v>2654</v>
      </c>
      <c r="AB319" s="1352"/>
      <c r="AC319" s="1352"/>
      <c r="AD319" s="1352"/>
      <c r="AE319" s="1352"/>
      <c r="AF319" s="1352"/>
      <c r="AG319" s="1352"/>
      <c r="AH319" s="1352"/>
      <c r="AI319" s="1352"/>
      <c r="AJ319" s="1352"/>
      <c r="AK319" s="1352"/>
      <c r="BN319" s="34"/>
    </row>
    <row r="320" spans="2:66" ht="12.75">
      <c r="B320" s="3" t="s">
        <v>498</v>
      </c>
      <c r="C320" s="3"/>
      <c r="D320" s="3"/>
      <c r="E320" s="3"/>
      <c r="F320" s="3"/>
      <c r="H320" s="1352"/>
      <c r="I320" s="1352"/>
      <c r="J320" s="1352"/>
      <c r="K320" s="1352"/>
      <c r="L320" s="1352"/>
      <c r="M320" s="1352"/>
      <c r="N320" s="1352"/>
      <c r="O320" s="1352"/>
      <c r="P320" s="1352"/>
      <c r="Q320" s="1352"/>
      <c r="R320" s="1352"/>
      <c r="T320" s="3" t="s">
        <v>79</v>
      </c>
      <c r="V320" s="3"/>
      <c r="W320" s="3"/>
      <c r="X320" s="3"/>
      <c r="Y320" s="3"/>
      <c r="AA320" s="1413" t="s">
        <v>2655</v>
      </c>
      <c r="AB320" s="1352"/>
      <c r="AC320" s="1352"/>
      <c r="AD320" s="1352"/>
      <c r="AE320" s="1352"/>
      <c r="AF320" s="1352"/>
      <c r="AG320" s="1352"/>
      <c r="AH320" s="1352"/>
      <c r="AI320" s="1352"/>
      <c r="AJ320" s="1352"/>
      <c r="AK320" s="1352"/>
      <c r="BN320" s="34"/>
    </row>
    <row r="321" spans="2:66" ht="12.75" customHeight="1">
      <c r="B321" s="3" t="s">
        <v>92</v>
      </c>
      <c r="C321" s="3"/>
      <c r="D321" s="3"/>
      <c r="E321" s="3"/>
      <c r="F321" s="3"/>
      <c r="H321" s="1352"/>
      <c r="I321" s="1352"/>
      <c r="J321" s="1352"/>
      <c r="K321" s="1352"/>
      <c r="L321" s="1352"/>
      <c r="M321" s="1352"/>
      <c r="N321" s="1352"/>
      <c r="O321" s="1352"/>
      <c r="P321" s="1352"/>
      <c r="Q321" s="1352"/>
      <c r="R321" s="1352"/>
      <c r="T321" s="3" t="s">
        <v>92</v>
      </c>
      <c r="V321" s="3"/>
      <c r="W321" s="3"/>
      <c r="X321" s="3"/>
      <c r="Y321" s="3"/>
      <c r="AA321" s="1413" t="s">
        <v>2656</v>
      </c>
      <c r="AB321" s="1352"/>
      <c r="AC321" s="1352"/>
      <c r="AD321" s="1352"/>
      <c r="AE321" s="1352"/>
      <c r="AF321" s="1352"/>
      <c r="AG321" s="1352"/>
      <c r="AH321" s="1352"/>
      <c r="AI321" s="1352"/>
      <c r="AJ321" s="1352"/>
      <c r="AK321" s="1352"/>
      <c r="BN321" s="34"/>
    </row>
    <row r="322" spans="2:66" ht="12.75">
      <c r="B322" s="3" t="s">
        <v>93</v>
      </c>
      <c r="C322" s="3"/>
      <c r="D322" s="3"/>
      <c r="E322" s="3"/>
      <c r="F322" s="3"/>
      <c r="G322" s="3"/>
      <c r="H322" s="1658"/>
      <c r="I322" s="1658"/>
      <c r="J322" s="1658"/>
      <c r="K322" s="1658"/>
      <c r="L322" s="1658"/>
      <c r="M322" s="1658"/>
      <c r="N322" s="4" t="s">
        <v>212</v>
      </c>
      <c r="O322" s="4"/>
      <c r="P322" s="1657"/>
      <c r="Q322" s="1657"/>
      <c r="R322" s="1657"/>
      <c r="S322" s="3"/>
      <c r="T322" s="3" t="s">
        <v>93</v>
      </c>
      <c r="V322" s="3"/>
      <c r="W322" s="3"/>
      <c r="X322" s="3"/>
      <c r="Y322" s="3"/>
      <c r="AA322" s="1672" t="s">
        <v>2657</v>
      </c>
      <c r="AB322" s="1672"/>
      <c r="AC322" s="1672"/>
      <c r="AD322" s="1672"/>
      <c r="AE322" s="1672"/>
      <c r="AF322" s="1672"/>
      <c r="AG322" s="4" t="s">
        <v>212</v>
      </c>
      <c r="AH322" s="4"/>
      <c r="AI322" s="1657"/>
      <c r="AJ322" s="1657"/>
      <c r="AK322" s="1657"/>
      <c r="BN322" s="34"/>
    </row>
    <row r="323" spans="2:66" ht="12.75" customHeight="1">
      <c r="B323" s="3" t="s">
        <v>94</v>
      </c>
      <c r="C323" s="3"/>
      <c r="D323" s="3"/>
      <c r="E323" s="3"/>
      <c r="F323" s="3"/>
      <c r="G323" s="3"/>
      <c r="H323" s="1617"/>
      <c r="I323" s="1617"/>
      <c r="J323" s="1617"/>
      <c r="K323" s="1617"/>
      <c r="L323" s="1617"/>
      <c r="M323" s="1617"/>
      <c r="N323" s="4"/>
      <c r="O323" s="4"/>
      <c r="P323" s="35"/>
      <c r="Q323" s="35"/>
      <c r="R323" s="35"/>
      <c r="S323" s="3"/>
      <c r="T323" s="3" t="s">
        <v>94</v>
      </c>
      <c r="V323" s="3"/>
      <c r="W323" s="3"/>
      <c r="X323" s="3"/>
      <c r="Y323" s="3"/>
      <c r="AA323" s="1629" t="s">
        <v>2658</v>
      </c>
      <c r="AB323" s="1629"/>
      <c r="AC323" s="1629"/>
      <c r="AD323" s="1629"/>
      <c r="AE323" s="1629"/>
      <c r="AF323" s="1629"/>
      <c r="AG323" s="4"/>
      <c r="AH323" s="4"/>
      <c r="AI323" s="35"/>
      <c r="AJ323" s="35"/>
      <c r="AK323" s="35"/>
    </row>
    <row r="324" spans="2:66" ht="12.75">
      <c r="B324" s="3" t="s">
        <v>80</v>
      </c>
      <c r="C324" s="3"/>
      <c r="D324" s="3"/>
      <c r="E324" s="3"/>
      <c r="F324" s="3"/>
      <c r="G324" s="3"/>
      <c r="H324" s="1352"/>
      <c r="I324" s="1352"/>
      <c r="J324" s="1352"/>
      <c r="K324" s="1352"/>
      <c r="L324" s="1352"/>
      <c r="M324" s="1352"/>
      <c r="N324" s="1382"/>
      <c r="O324" s="1382"/>
      <c r="P324" s="1382"/>
      <c r="Q324" s="1382"/>
      <c r="R324" s="1382"/>
      <c r="S324" s="3"/>
      <c r="T324" s="3" t="s">
        <v>80</v>
      </c>
      <c r="V324" s="3"/>
      <c r="W324" s="3"/>
      <c r="X324" s="3"/>
      <c r="Y324" s="3"/>
      <c r="AA324" s="1413" t="s">
        <v>2659</v>
      </c>
      <c r="AB324" s="1352"/>
      <c r="AC324" s="1352"/>
      <c r="AD324" s="1352"/>
      <c r="AE324" s="1352"/>
      <c r="AF324" s="1352"/>
      <c r="AG324" s="1382"/>
      <c r="AH324" s="1382"/>
      <c r="AI324" s="1382"/>
      <c r="AJ324" s="1382"/>
      <c r="AK324" s="1382"/>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82"/>
      <c r="I326" s="1382"/>
      <c r="J326" s="1382"/>
      <c r="K326" s="1382"/>
      <c r="L326" s="1382"/>
      <c r="M326" s="1382"/>
      <c r="N326" s="1382"/>
      <c r="O326" s="1382"/>
      <c r="P326" s="1382"/>
      <c r="Q326" s="1382"/>
      <c r="R326" s="1382"/>
      <c r="T326" s="3" t="s">
        <v>375</v>
      </c>
      <c r="V326" s="3"/>
      <c r="W326" s="3"/>
      <c r="X326" s="3"/>
      <c r="Y326" s="3"/>
      <c r="AA326" s="1382"/>
      <c r="AB326" s="1382"/>
      <c r="AC326" s="1382"/>
      <c r="AD326" s="1382"/>
      <c r="AE326" s="1382"/>
      <c r="AF326" s="1382"/>
      <c r="AG326" s="1382"/>
      <c r="AH326" s="1382"/>
      <c r="AI326" s="1382"/>
      <c r="AJ326" s="1382"/>
      <c r="AK326" s="1382"/>
    </row>
    <row r="327" spans="2:66" ht="12.75">
      <c r="B327" s="3" t="s">
        <v>497</v>
      </c>
      <c r="C327" s="3"/>
      <c r="D327" s="3"/>
      <c r="E327" s="3"/>
      <c r="F327" s="3"/>
      <c r="H327" s="1352"/>
      <c r="I327" s="1352"/>
      <c r="J327" s="1352"/>
      <c r="K327" s="1352"/>
      <c r="L327" s="1352"/>
      <c r="M327" s="1352"/>
      <c r="N327" s="1352"/>
      <c r="O327" s="1352"/>
      <c r="P327" s="1352"/>
      <c r="Q327" s="1352"/>
      <c r="R327" s="1352"/>
      <c r="T327" s="3" t="s">
        <v>497</v>
      </c>
      <c r="V327" s="3"/>
      <c r="W327" s="3"/>
      <c r="X327" s="3"/>
      <c r="Y327" s="3"/>
      <c r="AA327" s="1352"/>
      <c r="AB327" s="1352"/>
      <c r="AC327" s="1352"/>
      <c r="AD327" s="1352"/>
      <c r="AE327" s="1352"/>
      <c r="AF327" s="1352"/>
      <c r="AG327" s="1352"/>
      <c r="AH327" s="1352"/>
      <c r="AI327" s="1352"/>
      <c r="AJ327" s="1352"/>
      <c r="AK327" s="1352"/>
    </row>
    <row r="328" spans="2:66" ht="12.75">
      <c r="B328" s="3" t="s">
        <v>498</v>
      </c>
      <c r="C328" s="3"/>
      <c r="D328" s="3"/>
      <c r="E328" s="3"/>
      <c r="F328" s="3"/>
      <c r="H328" s="1352"/>
      <c r="I328" s="1352"/>
      <c r="J328" s="1352"/>
      <c r="K328" s="1352"/>
      <c r="L328" s="1352"/>
      <c r="M328" s="1352"/>
      <c r="N328" s="1352"/>
      <c r="O328" s="1352"/>
      <c r="P328" s="1352"/>
      <c r="Q328" s="1352"/>
      <c r="R328" s="1352"/>
      <c r="T328" s="3" t="s">
        <v>79</v>
      </c>
      <c r="V328" s="3"/>
      <c r="W328" s="3"/>
      <c r="X328" s="3"/>
      <c r="Y328" s="3"/>
      <c r="AA328" s="1352"/>
      <c r="AB328" s="1352"/>
      <c r="AC328" s="1352"/>
      <c r="AD328" s="1352"/>
      <c r="AE328" s="1352"/>
      <c r="AF328" s="1352"/>
      <c r="AG328" s="1352"/>
      <c r="AH328" s="1352"/>
      <c r="AI328" s="1352"/>
      <c r="AJ328" s="1352"/>
      <c r="AK328" s="1352"/>
    </row>
    <row r="329" spans="2:66" ht="12.75">
      <c r="B329" s="3" t="s">
        <v>92</v>
      </c>
      <c r="C329" s="3"/>
      <c r="D329" s="3"/>
      <c r="E329" s="3"/>
      <c r="F329" s="3"/>
      <c r="H329" s="1352"/>
      <c r="I329" s="1352"/>
      <c r="J329" s="1352"/>
      <c r="K329" s="1352"/>
      <c r="L329" s="1352"/>
      <c r="M329" s="1352"/>
      <c r="N329" s="1352"/>
      <c r="O329" s="1352"/>
      <c r="P329" s="1352"/>
      <c r="Q329" s="1352"/>
      <c r="R329" s="1352"/>
      <c r="T329" s="3" t="s">
        <v>92</v>
      </c>
      <c r="V329" s="3"/>
      <c r="W329" s="3"/>
      <c r="X329" s="3"/>
      <c r="Y329" s="3"/>
      <c r="AA329" s="1352"/>
      <c r="AB329" s="1352"/>
      <c r="AC329" s="1352"/>
      <c r="AD329" s="1352"/>
      <c r="AE329" s="1352"/>
      <c r="AF329" s="1352"/>
      <c r="AG329" s="1352"/>
      <c r="AH329" s="1352"/>
      <c r="AI329" s="1352"/>
      <c r="AJ329" s="1352"/>
      <c r="AK329" s="1352"/>
    </row>
    <row r="330" spans="2:66" ht="12.75" customHeight="1">
      <c r="B330" s="3" t="s">
        <v>93</v>
      </c>
      <c r="C330" s="3"/>
      <c r="D330" s="3"/>
      <c r="E330" s="3"/>
      <c r="F330" s="3"/>
      <c r="G330" s="3"/>
      <c r="H330" s="1658"/>
      <c r="I330" s="1658"/>
      <c r="J330" s="1658"/>
      <c r="K330" s="1658"/>
      <c r="L330" s="1658"/>
      <c r="M330" s="1658"/>
      <c r="N330" s="4" t="s">
        <v>212</v>
      </c>
      <c r="O330" s="4"/>
      <c r="P330" s="1657"/>
      <c r="Q330" s="1657"/>
      <c r="R330" s="1657"/>
      <c r="S330" s="3"/>
      <c r="T330" s="3" t="s">
        <v>93</v>
      </c>
      <c r="V330" s="3"/>
      <c r="W330" s="3"/>
      <c r="X330" s="3"/>
      <c r="Y330" s="3"/>
      <c r="AA330" s="1658"/>
      <c r="AB330" s="1658"/>
      <c r="AC330" s="1658"/>
      <c r="AD330" s="1658"/>
      <c r="AE330" s="1658"/>
      <c r="AF330" s="1658"/>
      <c r="AG330" s="4" t="s">
        <v>212</v>
      </c>
      <c r="AH330" s="4"/>
      <c r="AI330" s="1657"/>
      <c r="AJ330" s="1657"/>
      <c r="AK330" s="1657"/>
    </row>
    <row r="331" spans="2:66" ht="12.75">
      <c r="B331" s="3" t="s">
        <v>94</v>
      </c>
      <c r="C331" s="3"/>
      <c r="D331" s="3"/>
      <c r="E331" s="3"/>
      <c r="F331" s="3"/>
      <c r="G331" s="3"/>
      <c r="H331" s="1617"/>
      <c r="I331" s="1617"/>
      <c r="J331" s="1617"/>
      <c r="K331" s="1617"/>
      <c r="L331" s="1617"/>
      <c r="M331" s="1617"/>
      <c r="N331" s="4"/>
      <c r="O331" s="4"/>
      <c r="P331" s="35"/>
      <c r="Q331" s="35"/>
      <c r="R331" s="35"/>
      <c r="S331" s="3"/>
      <c r="T331" s="3" t="s">
        <v>94</v>
      </c>
      <c r="V331" s="3"/>
      <c r="W331" s="3"/>
      <c r="X331" s="3"/>
      <c r="Y331" s="3"/>
      <c r="AA331" s="1617"/>
      <c r="AB331" s="1617"/>
      <c r="AC331" s="1617"/>
      <c r="AD331" s="1617"/>
      <c r="AE331" s="1617"/>
      <c r="AF331" s="1617"/>
      <c r="AG331" s="4"/>
      <c r="AH331" s="4"/>
      <c r="AI331" s="35"/>
      <c r="AJ331" s="35"/>
      <c r="AK331" s="35"/>
    </row>
    <row r="332" spans="2:66" ht="12.75">
      <c r="B332" s="3" t="s">
        <v>80</v>
      </c>
      <c r="C332" s="3"/>
      <c r="D332" s="3"/>
      <c r="E332" s="3"/>
      <c r="F332" s="3"/>
      <c r="G332" s="3"/>
      <c r="H332" s="1352"/>
      <c r="I332" s="1352"/>
      <c r="J332" s="1352"/>
      <c r="K332" s="1352"/>
      <c r="L332" s="1352"/>
      <c r="M332" s="1352"/>
      <c r="N332" s="1382"/>
      <c r="O332" s="1382"/>
      <c r="P332" s="1382"/>
      <c r="Q332" s="1382"/>
      <c r="R332" s="1382"/>
      <c r="S332" s="3"/>
      <c r="T332" s="3" t="s">
        <v>80</v>
      </c>
      <c r="V332" s="3"/>
      <c r="W332" s="3"/>
      <c r="X332" s="3"/>
      <c r="Y332" s="3"/>
      <c r="AA332" s="1352"/>
      <c r="AB332" s="1352"/>
      <c r="AC332" s="1352"/>
      <c r="AD332" s="1352"/>
      <c r="AE332" s="1352"/>
      <c r="AF332" s="1352"/>
      <c r="AG332" s="1382"/>
      <c r="AH332" s="1382"/>
      <c r="AI332" s="1382"/>
      <c r="AJ332" s="1382"/>
      <c r="AK332" s="1382"/>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82" t="s">
        <v>2660</v>
      </c>
      <c r="I334" s="1382"/>
      <c r="J334" s="1382"/>
      <c r="K334" s="1382"/>
      <c r="L334" s="1382"/>
      <c r="M334" s="1382"/>
      <c r="N334" s="1382"/>
      <c r="O334" s="1382"/>
      <c r="P334" s="1382"/>
      <c r="Q334" s="1382"/>
      <c r="R334" s="1382"/>
      <c r="T334" s="219" t="s">
        <v>936</v>
      </c>
      <c r="V334" s="3"/>
      <c r="W334" s="3"/>
      <c r="X334" s="3"/>
      <c r="Y334" s="3"/>
      <c r="AA334" s="1615" t="s">
        <v>2667</v>
      </c>
      <c r="AB334" s="1382"/>
      <c r="AC334" s="1382"/>
      <c r="AD334" s="1382"/>
      <c r="AE334" s="1382"/>
      <c r="AF334" s="1382"/>
      <c r="AG334" s="1382"/>
      <c r="AH334" s="1382"/>
      <c r="AI334" s="1382"/>
      <c r="AJ334" s="1382"/>
      <c r="AK334" s="1382"/>
    </row>
    <row r="335" spans="2:66" ht="12.75" customHeight="1">
      <c r="B335" s="3" t="s">
        <v>497</v>
      </c>
      <c r="C335" s="3"/>
      <c r="D335" s="3"/>
      <c r="E335" s="3"/>
      <c r="F335" s="3"/>
      <c r="H335" s="1352" t="s">
        <v>2661</v>
      </c>
      <c r="I335" s="1352"/>
      <c r="J335" s="1352"/>
      <c r="K335" s="1352"/>
      <c r="L335" s="1352"/>
      <c r="M335" s="1352"/>
      <c r="N335" s="1352"/>
      <c r="O335" s="1352"/>
      <c r="P335" s="1352"/>
      <c r="Q335" s="1352"/>
      <c r="R335" s="1352"/>
      <c r="T335" s="3" t="s">
        <v>497</v>
      </c>
      <c r="V335" s="3"/>
      <c r="W335" s="3"/>
      <c r="X335" s="3"/>
      <c r="Y335" s="3"/>
      <c r="AA335" s="1413" t="s">
        <v>2619</v>
      </c>
      <c r="AB335" s="1352"/>
      <c r="AC335" s="1352"/>
      <c r="AD335" s="1352"/>
      <c r="AE335" s="1352"/>
      <c r="AF335" s="1352"/>
      <c r="AG335" s="1352"/>
      <c r="AH335" s="1352"/>
      <c r="AI335" s="1352"/>
      <c r="AJ335" s="1352"/>
      <c r="AK335" s="1352"/>
    </row>
    <row r="336" spans="2:66" ht="12.75" customHeight="1">
      <c r="B336" s="3" t="s">
        <v>79</v>
      </c>
      <c r="C336" s="3"/>
      <c r="D336" s="3"/>
      <c r="E336" s="3"/>
      <c r="F336" s="3"/>
      <c r="H336" s="1352" t="s">
        <v>2662</v>
      </c>
      <c r="I336" s="1352"/>
      <c r="J336" s="1352"/>
      <c r="K336" s="1352"/>
      <c r="L336" s="1352"/>
      <c r="M336" s="1352"/>
      <c r="N336" s="1352"/>
      <c r="O336" s="1352"/>
      <c r="P336" s="1352"/>
      <c r="Q336" s="1352"/>
      <c r="R336" s="1352"/>
      <c r="T336" s="3" t="s">
        <v>79</v>
      </c>
      <c r="V336" s="3"/>
      <c r="W336" s="3"/>
      <c r="X336" s="3"/>
      <c r="Y336" s="3"/>
      <c r="AA336" s="1413" t="s">
        <v>2627</v>
      </c>
      <c r="AB336" s="1352"/>
      <c r="AC336" s="1352"/>
      <c r="AD336" s="1352"/>
      <c r="AE336" s="1352"/>
      <c r="AF336" s="1352"/>
      <c r="AG336" s="1352"/>
      <c r="AH336" s="1352"/>
      <c r="AI336" s="1352"/>
      <c r="AJ336" s="1352"/>
      <c r="AK336" s="1352"/>
    </row>
    <row r="337" spans="1:66" ht="12.75" customHeight="1">
      <c r="B337" s="3" t="s">
        <v>92</v>
      </c>
      <c r="C337" s="3"/>
      <c r="D337" s="3"/>
      <c r="E337" s="3"/>
      <c r="F337" s="3"/>
      <c r="G337" s="3"/>
      <c r="H337" s="1352" t="s">
        <v>2663</v>
      </c>
      <c r="I337" s="1352"/>
      <c r="J337" s="1352"/>
      <c r="K337" s="1352"/>
      <c r="L337" s="1352"/>
      <c r="M337" s="1352"/>
      <c r="N337" s="1352"/>
      <c r="O337" s="1352"/>
      <c r="P337" s="1352"/>
      <c r="Q337" s="1352"/>
      <c r="R337" s="1352"/>
      <c r="T337" s="3" t="s">
        <v>92</v>
      </c>
      <c r="V337" s="3"/>
      <c r="W337" s="3"/>
      <c r="X337" s="3"/>
      <c r="Y337" s="3"/>
      <c r="AA337" s="1413" t="s">
        <v>2668</v>
      </c>
      <c r="AB337" s="1352"/>
      <c r="AC337" s="1352"/>
      <c r="AD337" s="1352"/>
      <c r="AE337" s="1352"/>
      <c r="AF337" s="1352"/>
      <c r="AG337" s="1352"/>
      <c r="AH337" s="1352"/>
      <c r="AI337" s="1352"/>
      <c r="AJ337" s="1352"/>
      <c r="AK337" s="1352"/>
    </row>
    <row r="338" spans="1:66" ht="12.75" customHeight="1">
      <c r="B338" s="3" t="s">
        <v>93</v>
      </c>
      <c r="C338" s="3"/>
      <c r="D338" s="3"/>
      <c r="E338" s="3"/>
      <c r="F338" s="3"/>
      <c r="G338" s="3"/>
      <c r="H338" s="1752" t="s">
        <v>2664</v>
      </c>
      <c r="I338" s="1672"/>
      <c r="J338" s="1672"/>
      <c r="K338" s="1672"/>
      <c r="L338" s="1672"/>
      <c r="M338" s="1672"/>
      <c r="N338" s="4" t="s">
        <v>212</v>
      </c>
      <c r="O338" s="4"/>
      <c r="P338" s="1657"/>
      <c r="Q338" s="1657"/>
      <c r="R338" s="1657"/>
      <c r="S338" s="3"/>
      <c r="T338" s="3" t="s">
        <v>93</v>
      </c>
      <c r="V338" s="3"/>
      <c r="W338" s="3"/>
      <c r="X338" s="3"/>
      <c r="Y338" s="3"/>
      <c r="AA338" s="1672">
        <v>7078229000</v>
      </c>
      <c r="AB338" s="1672"/>
      <c r="AC338" s="1672"/>
      <c r="AD338" s="1672"/>
      <c r="AE338" s="1672"/>
      <c r="AF338" s="1672"/>
      <c r="AG338" s="4" t="s">
        <v>212</v>
      </c>
      <c r="AH338" s="4"/>
      <c r="AI338" s="1657"/>
      <c r="AJ338" s="1657"/>
      <c r="AK338" s="1657"/>
    </row>
    <row r="339" spans="1:66" ht="12.75">
      <c r="B339" s="3" t="s">
        <v>94</v>
      </c>
      <c r="C339" s="3"/>
      <c r="D339" s="3"/>
      <c r="E339" s="3"/>
      <c r="F339" s="3"/>
      <c r="G339" s="3"/>
      <c r="H339" s="1644" t="s">
        <v>2665</v>
      </c>
      <c r="I339" s="1629"/>
      <c r="J339" s="1629"/>
      <c r="K339" s="1629"/>
      <c r="L339" s="1629"/>
      <c r="M339" s="1629"/>
      <c r="N339" s="4"/>
      <c r="O339" s="4"/>
      <c r="P339" s="35"/>
      <c r="Q339" s="35"/>
      <c r="R339" s="35"/>
      <c r="S339" s="3"/>
      <c r="T339" s="3" t="s">
        <v>94</v>
      </c>
      <c r="V339" s="3"/>
      <c r="W339" s="3"/>
      <c r="X339" s="3"/>
      <c r="Y339" s="3"/>
      <c r="AA339" s="1629">
        <v>7078229596</v>
      </c>
      <c r="AB339" s="1629"/>
      <c r="AC339" s="1629"/>
      <c r="AD339" s="1629"/>
      <c r="AE339" s="1629"/>
      <c r="AF339" s="1629"/>
      <c r="AG339" s="4"/>
      <c r="AH339" s="4"/>
      <c r="AI339" s="35"/>
      <c r="AJ339" s="35"/>
      <c r="AK339" s="35"/>
    </row>
    <row r="340" spans="1:66" ht="12.75">
      <c r="B340" s="3" t="s">
        <v>80</v>
      </c>
      <c r="C340" s="3"/>
      <c r="D340" s="3"/>
      <c r="E340" s="3"/>
      <c r="F340" s="3"/>
      <c r="G340" s="3"/>
      <c r="H340" s="1352" t="s">
        <v>2666</v>
      </c>
      <c r="I340" s="1352"/>
      <c r="J340" s="1352"/>
      <c r="K340" s="1352"/>
      <c r="L340" s="1352"/>
      <c r="M340" s="1352"/>
      <c r="N340" s="1382"/>
      <c r="O340" s="1382"/>
      <c r="P340" s="1382"/>
      <c r="Q340" s="1382"/>
      <c r="R340" s="1382"/>
      <c r="S340" s="3"/>
      <c r="T340" s="3" t="s">
        <v>80</v>
      </c>
      <c r="V340" s="3"/>
      <c r="W340" s="3"/>
      <c r="X340" s="3"/>
      <c r="Y340" s="3"/>
      <c r="AA340" s="1352" t="s">
        <v>2669</v>
      </c>
      <c r="AB340" s="1352"/>
      <c r="AC340" s="1352"/>
      <c r="AD340" s="1352"/>
      <c r="AE340" s="1352"/>
      <c r="AF340" s="1352"/>
      <c r="AG340" s="1382"/>
      <c r="AH340" s="1382"/>
      <c r="AI340" s="1382"/>
      <c r="AJ340" s="1382"/>
      <c r="AK340" s="1382"/>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82"/>
      <c r="Q342" s="1382"/>
      <c r="R342" s="1382"/>
      <c r="S342" s="1382"/>
      <c r="T342" s="1382"/>
      <c r="U342" s="1382"/>
      <c r="V342" s="1382"/>
      <c r="W342" s="1382"/>
      <c r="X342" s="1382"/>
      <c r="Y342" s="1382"/>
      <c r="Z342" s="1382"/>
      <c r="AA342" s="1382"/>
      <c r="AB342" s="1382"/>
      <c r="AC342" s="1382"/>
      <c r="AD342" s="1382"/>
      <c r="AE342" s="1382"/>
      <c r="BN342" t="s">
        <v>618</v>
      </c>
    </row>
    <row r="343" spans="1:66" ht="12.75">
      <c r="B343" s="4"/>
      <c r="C343" s="4"/>
      <c r="D343" s="4"/>
      <c r="E343" s="4"/>
      <c r="F343" s="4"/>
      <c r="I343" s="4" t="s">
        <v>497</v>
      </c>
      <c r="P343" s="1352"/>
      <c r="Q343" s="1352"/>
      <c r="R343" s="1352"/>
      <c r="S343" s="1352"/>
      <c r="T343" s="1352"/>
      <c r="U343" s="1352"/>
      <c r="V343" s="1352"/>
      <c r="W343" s="1352"/>
      <c r="X343" s="1352"/>
      <c r="Y343" s="1352"/>
      <c r="Z343" s="1352"/>
      <c r="AA343" s="1352"/>
      <c r="AB343" s="1352"/>
      <c r="AC343" s="1352"/>
      <c r="AD343" s="1352"/>
      <c r="AE343" s="1352"/>
      <c r="BN343" t="s">
        <v>696</v>
      </c>
    </row>
    <row r="344" spans="1:66" ht="12.75">
      <c r="B344" s="4"/>
      <c r="C344" s="4"/>
      <c r="D344" s="4"/>
      <c r="E344" s="4"/>
      <c r="F344" s="4"/>
      <c r="I344" s="4" t="s">
        <v>79</v>
      </c>
      <c r="P344" s="1352"/>
      <c r="Q344" s="1352"/>
      <c r="R344" s="1352"/>
      <c r="S344" s="1352"/>
      <c r="T344" s="1352"/>
      <c r="U344" s="1352"/>
      <c r="V344" s="1352"/>
      <c r="W344" s="1352"/>
      <c r="X344" s="1352"/>
      <c r="Y344" s="1352"/>
      <c r="Z344" s="1352"/>
      <c r="AA344" s="1352"/>
      <c r="AB344" s="1352"/>
      <c r="AC344" s="1352"/>
      <c r="AD344" s="1352"/>
      <c r="AE344" s="1352"/>
      <c r="BN344" t="s">
        <v>571</v>
      </c>
    </row>
    <row r="345" spans="1:66" ht="12.75">
      <c r="B345" s="4"/>
      <c r="C345" s="4"/>
      <c r="D345" s="4"/>
      <c r="E345" s="4"/>
      <c r="F345" s="4"/>
      <c r="G345" s="4"/>
      <c r="I345" s="4" t="s">
        <v>92</v>
      </c>
      <c r="P345" s="1352"/>
      <c r="Q345" s="1352"/>
      <c r="R345" s="1352"/>
      <c r="S345" s="1352"/>
      <c r="T345" s="1352"/>
      <c r="U345" s="1352"/>
      <c r="V345" s="1352"/>
      <c r="W345" s="1352"/>
      <c r="X345" s="1352"/>
      <c r="Y345" s="1352"/>
      <c r="Z345" s="1352"/>
      <c r="AA345" s="1352"/>
      <c r="AB345" s="1352"/>
      <c r="AC345" s="1352"/>
      <c r="AD345" s="1352"/>
      <c r="AE345" s="1352"/>
    </row>
    <row r="346" spans="1:66" ht="12.75">
      <c r="B346" s="4"/>
      <c r="C346" s="4"/>
      <c r="D346" s="4"/>
      <c r="E346" s="4"/>
      <c r="F346" s="4"/>
      <c r="G346" s="4"/>
      <c r="H346" s="326"/>
      <c r="I346" s="4" t="s">
        <v>93</v>
      </c>
      <c r="P346" s="1617"/>
      <c r="Q346" s="1617"/>
      <c r="R346" s="1617"/>
      <c r="S346" s="1617"/>
      <c r="T346" s="1617"/>
      <c r="U346" s="1617"/>
      <c r="V346" s="1617"/>
      <c r="W346" s="1617"/>
      <c r="X346" s="1617"/>
      <c r="Y346" s="1617"/>
      <c r="Z346" s="1617"/>
      <c r="AA346" s="4" t="s">
        <v>212</v>
      </c>
      <c r="AB346" s="4"/>
      <c r="AC346" s="1351"/>
      <c r="AD346" s="1351"/>
      <c r="AE346" s="1351"/>
      <c r="AF346" s="326"/>
      <c r="AG346" s="4"/>
      <c r="AH346" s="4"/>
      <c r="AI346" s="4"/>
      <c r="AJ346" s="4"/>
      <c r="AK346" s="4"/>
    </row>
    <row r="347" spans="1:66" ht="12.75" customHeight="1">
      <c r="B347" s="4"/>
      <c r="C347" s="4"/>
      <c r="D347" s="4"/>
      <c r="E347" s="4"/>
      <c r="F347" s="4"/>
      <c r="G347" s="4"/>
      <c r="H347" s="326"/>
      <c r="I347" s="4" t="s">
        <v>94</v>
      </c>
      <c r="P347" s="1617"/>
      <c r="Q347" s="1617"/>
      <c r="R347" s="1617"/>
      <c r="S347" s="1617"/>
      <c r="T347" s="1617"/>
      <c r="U347" s="1617"/>
      <c r="V347" s="1617"/>
      <c r="W347" s="1617"/>
      <c r="X347" s="1617"/>
      <c r="Y347" s="1617"/>
      <c r="Z347" s="1617"/>
      <c r="AF347" s="326"/>
      <c r="AG347" s="4"/>
      <c r="AH347" s="4"/>
      <c r="AI347" s="35"/>
      <c r="AJ347" s="35"/>
      <c r="AK347" s="35"/>
    </row>
    <row r="348" spans="1:66" ht="12.75">
      <c r="B348" s="4"/>
      <c r="C348" s="4"/>
      <c r="D348" s="4"/>
      <c r="E348" s="4"/>
      <c r="F348" s="4"/>
      <c r="G348" s="4"/>
      <c r="I348" s="4" t="s">
        <v>80</v>
      </c>
      <c r="P348" s="1382"/>
      <c r="Q348" s="1382"/>
      <c r="R348" s="1382"/>
      <c r="S348" s="1382"/>
      <c r="T348" s="1382"/>
      <c r="U348" s="1382"/>
      <c r="V348" s="1382"/>
      <c r="W348" s="1382"/>
      <c r="X348" s="1382"/>
      <c r="Y348" s="1382"/>
      <c r="Z348" s="1382"/>
      <c r="AA348" s="1382"/>
      <c r="AB348" s="1382"/>
      <c r="AC348" s="1382"/>
      <c r="AD348" s="1382"/>
      <c r="AE348" s="1382"/>
    </row>
    <row r="349" spans="1:66" ht="12.75" customHeight="1">
      <c r="T349" s="8"/>
      <c r="U349" s="8"/>
      <c r="V349" s="8"/>
      <c r="W349" s="8"/>
      <c r="X349" s="8"/>
      <c r="Y349" s="8"/>
      <c r="Z349" s="8"/>
    </row>
    <row r="350" spans="1:66" ht="12.75">
      <c r="A350" s="1606" t="s">
        <v>568</v>
      </c>
      <c r="B350" s="1606"/>
      <c r="C350" s="1606"/>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1606"/>
      <c r="AL350" s="1606"/>
      <c r="AM350" s="95"/>
      <c r="AN350" s="95"/>
      <c r="AO350" s="95"/>
      <c r="AP350" s="95"/>
      <c r="AQ350" s="95"/>
      <c r="AR350" s="95"/>
      <c r="AS350" s="95"/>
      <c r="AT350" s="95"/>
      <c r="AU350" s="95"/>
      <c r="AV350" s="95"/>
      <c r="AW350" s="95"/>
      <c r="AX350" s="95"/>
      <c r="AY350" s="95"/>
    </row>
    <row r="351" spans="1:66" ht="13.5" thickBot="1">
      <c r="A351" s="1607"/>
      <c r="B351" s="1607"/>
      <c r="C351" s="1607"/>
      <c r="D351" s="1607"/>
      <c r="E351" s="1607"/>
      <c r="F351" s="1607"/>
      <c r="G351" s="1607"/>
      <c r="H351" s="1607"/>
      <c r="I351" s="1607"/>
      <c r="J351" s="1607"/>
      <c r="K351" s="1607"/>
      <c r="L351" s="1607"/>
      <c r="M351" s="1607"/>
      <c r="N351" s="1607"/>
      <c r="O351" s="1607"/>
      <c r="P351" s="1607"/>
      <c r="Q351" s="1607"/>
      <c r="R351" s="1607"/>
      <c r="S351" s="1607"/>
      <c r="T351" s="1607"/>
      <c r="U351" s="1607"/>
      <c r="V351" s="1607"/>
      <c r="W351" s="1607"/>
      <c r="X351" s="1607"/>
      <c r="Y351" s="1607"/>
      <c r="Z351" s="1607"/>
      <c r="AA351" s="1607"/>
      <c r="AB351" s="1607"/>
      <c r="AC351" s="1607"/>
      <c r="AD351" s="1607"/>
      <c r="AE351" s="1607"/>
      <c r="AF351" s="1607"/>
      <c r="AG351" s="1607"/>
      <c r="AH351" s="1607"/>
      <c r="AI351" s="1607"/>
      <c r="AJ351" s="1607"/>
      <c r="AK351" s="1607"/>
      <c r="AL351" s="1607"/>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9" t="s">
        <v>571</v>
      </c>
      <c r="N354" s="1359"/>
      <c r="P354" t="s">
        <v>1859</v>
      </c>
      <c r="AJ354" s="1359" t="s">
        <v>696</v>
      </c>
      <c r="AK354" s="1359"/>
    </row>
    <row r="355" spans="1:37" ht="12.75" customHeight="1">
      <c r="D355" s="3" t="s">
        <v>1848</v>
      </c>
      <c r="M355" s="1359" t="s">
        <v>618</v>
      </c>
      <c r="N355" s="1359"/>
      <c r="P355" s="3" t="s">
        <v>2035</v>
      </c>
      <c r="AJ355" s="1393"/>
      <c r="AK355" s="1393"/>
    </row>
    <row r="356" spans="1:37" ht="12.75" customHeight="1">
      <c r="D356" t="s">
        <v>735</v>
      </c>
      <c r="M356" s="1359" t="s">
        <v>618</v>
      </c>
      <c r="N356" s="1359"/>
      <c r="P356" t="s">
        <v>1858</v>
      </c>
      <c r="AJ356" s="1359" t="s">
        <v>696</v>
      </c>
      <c r="AK356" s="1359"/>
    </row>
    <row r="357" spans="1:37" ht="12.75" customHeight="1">
      <c r="D357" t="s">
        <v>736</v>
      </c>
      <c r="M357" s="1359" t="s">
        <v>618</v>
      </c>
      <c r="N357" s="1359"/>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9" t="s">
        <v>618</v>
      </c>
      <c r="O362" s="1359"/>
      <c r="P362" s="40"/>
      <c r="Q362" s="40"/>
      <c r="R362" s="40"/>
      <c r="S362" s="40"/>
      <c r="T362" s="40"/>
      <c r="U362" s="40"/>
      <c r="V362" s="40"/>
      <c r="W362" s="40"/>
      <c r="X362" s="40"/>
      <c r="Y362" s="40"/>
      <c r="Z362" s="40"/>
      <c r="AC362" s="40"/>
      <c r="AD362" s="40"/>
      <c r="AE362" s="40"/>
    </row>
    <row r="363" spans="1:37" ht="12.75" customHeight="1">
      <c r="E363" t="s">
        <v>378</v>
      </c>
      <c r="Y363" s="1359" t="s">
        <v>618</v>
      </c>
      <c r="Z363" s="1359"/>
    </row>
    <row r="364" spans="1:37" ht="12.75" customHeight="1">
      <c r="D364" s="4" t="s">
        <v>1038</v>
      </c>
      <c r="Q364" s="1615" t="s">
        <v>618</v>
      </c>
      <c r="R364" s="1382"/>
      <c r="S364" s="1382"/>
      <c r="T364" s="1382"/>
      <c r="U364" s="1382"/>
      <c r="V364" s="1382"/>
      <c r="W364" s="1382"/>
      <c r="X364" s="1382"/>
      <c r="Y364" s="1382"/>
      <c r="Z364" s="1382"/>
      <c r="AA364" s="1382"/>
      <c r="AB364" s="1382"/>
      <c r="AC364" s="1382"/>
      <c r="AD364" s="1382"/>
      <c r="AE364" s="1382"/>
      <c r="AF364" s="1382"/>
      <c r="AG364" s="1382"/>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9" t="s">
        <v>618</v>
      </c>
      <c r="K366" s="1359"/>
      <c r="L366" s="40"/>
      <c r="M366" s="40"/>
      <c r="N366" s="40"/>
      <c r="O366" s="40"/>
      <c r="P366" s="40"/>
      <c r="Q366" s="40"/>
      <c r="R366" s="40"/>
      <c r="S366" s="40"/>
      <c r="T366" s="40"/>
      <c r="U366" s="40"/>
      <c r="V366" s="40"/>
      <c r="W366" s="40"/>
      <c r="X366" s="40"/>
      <c r="Y366" s="40"/>
      <c r="Z366" s="40"/>
      <c r="AC366" s="40"/>
      <c r="AD366" s="40"/>
      <c r="AE366" s="40"/>
    </row>
    <row r="367" spans="1:37" ht="12.75" customHeight="1">
      <c r="E367" s="1670" t="s">
        <v>737</v>
      </c>
      <c r="F367" s="1670"/>
      <c r="G367" s="1670"/>
      <c r="H367" s="1670"/>
      <c r="I367" s="1670"/>
      <c r="J367" s="1670"/>
      <c r="K367" s="1670"/>
      <c r="L367" s="1670"/>
      <c r="M367" s="1670"/>
      <c r="N367" s="1670"/>
      <c r="O367" s="1670"/>
      <c r="P367" s="1670"/>
      <c r="Q367" s="1670"/>
      <c r="R367" s="1670"/>
      <c r="S367" s="1670"/>
      <c r="T367" s="1670"/>
      <c r="U367" s="1670"/>
      <c r="V367" s="1670"/>
      <c r="W367" s="1670"/>
      <c r="X367" s="1670"/>
      <c r="Y367" s="1670"/>
      <c r="Z367" s="1670"/>
      <c r="AA367" s="1670"/>
      <c r="AB367" s="1670"/>
      <c r="AC367" s="1670"/>
      <c r="AD367" s="1670"/>
      <c r="AE367" s="1670"/>
      <c r="AF367" s="1670"/>
      <c r="AG367" s="1670"/>
      <c r="AH367" s="1670"/>
    </row>
    <row r="368" spans="1:37" ht="12.75" customHeight="1">
      <c r="E368" s="1670"/>
      <c r="F368" s="1670"/>
      <c r="G368" s="1670"/>
      <c r="H368" s="1670"/>
      <c r="I368" s="1670"/>
      <c r="J368" s="1670"/>
      <c r="K368" s="1670"/>
      <c r="L368" s="1670"/>
      <c r="M368" s="1670"/>
      <c r="N368" s="1670"/>
      <c r="O368" s="1670"/>
      <c r="P368" s="1670"/>
      <c r="Q368" s="1670"/>
      <c r="R368" s="1670"/>
      <c r="S368" s="1670"/>
      <c r="T368" s="1670"/>
      <c r="U368" s="1670"/>
      <c r="V368" s="1670"/>
      <c r="W368" s="1670"/>
      <c r="X368" s="1670"/>
      <c r="Y368" s="1670"/>
      <c r="Z368" s="1670"/>
      <c r="AA368" s="1670"/>
      <c r="AB368" s="1670"/>
      <c r="AC368" s="1670"/>
      <c r="AD368" s="1670"/>
      <c r="AE368" s="1670"/>
      <c r="AF368" s="1670"/>
      <c r="AG368" s="1670"/>
      <c r="AH368" s="1670"/>
    </row>
    <row r="369" spans="1:36" ht="12.75" customHeight="1">
      <c r="E369" s="4" t="s">
        <v>473</v>
      </c>
      <c r="F369" s="4"/>
      <c r="G369" s="4"/>
      <c r="H369" s="4"/>
      <c r="I369" s="4"/>
      <c r="J369" s="4"/>
      <c r="K369" s="4"/>
      <c r="L369" s="4"/>
      <c r="N369" s="1669"/>
      <c r="O369" s="1669"/>
      <c r="P369" s="1669"/>
      <c r="Q369" s="1669"/>
      <c r="R369" s="4"/>
      <c r="U369" s="4" t="s">
        <v>474</v>
      </c>
      <c r="V369" s="4"/>
      <c r="W369" s="4"/>
      <c r="X369" s="4"/>
      <c r="Y369" s="4"/>
      <c r="Z369" s="4"/>
      <c r="AA369" s="4"/>
      <c r="AB369" s="4"/>
      <c r="AC369" s="1669"/>
      <c r="AD369" s="1669"/>
      <c r="AE369" s="1669"/>
      <c r="AF369" s="1669"/>
    </row>
    <row r="370" spans="1:36" ht="12.75" customHeight="1">
      <c r="E370" s="4" t="s">
        <v>475</v>
      </c>
      <c r="F370" s="4"/>
      <c r="G370" s="4"/>
      <c r="H370" s="4"/>
      <c r="I370" s="4"/>
      <c r="J370" s="4"/>
      <c r="K370" s="4"/>
      <c r="L370" s="4"/>
      <c r="N370" s="1669"/>
      <c r="O370" s="1669"/>
      <c r="P370" s="1669"/>
      <c r="Q370" s="1669"/>
      <c r="R370" s="4"/>
      <c r="U370" s="4" t="s">
        <v>0</v>
      </c>
      <c r="V370" s="4"/>
      <c r="W370" s="4"/>
      <c r="X370" s="4"/>
      <c r="Y370" s="4"/>
      <c r="Z370" s="4"/>
      <c r="AA370" s="4"/>
      <c r="AB370" s="4"/>
      <c r="AC370" s="1669"/>
      <c r="AD370" s="1669"/>
      <c r="AE370" s="1669"/>
      <c r="AF370" s="1669"/>
    </row>
    <row r="371" spans="1:36" ht="12.75" customHeight="1">
      <c r="E371" s="4" t="s">
        <v>1</v>
      </c>
      <c r="F371" s="4"/>
      <c r="G371" s="4"/>
      <c r="H371" s="4"/>
      <c r="I371" s="4"/>
      <c r="J371" s="4"/>
      <c r="K371" s="4"/>
      <c r="L371" s="4"/>
      <c r="N371" s="1669"/>
      <c r="O371" s="1669"/>
      <c r="P371" s="1669"/>
      <c r="Q371" s="1669"/>
      <c r="R371" s="4"/>
      <c r="V371" s="4"/>
      <c r="W371" s="4"/>
      <c r="X371" s="4"/>
      <c r="Y371" s="4"/>
      <c r="Z371" s="4"/>
      <c r="AA371" s="4"/>
      <c r="AB371" s="4"/>
    </row>
    <row r="372" spans="1:36" ht="12.75" customHeight="1">
      <c r="E372" s="4" t="s">
        <v>2</v>
      </c>
      <c r="F372" s="4"/>
      <c r="G372" s="4"/>
      <c r="H372" s="4"/>
      <c r="I372" s="4"/>
      <c r="J372" s="4"/>
      <c r="K372" s="4"/>
      <c r="L372" s="4"/>
      <c r="N372" s="1847"/>
      <c r="O372" s="1847"/>
      <c r="P372" s="1847"/>
      <c r="Q372" s="1847"/>
      <c r="R372" s="1847"/>
      <c r="S372" s="1847"/>
      <c r="T372" s="1847"/>
      <c r="U372" s="1847"/>
      <c r="V372" s="1847"/>
      <c r="W372" s="1847"/>
      <c r="X372" s="1847"/>
      <c r="Y372" s="1847"/>
      <c r="Z372" s="1847"/>
      <c r="AA372" s="1847"/>
      <c r="AB372" s="1847"/>
      <c r="AC372" s="1847"/>
      <c r="AD372" s="1847"/>
      <c r="AE372" s="1847"/>
      <c r="AF372" s="1847"/>
    </row>
    <row r="373" spans="1:36" ht="12.75" customHeight="1">
      <c r="E373" s="4"/>
      <c r="F373" s="4"/>
      <c r="G373" s="4"/>
      <c r="H373" s="4"/>
      <c r="I373" s="4"/>
      <c r="J373" s="4"/>
      <c r="K373" s="4"/>
      <c r="L373" s="4"/>
      <c r="N373" s="1848"/>
      <c r="O373" s="1848"/>
      <c r="P373" s="1848"/>
      <c r="Q373" s="1848"/>
      <c r="R373" s="1848"/>
      <c r="S373" s="1848"/>
      <c r="T373" s="1848"/>
      <c r="U373" s="1848"/>
      <c r="V373" s="1848"/>
      <c r="W373" s="1848"/>
      <c r="X373" s="1848"/>
      <c r="Y373" s="1848"/>
      <c r="Z373" s="1848"/>
      <c r="AA373" s="1848"/>
      <c r="AB373" s="1848"/>
      <c r="AC373" s="1848"/>
      <c r="AD373" s="1848"/>
      <c r="AE373" s="1848"/>
      <c r="AF373" s="1848"/>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2583</v>
      </c>
      <c r="F376" s="4"/>
      <c r="G376" s="4"/>
      <c r="H376" s="4"/>
      <c r="I376" s="4"/>
      <c r="J376" s="4"/>
      <c r="K376" s="4"/>
      <c r="L376" s="4"/>
      <c r="N376" t="s">
        <v>2577</v>
      </c>
      <c r="Q376" t="s">
        <v>311</v>
      </c>
      <c r="S376" s="1667"/>
      <c r="T376" s="1667"/>
      <c r="U376" s="1" t="s">
        <v>312</v>
      </c>
      <c r="V376" s="1667"/>
      <c r="W376" s="1667"/>
      <c r="Y376" t="s">
        <v>2577</v>
      </c>
      <c r="AB376" t="s">
        <v>311</v>
      </c>
      <c r="AD376" s="1667"/>
      <c r="AE376" s="1667"/>
      <c r="AF376" s="1" t="s">
        <v>312</v>
      </c>
      <c r="AG376" s="1667"/>
      <c r="AH376" s="1667"/>
    </row>
    <row r="377" spans="1:36" ht="12.75" customHeight="1">
      <c r="E377" s="4" t="s">
        <v>1064</v>
      </c>
      <c r="F377" s="4"/>
      <c r="G377" s="4"/>
      <c r="H377" s="4"/>
      <c r="I377" s="4"/>
      <c r="J377" s="4"/>
      <c r="K377" s="4"/>
      <c r="L377" s="4"/>
      <c r="N377" s="1667"/>
      <c r="O377" s="1667"/>
      <c r="P377" s="1667"/>
    </row>
    <row r="378" spans="1:36" ht="12.75" customHeight="1">
      <c r="E378" s="219" t="s">
        <v>2584</v>
      </c>
      <c r="F378" s="4"/>
      <c r="G378" s="4"/>
      <c r="H378" s="4"/>
      <c r="I378" s="4"/>
      <c r="J378" s="4"/>
      <c r="K378" s="4"/>
      <c r="L378" s="4"/>
      <c r="AG378" s="1662" t="s">
        <v>618</v>
      </c>
      <c r="AH378" s="1662"/>
    </row>
    <row r="379" spans="1:36" ht="12.75" customHeight="1">
      <c r="E379" s="4"/>
      <c r="F379" s="4"/>
      <c r="G379" s="4" t="s">
        <v>2585</v>
      </c>
      <c r="H379" s="4"/>
      <c r="I379" s="4"/>
      <c r="J379" s="4"/>
      <c r="K379" s="4"/>
      <c r="L379" s="4"/>
      <c r="AG379" s="1662" t="s">
        <v>618</v>
      </c>
      <c r="AH379" s="1662"/>
    </row>
    <row r="380" spans="1:36" ht="12.75" customHeight="1">
      <c r="E380" s="4"/>
      <c r="F380" s="4"/>
      <c r="G380" s="351" t="s">
        <v>1065</v>
      </c>
      <c r="H380" s="4"/>
      <c r="I380" s="4"/>
      <c r="J380" s="4"/>
      <c r="K380" s="4"/>
      <c r="L380" s="4"/>
      <c r="V380" s="1359" t="s">
        <v>618</v>
      </c>
      <c r="W380" s="1359"/>
      <c r="Y380" s="22" t="s">
        <v>1040</v>
      </c>
    </row>
    <row r="381" spans="1:36" ht="12.75" customHeight="1">
      <c r="E381" s="4" t="s">
        <v>1041</v>
      </c>
      <c r="F381" s="4"/>
      <c r="G381" s="4"/>
      <c r="H381" s="4"/>
      <c r="I381" s="4"/>
      <c r="J381" s="4"/>
      <c r="K381" s="4"/>
      <c r="L381" s="4"/>
      <c r="V381" s="1359" t="s">
        <v>618</v>
      </c>
      <c r="W381" s="1359"/>
      <c r="Y381" s="4" t="s">
        <v>1042</v>
      </c>
    </row>
    <row r="382" spans="1:36" ht="12.75" customHeight="1"/>
    <row r="383" spans="1:36" ht="12.75" customHeight="1">
      <c r="A383" s="2" t="s">
        <v>82</v>
      </c>
      <c r="B383" s="2"/>
    </row>
    <row r="384" spans="1:36" ht="12.75" customHeight="1">
      <c r="D384" t="s">
        <v>445</v>
      </c>
      <c r="J384" s="1382" t="s">
        <v>2670</v>
      </c>
      <c r="K384" s="1382"/>
      <c r="L384" s="1382"/>
      <c r="M384" s="1382"/>
      <c r="N384" s="1382"/>
      <c r="O384" s="1382"/>
      <c r="P384" s="1382"/>
      <c r="Q384" s="1382"/>
      <c r="R384" s="1382"/>
      <c r="S384" s="1382"/>
      <c r="T384" s="1382"/>
      <c r="U384" s="1382"/>
      <c r="V384" s="8" t="s">
        <v>88</v>
      </c>
      <c r="W384" s="8"/>
      <c r="X384" s="8"/>
      <c r="Y384" s="8"/>
      <c r="Z384" s="8"/>
      <c r="AA384" s="8"/>
      <c r="AB384" s="8"/>
      <c r="AC384" s="1382" t="s">
        <v>2671</v>
      </c>
      <c r="AD384" s="1382"/>
      <c r="AE384" s="1382"/>
      <c r="AF384" s="1382"/>
      <c r="AG384" s="1382"/>
      <c r="AH384" s="1382"/>
      <c r="AI384" s="1382"/>
      <c r="AJ384" s="1382"/>
    </row>
    <row r="385" spans="4:36" ht="12.75" customHeight="1">
      <c r="D385" s="3" t="s">
        <v>1347</v>
      </c>
      <c r="J385" s="1352" t="s">
        <v>2671</v>
      </c>
      <c r="K385" s="1352"/>
      <c r="L385" s="1352"/>
      <c r="M385" s="1352"/>
      <c r="N385" s="1352"/>
      <c r="O385" s="1352"/>
      <c r="P385" s="1352"/>
      <c r="Q385" s="1352"/>
      <c r="R385" s="1352"/>
      <c r="S385" s="1352"/>
      <c r="T385" s="1352"/>
      <c r="U385" s="1352"/>
      <c r="V385" s="3" t="s">
        <v>1347</v>
      </c>
      <c r="W385" s="8"/>
      <c r="X385" s="8"/>
      <c r="Y385" s="8"/>
      <c r="Z385" s="8"/>
      <c r="AA385" s="8"/>
      <c r="AB385" s="8"/>
      <c r="AC385" s="1382" t="s">
        <v>2671</v>
      </c>
      <c r="AD385" s="1382"/>
      <c r="AE385" s="1382"/>
      <c r="AF385" s="1382"/>
      <c r="AG385" s="1382"/>
      <c r="AH385" s="1382"/>
      <c r="AI385" s="1382"/>
      <c r="AJ385" s="1382"/>
    </row>
    <row r="386" spans="4:36" ht="12.75" customHeight="1">
      <c r="D386" s="3" t="s">
        <v>460</v>
      </c>
      <c r="J386" s="1352" t="s">
        <v>2672</v>
      </c>
      <c r="K386" s="1352"/>
      <c r="L386" s="1352"/>
      <c r="M386" s="1352"/>
      <c r="N386" s="1352"/>
      <c r="O386" s="1352"/>
      <c r="P386" s="1352"/>
      <c r="Q386" s="1352"/>
      <c r="R386" s="1352"/>
      <c r="S386" s="1352"/>
      <c r="T386" s="1352"/>
      <c r="U386" s="1352"/>
      <c r="V386" s="3" t="s">
        <v>460</v>
      </c>
      <c r="W386" s="8"/>
      <c r="X386" s="8"/>
      <c r="Y386" s="8"/>
      <c r="Z386" s="8"/>
      <c r="AA386" s="8"/>
      <c r="AB386" s="8"/>
      <c r="AC386" s="1382" t="s">
        <v>2672</v>
      </c>
      <c r="AD386" s="1382"/>
      <c r="AE386" s="1382"/>
      <c r="AF386" s="1382"/>
      <c r="AG386" s="1382"/>
      <c r="AH386" s="1382"/>
      <c r="AI386" s="1382"/>
      <c r="AJ386" s="1382"/>
    </row>
    <row r="387" spans="4:36" ht="12.75" customHeight="1">
      <c r="D387" t="s">
        <v>1343</v>
      </c>
      <c r="J387" s="1520" t="s">
        <v>2673</v>
      </c>
      <c r="K387" s="1520"/>
      <c r="L387" s="1520"/>
      <c r="M387" s="1520"/>
      <c r="N387" s="1520"/>
      <c r="O387" s="1520"/>
      <c r="P387" s="1520"/>
      <c r="Q387" s="1520"/>
      <c r="R387" s="1520"/>
      <c r="S387" s="1520"/>
      <c r="T387" s="1520"/>
      <c r="U387" s="1520"/>
      <c r="V387" s="1382"/>
      <c r="W387" s="1382"/>
      <c r="X387" s="1382"/>
      <c r="Y387" s="1382"/>
      <c r="Z387" s="1382"/>
      <c r="AA387" s="1382"/>
      <c r="AB387" s="1382"/>
      <c r="AC387" s="1382"/>
      <c r="AD387" s="1382"/>
      <c r="AE387" s="1382"/>
      <c r="AF387" s="1382"/>
      <c r="AG387" s="1382"/>
      <c r="AH387" s="1382"/>
      <c r="AI387" s="1382"/>
      <c r="AJ387" s="1382"/>
    </row>
    <row r="388" spans="4:36" ht="12.75" customHeight="1">
      <c r="D388" t="s">
        <v>4</v>
      </c>
      <c r="Q388" s="1664">
        <v>44474</v>
      </c>
      <c r="R388" s="1664"/>
      <c r="S388" s="1664"/>
      <c r="T388" s="1664"/>
      <c r="U388" s="1664"/>
      <c r="V388" t="s">
        <v>315</v>
      </c>
      <c r="AI388" s="1359" t="s">
        <v>696</v>
      </c>
      <c r="AJ388" s="1359"/>
    </row>
    <row r="389" spans="4:36" ht="12.75" customHeight="1">
      <c r="D389" t="s">
        <v>5</v>
      </c>
      <c r="Q389" s="1541"/>
      <c r="R389" s="1411"/>
      <c r="S389" s="1411"/>
      <c r="T389" s="1411"/>
      <c r="U389" s="1411"/>
      <c r="W389" s="21" t="s">
        <v>78</v>
      </c>
      <c r="AG389" s="1665"/>
      <c r="AH389" s="1665"/>
      <c r="AI389" s="1665"/>
      <c r="AJ389" s="1665"/>
    </row>
    <row r="390" spans="4:36" ht="12.75" customHeight="1">
      <c r="D390" t="s">
        <v>444</v>
      </c>
      <c r="Q390" s="1666">
        <v>2700000</v>
      </c>
      <c r="R390" s="1666"/>
      <c r="S390" s="1666"/>
      <c r="T390" s="1666"/>
      <c r="U390" s="1666"/>
      <c r="V390" s="3" t="s">
        <v>1346</v>
      </c>
      <c r="AG390" s="1846">
        <v>44927</v>
      </c>
      <c r="AH390" s="1846"/>
      <c r="AI390" s="1846"/>
      <c r="AJ390" s="1846"/>
    </row>
    <row r="391" spans="4:36" ht="12.75" customHeight="1">
      <c r="D391" t="s">
        <v>93</v>
      </c>
      <c r="I391" s="1658">
        <v>5306247326</v>
      </c>
      <c r="J391" s="1658"/>
      <c r="K391" s="1658"/>
      <c r="L391" s="1658"/>
      <c r="M391" s="1658"/>
      <c r="N391" s="1658"/>
      <c r="Q391" s="4" t="s">
        <v>212</v>
      </c>
      <c r="S391" s="1738"/>
      <c r="T391" s="1738"/>
      <c r="U391" s="1738"/>
      <c r="V391" t="s">
        <v>77</v>
      </c>
      <c r="AI391" s="1359" t="s">
        <v>696</v>
      </c>
      <c r="AJ391" s="1359"/>
    </row>
    <row r="392" spans="4:36" ht="12.75" customHeight="1">
      <c r="D392" t="s">
        <v>316</v>
      </c>
      <c r="Q392" s="1526"/>
      <c r="R392" s="1526"/>
      <c r="S392" s="1526"/>
      <c r="T392" s="1526"/>
      <c r="U392" s="1526"/>
      <c r="V392" t="s">
        <v>317</v>
      </c>
      <c r="AG392" s="1665"/>
      <c r="AH392" s="1665"/>
      <c r="AI392" s="1665"/>
      <c r="AJ392" s="1665"/>
    </row>
    <row r="393" spans="4:36" ht="12.75" customHeight="1">
      <c r="D393" t="s">
        <v>318</v>
      </c>
      <c r="Q393" s="1801"/>
      <c r="R393" s="1801"/>
      <c r="S393" s="1801"/>
      <c r="T393" s="1801"/>
      <c r="U393" s="1801"/>
      <c r="V393" t="s">
        <v>1327</v>
      </c>
      <c r="AG393" s="1665"/>
      <c r="AH393" s="1665"/>
      <c r="AI393" s="1665"/>
      <c r="AJ393" s="1665"/>
    </row>
    <row r="394" spans="4:36" ht="12.75">
      <c r="D394" t="s">
        <v>1326</v>
      </c>
      <c r="AG394" s="1665"/>
      <c r="AH394" s="1665"/>
      <c r="AI394" s="1665"/>
      <c r="AJ394" s="1665"/>
    </row>
    <row r="395" spans="4:36" ht="12.75">
      <c r="AG395" s="494"/>
      <c r="AH395" s="494"/>
      <c r="AI395" s="494"/>
      <c r="AJ395" s="494"/>
    </row>
    <row r="396" spans="4:36" ht="12.75">
      <c r="D396" s="3" t="s">
        <v>1876</v>
      </c>
      <c r="AG396" s="494"/>
      <c r="AH396" s="494"/>
      <c r="AI396" s="1359" t="s">
        <v>696</v>
      </c>
      <c r="AJ396" s="1359"/>
    </row>
    <row r="397" spans="4:36" ht="12.75">
      <c r="D397" s="3" t="s">
        <v>1878</v>
      </c>
      <c r="T397" s="1836" t="s">
        <v>618</v>
      </c>
      <c r="U397" s="1807"/>
      <c r="V397" s="1807"/>
      <c r="W397" s="1807"/>
      <c r="X397" s="1807"/>
      <c r="Y397" s="1807"/>
      <c r="Z397" s="1807"/>
      <c r="AA397" s="1807"/>
      <c r="AB397" s="1807"/>
      <c r="AC397" s="1807"/>
      <c r="AD397" s="1807"/>
      <c r="AE397" s="1807"/>
      <c r="AF397" s="1807"/>
      <c r="AG397" s="1807"/>
      <c r="AH397" s="1807"/>
      <c r="AI397" s="1807"/>
      <c r="AJ397" s="1807"/>
    </row>
    <row r="398" spans="4:36" ht="12.75">
      <c r="D398" s="3" t="s">
        <v>1877</v>
      </c>
      <c r="T398" s="1836" t="s">
        <v>618</v>
      </c>
      <c r="U398" s="1807"/>
      <c r="V398" s="1807"/>
      <c r="W398" s="1807"/>
      <c r="X398" s="1807"/>
      <c r="Y398" s="1807"/>
      <c r="Z398" s="1807"/>
      <c r="AA398" s="1807"/>
      <c r="AB398" s="1807"/>
      <c r="AC398" s="1807"/>
      <c r="AD398" s="1807"/>
      <c r="AE398" s="1807"/>
      <c r="AF398" s="1807"/>
      <c r="AG398" s="1807"/>
      <c r="AH398" s="1807"/>
      <c r="AI398" s="1807"/>
      <c r="AJ398" s="1807"/>
    </row>
    <row r="399" spans="4:36" ht="12.75">
      <c r="AG399" s="494"/>
      <c r="AH399" s="494"/>
      <c r="AI399" s="494"/>
      <c r="AJ399" s="494"/>
    </row>
    <row r="400" spans="4:36" ht="12.75">
      <c r="D400" s="3" t="s">
        <v>1870</v>
      </c>
      <c r="S400" s="1807" t="s">
        <v>696</v>
      </c>
      <c r="T400" s="1807"/>
      <c r="U400" s="1807"/>
      <c r="V400" t="s">
        <v>1871</v>
      </c>
      <c r="AG400" s="1778"/>
      <c r="AH400" s="1778"/>
      <c r="AI400" s="1778"/>
      <c r="AJ400" s="1778"/>
    </row>
    <row r="401" spans="1:36" ht="12.75">
      <c r="D401" s="3" t="s">
        <v>1868</v>
      </c>
      <c r="S401" s="1807" t="s">
        <v>618</v>
      </c>
      <c r="T401" s="1807"/>
      <c r="U401" s="1807"/>
      <c r="V401" t="s">
        <v>1873</v>
      </c>
      <c r="AE401" s="1779"/>
      <c r="AF401" s="1779"/>
      <c r="AG401" s="1779"/>
      <c r="AH401" s="1779"/>
      <c r="AI401" s="1779"/>
      <c r="AJ401" s="1779"/>
    </row>
    <row r="402" spans="1:36" ht="12.75">
      <c r="D402" s="3" t="s">
        <v>1869</v>
      </c>
      <c r="K402" s="1780"/>
      <c r="L402" s="1780"/>
      <c r="M402" s="1780"/>
      <c r="N402" s="1780"/>
      <c r="O402" s="1780"/>
      <c r="P402" s="1780"/>
      <c r="Q402" s="1780"/>
      <c r="R402" s="1780"/>
      <c r="S402" s="1780"/>
      <c r="T402" s="1780"/>
      <c r="U402" s="1780"/>
      <c r="V402" s="1780"/>
      <c r="W402" s="1780"/>
      <c r="X402" s="1780"/>
      <c r="Y402" s="1780"/>
      <c r="Z402" s="1780"/>
      <c r="AA402" s="1780"/>
      <c r="AB402" s="1780"/>
      <c r="AC402" s="1780"/>
      <c r="AD402" s="1780"/>
      <c r="AE402" s="1780"/>
      <c r="AF402" s="1780"/>
      <c r="AG402" s="1780"/>
      <c r="AH402" s="1780"/>
      <c r="AI402" s="1780"/>
      <c r="AJ402" s="1780"/>
    </row>
    <row r="403" spans="1:36" ht="12.75">
      <c r="D403" s="3" t="s">
        <v>1872</v>
      </c>
      <c r="K403" s="1780"/>
      <c r="L403" s="1780"/>
      <c r="M403" s="1780"/>
      <c r="N403" s="1780"/>
      <c r="O403" s="1780"/>
      <c r="P403" s="1780"/>
      <c r="Q403" s="1780"/>
      <c r="R403" s="1780"/>
      <c r="S403" s="1780"/>
      <c r="T403" s="1780"/>
      <c r="U403" s="1780"/>
      <c r="V403" s="1780"/>
      <c r="W403" s="1780"/>
      <c r="X403" s="1780"/>
      <c r="Y403" s="1780"/>
      <c r="Z403" s="1780"/>
      <c r="AA403" s="1780"/>
      <c r="AB403" s="1780"/>
      <c r="AC403" s="1780"/>
      <c r="AD403" s="1780"/>
      <c r="AE403" s="1780"/>
      <c r="AF403" s="1780"/>
      <c r="AG403" s="1780"/>
      <c r="AH403" s="1780"/>
      <c r="AI403" s="1780"/>
      <c r="AJ403" s="1780"/>
    </row>
    <row r="404" spans="1:36" ht="12.75" customHeight="1">
      <c r="D404" s="3" t="s">
        <v>1875</v>
      </c>
      <c r="E404" s="515"/>
      <c r="F404" s="515"/>
      <c r="G404" s="515"/>
      <c r="H404" s="515"/>
      <c r="I404" s="515"/>
      <c r="J404" s="515"/>
      <c r="K404" s="515"/>
      <c r="L404" s="515"/>
      <c r="M404" s="515"/>
      <c r="N404" s="515"/>
      <c r="O404" s="515"/>
      <c r="P404" s="515"/>
      <c r="Q404" s="515"/>
      <c r="R404" s="515"/>
      <c r="S404" s="1838" t="s">
        <v>1349</v>
      </c>
      <c r="T404" s="1838"/>
      <c r="U404" s="1838"/>
      <c r="V404" s="1838"/>
      <c r="W404" s="1838"/>
      <c r="X404" s="1838"/>
      <c r="Y404" s="1838"/>
      <c r="Z404" s="1838"/>
      <c r="AA404" s="1838"/>
      <c r="AB404" s="1838"/>
      <c r="AC404" s="1838"/>
      <c r="AD404" s="1838"/>
      <c r="AE404" s="1838"/>
      <c r="AF404" s="1838"/>
      <c r="AG404" s="1838"/>
      <c r="AH404" s="1838"/>
      <c r="AI404" s="1838"/>
      <c r="AJ404" s="1838"/>
    </row>
    <row r="405" spans="1:36" ht="12.75">
      <c r="D405" s="1250" t="s">
        <v>1874</v>
      </c>
      <c r="E405" s="1250"/>
      <c r="F405" s="1250"/>
      <c r="G405" s="1250"/>
      <c r="H405" s="1250"/>
      <c r="I405" s="1250"/>
      <c r="J405" s="1250"/>
      <c r="K405" s="1250"/>
      <c r="L405" s="1250"/>
      <c r="M405" s="1250"/>
      <c r="N405" s="1250"/>
      <c r="O405" s="1250"/>
      <c r="P405" s="1250"/>
      <c r="Q405" s="1250"/>
      <c r="R405" s="1250"/>
      <c r="S405" s="1250"/>
      <c r="T405" s="1250"/>
      <c r="U405" s="1250"/>
      <c r="V405" s="1250"/>
      <c r="W405" s="1250"/>
      <c r="X405" s="1250"/>
      <c r="Y405" s="1250"/>
      <c r="Z405" s="1250"/>
      <c r="AA405" s="1250"/>
      <c r="AB405" s="1250"/>
      <c r="AC405" s="1250"/>
      <c r="AD405" s="1250"/>
      <c r="AE405" s="1250"/>
      <c r="AF405" s="1250"/>
      <c r="AG405" s="1250"/>
      <c r="AH405" s="1250"/>
      <c r="AI405" s="1250"/>
      <c r="AJ405" s="1250"/>
    </row>
    <row r="406" spans="1:36" ht="12.75">
      <c r="D406" s="1250"/>
      <c r="E406" s="1250"/>
      <c r="F406" s="1250"/>
      <c r="G406" s="1250"/>
      <c r="H406" s="1250"/>
      <c r="I406" s="1250"/>
      <c r="J406" s="1250"/>
      <c r="K406" s="1250"/>
      <c r="L406" s="1250"/>
      <c r="M406" s="1250"/>
      <c r="N406" s="1250"/>
      <c r="O406" s="1250"/>
      <c r="P406" s="1250"/>
      <c r="Q406" s="1250"/>
      <c r="R406" s="1250"/>
      <c r="S406" s="1250"/>
      <c r="T406" s="1250"/>
      <c r="U406" s="1250"/>
      <c r="V406" s="1250"/>
      <c r="W406" s="1250"/>
      <c r="X406" s="1250"/>
      <c r="Y406" s="1250"/>
      <c r="Z406" s="1250"/>
      <c r="AA406" s="1250"/>
      <c r="AB406" s="1250"/>
      <c r="AC406" s="1250"/>
      <c r="AD406" s="1250"/>
      <c r="AE406" s="1250"/>
      <c r="AF406" s="1250"/>
      <c r="AG406" s="1250"/>
      <c r="AH406" s="1250"/>
      <c r="AI406" s="1250"/>
      <c r="AJ406" s="1250"/>
    </row>
    <row r="407" spans="1:36" ht="12.75">
      <c r="AG407" s="494"/>
      <c r="AH407" s="494"/>
      <c r="AI407" s="494"/>
      <c r="AJ407" s="494"/>
    </row>
    <row r="408" spans="1:36" ht="12.75">
      <c r="A408" s="2" t="s">
        <v>616</v>
      </c>
      <c r="B408" s="2"/>
      <c r="C408" s="2" t="s">
        <v>116</v>
      </c>
    </row>
    <row r="409" spans="1:36" ht="12.75" customHeight="1">
      <c r="B409" s="2"/>
      <c r="C409" s="2"/>
      <c r="D409" s="2" t="s">
        <v>1369</v>
      </c>
      <c r="I409" s="1615" t="s">
        <v>2674</v>
      </c>
      <c r="J409" s="1615"/>
      <c r="K409" s="1615"/>
      <c r="L409" s="1615"/>
      <c r="M409" s="1615"/>
      <c r="N409" s="1615"/>
      <c r="O409" s="1615"/>
      <c r="P409" s="1615"/>
      <c r="Q409" s="1615"/>
      <c r="R409" s="1615"/>
      <c r="S409" s="1615"/>
      <c r="T409" s="1615"/>
      <c r="U409" s="1615"/>
      <c r="V409" s="1615"/>
      <c r="W409" s="1615"/>
      <c r="X409" s="1615"/>
      <c r="Y409" s="1615"/>
      <c r="Z409" s="1615"/>
      <c r="AA409" s="1615"/>
      <c r="AB409" s="1615"/>
      <c r="AC409" s="1615"/>
      <c r="AD409" s="1615"/>
      <c r="AE409" s="1615"/>
    </row>
    <row r="410" spans="1:36" ht="12.75" customHeight="1">
      <c r="E410" t="s">
        <v>111</v>
      </c>
      <c r="R410" s="1359" t="s">
        <v>618</v>
      </c>
      <c r="S410" s="1359"/>
      <c r="T410" t="s">
        <v>596</v>
      </c>
      <c r="AD410" s="1669">
        <v>0</v>
      </c>
      <c r="AE410" s="1669"/>
    </row>
    <row r="411" spans="1:36" ht="12.75">
      <c r="E411" t="s">
        <v>112</v>
      </c>
      <c r="R411" s="1359" t="s">
        <v>571</v>
      </c>
      <c r="S411" s="1359"/>
      <c r="T411" t="s">
        <v>596</v>
      </c>
      <c r="AD411" s="1669">
        <v>3</v>
      </c>
      <c r="AE411" s="1669"/>
    </row>
    <row r="412" spans="1:36" ht="12.75" customHeight="1">
      <c r="E412" t="s">
        <v>113</v>
      </c>
      <c r="S412" s="1359" t="s">
        <v>618</v>
      </c>
      <c r="T412" s="1359"/>
    </row>
    <row r="413" spans="1:36" ht="12.75" customHeight="1">
      <c r="E413" t="s">
        <v>175</v>
      </c>
      <c r="H413" s="1799" t="s">
        <v>340</v>
      </c>
      <c r="I413" s="1799"/>
      <c r="J413" s="1799"/>
      <c r="K413" s="1799"/>
      <c r="L413" s="1799"/>
      <c r="M413" s="1799"/>
      <c r="N413" s="1799"/>
      <c r="O413" s="1799"/>
      <c r="P413" s="1799"/>
      <c r="Q413" s="1799"/>
      <c r="R413" s="1799"/>
      <c r="S413" s="1799"/>
      <c r="T413" s="1799"/>
      <c r="U413" s="1799"/>
      <c r="V413" s="1799"/>
      <c r="W413" s="1799"/>
      <c r="X413" s="1799"/>
      <c r="Y413" s="1799"/>
      <c r="Z413" s="1799"/>
      <c r="AA413" s="1799"/>
      <c r="AB413" s="1799"/>
      <c r="AC413" s="1799"/>
      <c r="AD413" s="1799"/>
      <c r="AE413" s="1799"/>
    </row>
    <row r="414" spans="1:36" ht="12.75" customHeight="1">
      <c r="H414" s="1800"/>
      <c r="I414" s="1800"/>
      <c r="J414" s="1800"/>
      <c r="K414" s="1800"/>
      <c r="L414" s="1800"/>
      <c r="M414" s="1800"/>
      <c r="N414" s="1800"/>
      <c r="O414" s="1800"/>
      <c r="P414" s="1800"/>
      <c r="Q414" s="1800"/>
      <c r="R414" s="1800"/>
      <c r="S414" s="1800"/>
      <c r="T414" s="1800"/>
      <c r="U414" s="1800"/>
      <c r="V414" s="1800"/>
      <c r="W414" s="1800"/>
      <c r="X414" s="1800"/>
      <c r="Y414" s="1800"/>
      <c r="Z414" s="1800"/>
      <c r="AA414" s="1800"/>
      <c r="AB414" s="1800"/>
      <c r="AC414" s="1800"/>
      <c r="AD414" s="1800"/>
      <c r="AE414" s="1800"/>
    </row>
    <row r="415" spans="1:36" ht="12.75" customHeight="1"/>
    <row r="416" spans="1:36" ht="12.75" customHeight="1">
      <c r="A416" s="2" t="s">
        <v>617</v>
      </c>
      <c r="B416" s="2"/>
      <c r="C416" s="2"/>
      <c r="D416" s="2" t="s">
        <v>119</v>
      </c>
      <c r="AF416" s="2" t="s">
        <v>1017</v>
      </c>
    </row>
    <row r="417" spans="1:39" ht="12.75" customHeight="1">
      <c r="E417" s="1667"/>
      <c r="F417" s="1667"/>
      <c r="G417" s="1667"/>
      <c r="H417" s="13" t="s">
        <v>120</v>
      </c>
      <c r="I417" s="1667"/>
      <c r="J417" s="1667"/>
      <c r="K417" s="1667"/>
      <c r="L417" t="s">
        <v>121</v>
      </c>
      <c r="N417" s="27" t="s">
        <v>602</v>
      </c>
      <c r="P417" s="1737">
        <v>3.23</v>
      </c>
      <c r="Q417" s="1737"/>
      <c r="R417" s="1737"/>
      <c r="S417" t="s">
        <v>122</v>
      </c>
      <c r="W417" s="1849">
        <f>IF(E417&gt;0,(E417*I417),(P417*43560))</f>
        <v>140698.79999999999</v>
      </c>
      <c r="X417" s="1849"/>
      <c r="Y417" s="1849"/>
      <c r="Z417" t="s">
        <v>123</v>
      </c>
      <c r="AF417" s="1777">
        <f>IF(P417&gt;0,(AG436/P417),(AG436/(W417/43560)))</f>
        <v>23.21981424148607</v>
      </c>
      <c r="AG417" s="1777"/>
      <c r="AH417" s="1777"/>
      <c r="AM417" s="3"/>
    </row>
    <row r="418" spans="1:39" ht="12.75">
      <c r="E418" t="s">
        <v>54</v>
      </c>
    </row>
    <row r="419" spans="1:39" ht="12.75" customHeight="1">
      <c r="E419" s="1808"/>
      <c r="F419" s="1808"/>
      <c r="G419" s="1808"/>
      <c r="H419" s="1808"/>
      <c r="I419" s="1808"/>
      <c r="J419" s="1808"/>
      <c r="K419" s="1808"/>
      <c r="L419" s="1808"/>
      <c r="M419" s="1808"/>
      <c r="N419" s="1808"/>
      <c r="O419" s="1808"/>
      <c r="P419" s="1808"/>
      <c r="Q419" s="1808"/>
      <c r="R419" s="1808"/>
      <c r="S419" s="1808"/>
      <c r="T419" s="1808"/>
      <c r="U419" s="1808"/>
      <c r="V419" s="1808"/>
      <c r="W419" s="1808"/>
      <c r="X419" s="1808"/>
      <c r="Y419" s="1808"/>
      <c r="Z419" s="1808"/>
      <c r="AA419" s="1808"/>
      <c r="AB419" s="1808"/>
      <c r="AC419" s="1808"/>
      <c r="AD419" s="1808"/>
      <c r="AE419" s="1808"/>
      <c r="AF419" s="1808"/>
      <c r="AG419" s="1808"/>
      <c r="AH419" s="1808"/>
      <c r="AI419" s="1808"/>
      <c r="AJ419" s="1808"/>
    </row>
    <row r="420" spans="1:39" ht="12.75" customHeight="1">
      <c r="E420" s="118" t="s">
        <v>2052</v>
      </c>
      <c r="F420" s="1053"/>
      <c r="G420" s="1053"/>
      <c r="H420" s="1053"/>
      <c r="I420" s="1663">
        <v>3</v>
      </c>
      <c r="J420" s="1663"/>
      <c r="K420" s="1663"/>
      <c r="L420" s="1053"/>
      <c r="M420" s="118"/>
      <c r="N420" s="1053"/>
      <c r="O420" s="1053"/>
      <c r="P420" s="1627">
        <f>(CS637+CS645+CS661)/I420</f>
        <v>65</v>
      </c>
      <c r="Q420" s="1627"/>
      <c r="R420" s="1627"/>
      <c r="S420" s="118" t="s">
        <v>2053</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59">
        <v>7</v>
      </c>
      <c r="Q423" s="1359"/>
      <c r="S423" t="s">
        <v>195</v>
      </c>
      <c r="AE423" s="1359">
        <v>7</v>
      </c>
      <c r="AF423" s="1359"/>
    </row>
    <row r="424" spans="1:39" ht="12.75">
      <c r="E424" t="s">
        <v>196</v>
      </c>
      <c r="P424" s="1359">
        <v>1</v>
      </c>
      <c r="Q424" s="1359"/>
      <c r="S424" t="s">
        <v>136</v>
      </c>
      <c r="AE424" s="1359" t="s">
        <v>618</v>
      </c>
      <c r="AF424" s="1359"/>
    </row>
    <row r="425" spans="1:39" ht="12.75">
      <c r="F425" s="28" t="s">
        <v>137</v>
      </c>
    </row>
    <row r="426" spans="1:39" ht="12.75">
      <c r="F426" s="1763"/>
      <c r="G426" s="1763"/>
      <c r="H426" s="1763"/>
      <c r="I426" s="1763"/>
      <c r="J426" s="1763"/>
      <c r="K426" s="1763"/>
      <c r="L426" s="1763"/>
      <c r="M426" s="1763"/>
      <c r="N426" s="1763"/>
      <c r="O426" s="1763"/>
      <c r="P426" s="1763"/>
      <c r="Q426" s="1763"/>
      <c r="R426" s="1763"/>
      <c r="S426" s="1763"/>
      <c r="T426" s="1763"/>
      <c r="U426" s="1763"/>
      <c r="V426" s="1763"/>
      <c r="W426" s="1763"/>
      <c r="X426" s="1763"/>
      <c r="Y426" s="1763"/>
      <c r="Z426" s="1763"/>
      <c r="AA426" s="1763"/>
      <c r="AB426" s="1763"/>
      <c r="AC426" s="1763"/>
      <c r="AD426" s="1763"/>
      <c r="AE426" s="1763"/>
      <c r="AF426" s="1763"/>
      <c r="AG426" s="1763"/>
      <c r="AH426" s="1763"/>
    </row>
    <row r="427" spans="1:39" ht="12.75" customHeight="1">
      <c r="F427" s="1764"/>
      <c r="G427" s="1764"/>
      <c r="H427" s="1764"/>
      <c r="I427" s="1764"/>
      <c r="J427" s="1764"/>
      <c r="K427" s="1764"/>
      <c r="L427" s="1764"/>
      <c r="M427" s="1764"/>
      <c r="N427" s="1764"/>
      <c r="O427" s="1764"/>
      <c r="P427" s="1764"/>
      <c r="Q427" s="1764"/>
      <c r="R427" s="1764"/>
      <c r="S427" s="1764"/>
      <c r="T427" s="1764"/>
      <c r="U427" s="1764"/>
      <c r="V427" s="1764"/>
      <c r="W427" s="1764"/>
      <c r="X427" s="1764"/>
      <c r="Y427" s="1764"/>
      <c r="Z427" s="1764"/>
      <c r="AA427" s="1764"/>
      <c r="AB427" s="1764"/>
      <c r="AC427" s="1764"/>
      <c r="AD427" s="1764"/>
      <c r="AE427" s="1764"/>
      <c r="AF427" s="1764"/>
      <c r="AG427" s="1764"/>
      <c r="AH427" s="1764"/>
    </row>
    <row r="428" spans="1:39" ht="12.75" customHeight="1">
      <c r="E428" t="s">
        <v>635</v>
      </c>
      <c r="P428" s="1"/>
      <c r="Q428" s="1359" t="s">
        <v>571</v>
      </c>
      <c r="R428" s="1359"/>
    </row>
    <row r="429" spans="1:39" ht="12.75" customHeight="1">
      <c r="F429" t="s">
        <v>636</v>
      </c>
      <c r="P429" s="1"/>
      <c r="Q429" s="1"/>
      <c r="AF429" s="1359" t="s">
        <v>618</v>
      </c>
      <c r="AG429" s="1845"/>
    </row>
    <row r="430" spans="1:39" ht="12.75" customHeight="1"/>
    <row r="431" spans="1:39" ht="12.75" customHeight="1">
      <c r="A431" s="2"/>
      <c r="B431" s="2"/>
      <c r="C431" s="2"/>
      <c r="E431" s="4" t="s">
        <v>314</v>
      </c>
      <c r="Z431" s="1359" t="s">
        <v>696</v>
      </c>
      <c r="AA431" s="1359"/>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9" t="s">
        <v>618</v>
      </c>
      <c r="AA433" s="1359"/>
    </row>
    <row r="434" spans="1:110" ht="12.75" customHeight="1"/>
    <row r="435" spans="1:110" ht="12.75" customHeight="1">
      <c r="A435" s="2" t="s">
        <v>493</v>
      </c>
      <c r="B435" s="2"/>
      <c r="C435" s="2"/>
      <c r="D435" s="2" t="s">
        <v>807</v>
      </c>
      <c r="AF435" s="48"/>
    </row>
    <row r="436" spans="1:110" ht="12.75" customHeight="1">
      <c r="D436" s="1557" t="s">
        <v>46</v>
      </c>
      <c r="E436" s="1558"/>
      <c r="F436" s="1558"/>
      <c r="G436" s="1558"/>
      <c r="H436" s="1558"/>
      <c r="I436" s="1558"/>
      <c r="J436" s="1558"/>
      <c r="K436" s="1558"/>
      <c r="L436" s="1558"/>
      <c r="M436" s="1558"/>
      <c r="N436" s="1558"/>
      <c r="O436" s="1558"/>
      <c r="P436" s="1558"/>
      <c r="Q436" s="1558"/>
      <c r="R436" s="1558"/>
      <c r="S436" s="1558"/>
      <c r="T436" s="1558"/>
      <c r="U436" s="1558"/>
      <c r="V436" s="1558"/>
      <c r="W436" s="1558"/>
      <c r="X436" s="1558"/>
      <c r="Y436" s="1558"/>
      <c r="Z436" s="1558"/>
      <c r="AA436" s="1558"/>
      <c r="AB436" s="1558"/>
      <c r="AC436" s="1558"/>
      <c r="AD436" s="1558"/>
      <c r="AE436" s="1558"/>
      <c r="AF436" s="1833"/>
      <c r="AG436" s="1796">
        <v>75</v>
      </c>
      <c r="AH436" s="1796"/>
      <c r="AI436" s="1796"/>
      <c r="AJ436" s="1796"/>
    </row>
    <row r="437" spans="1:110" ht="12.75" customHeight="1">
      <c r="D437" s="1742" t="s">
        <v>1392</v>
      </c>
      <c r="E437" s="1743"/>
      <c r="F437" s="1743"/>
      <c r="G437" s="1743"/>
      <c r="H437" s="1743"/>
      <c r="I437" s="1743"/>
      <c r="J437" s="1743"/>
      <c r="K437" s="1743"/>
      <c r="L437" s="1743"/>
      <c r="M437" s="1743"/>
      <c r="N437" s="1743"/>
      <c r="O437" s="1743"/>
      <c r="P437" s="1743"/>
      <c r="Q437" s="1743"/>
      <c r="R437" s="1743"/>
      <c r="S437" s="1743"/>
      <c r="T437" s="1743"/>
      <c r="U437" s="1743"/>
      <c r="V437" s="1743"/>
      <c r="W437" s="1743"/>
      <c r="X437" s="1743"/>
      <c r="Y437" s="1743"/>
      <c r="Z437" s="1743"/>
      <c r="AA437" s="1743"/>
      <c r="AB437" s="1743"/>
      <c r="AC437" s="1743"/>
      <c r="AD437" s="1743"/>
      <c r="AE437" s="1743"/>
      <c r="AF437" s="1744"/>
      <c r="AG437" s="1853"/>
      <c r="AH437" s="1600"/>
      <c r="AI437" s="1600"/>
      <c r="AJ437" s="1600"/>
    </row>
    <row r="438" spans="1:110" ht="12.75" customHeight="1">
      <c r="D438" s="1742" t="s">
        <v>1114</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796">
        <v>74</v>
      </c>
      <c r="AH438" s="1796"/>
      <c r="AI438" s="1796"/>
      <c r="AJ438" s="1796"/>
    </row>
    <row r="439" spans="1:110" ht="12.75" customHeight="1">
      <c r="D439" s="1742" t="s">
        <v>1115</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796">
        <v>74</v>
      </c>
      <c r="AH439" s="1796"/>
      <c r="AI439" s="1796"/>
      <c r="AJ439" s="1796"/>
    </row>
    <row r="440" spans="1:110" ht="12.75" customHeight="1">
      <c r="D440" s="1742" t="s">
        <v>1117</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797">
        <f>IF(ISERROR(AG439/AG438),"",AG439/AG438)</f>
        <v>1</v>
      </c>
      <c r="AH440" s="1797"/>
      <c r="AI440" s="1797"/>
      <c r="AJ440" s="1797"/>
    </row>
    <row r="441" spans="1:110" ht="12.75" customHeight="1">
      <c r="D441" s="1742" t="s">
        <v>1116</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781">
        <v>78850</v>
      </c>
      <c r="AH441" s="1781"/>
      <c r="AI441" s="1781"/>
      <c r="AJ441" s="1781"/>
    </row>
    <row r="442" spans="1:110" ht="12.75" customHeight="1">
      <c r="D442" s="1742" t="s">
        <v>1118</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781">
        <v>78850</v>
      </c>
      <c r="AH442" s="1781"/>
      <c r="AI442" s="1781"/>
      <c r="AJ442" s="1781"/>
    </row>
    <row r="443" spans="1:110" ht="12.75" customHeight="1">
      <c r="D443" s="1742" t="s">
        <v>1119</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797">
        <f>IF(ISERROR(AG442/AG441),"",AG442/AG441)</f>
        <v>1</v>
      </c>
      <c r="AH443" s="1797"/>
      <c r="AI443" s="1797"/>
      <c r="AJ443" s="1797"/>
    </row>
    <row r="444" spans="1:110" ht="12.75" customHeight="1">
      <c r="D444" s="1742" t="s">
        <v>1120</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797">
        <f>MIN(IF(AG440&gt;AG443,AG443,AG440),1)</f>
        <v>1</v>
      </c>
      <c r="AH444" s="1797"/>
      <c r="AI444" s="1797"/>
      <c r="AJ444" s="1797"/>
    </row>
    <row r="445" spans="1:110" ht="12.75" customHeight="1">
      <c r="D445" s="1742" t="s">
        <v>2586</v>
      </c>
      <c r="E445" s="1558"/>
      <c r="F445" s="1558"/>
      <c r="G445" s="1558"/>
      <c r="H445" s="1558"/>
      <c r="I445" s="1558"/>
      <c r="J445" s="1558"/>
      <c r="K445" s="1558"/>
      <c r="L445" s="1558"/>
      <c r="M445" s="1558"/>
      <c r="N445" s="1558"/>
      <c r="O445" s="1558"/>
      <c r="P445" s="1558"/>
      <c r="Q445" s="1558"/>
      <c r="R445" s="1558"/>
      <c r="S445" s="1558"/>
      <c r="T445" s="1558"/>
      <c r="U445" s="1558"/>
      <c r="V445" s="1558"/>
      <c r="W445" s="1558"/>
      <c r="X445" s="1558"/>
      <c r="Y445" s="1558"/>
      <c r="Z445" s="1558"/>
      <c r="AA445" s="1558"/>
      <c r="AB445" s="1558"/>
      <c r="AC445" s="1558"/>
      <c r="AD445" s="1558"/>
      <c r="AE445" s="1558"/>
      <c r="AF445" s="1833"/>
      <c r="AG445" s="1781">
        <v>7806</v>
      </c>
      <c r="AH445" s="1781"/>
      <c r="AI445" s="1781"/>
      <c r="AJ445" s="1781"/>
    </row>
    <row r="446" spans="1:110" ht="12.75" customHeight="1">
      <c r="D446" s="1557" t="s">
        <v>595</v>
      </c>
      <c r="E446" s="1558"/>
      <c r="F446" s="1558"/>
      <c r="G446" s="1558"/>
      <c r="H446" s="1558"/>
      <c r="I446" s="1558"/>
      <c r="J446" s="1558"/>
      <c r="K446" s="1558"/>
      <c r="L446" s="1558"/>
      <c r="M446" s="1558"/>
      <c r="N446" s="1558"/>
      <c r="O446" s="1558"/>
      <c r="P446" s="1558"/>
      <c r="Q446" s="1558"/>
      <c r="R446" s="1558"/>
      <c r="S446" s="1558"/>
      <c r="T446" s="1558"/>
      <c r="U446" s="1558"/>
      <c r="V446" s="1558"/>
      <c r="W446" s="1558"/>
      <c r="X446" s="1558"/>
      <c r="Y446" s="1558"/>
      <c r="Z446" s="1558"/>
      <c r="AA446" s="1558"/>
      <c r="AB446" s="1558"/>
      <c r="AC446" s="1558"/>
      <c r="AD446" s="1558"/>
      <c r="AE446" s="1558"/>
      <c r="AF446" s="1833"/>
      <c r="AG446" s="1781">
        <v>0</v>
      </c>
      <c r="AH446" s="1781"/>
      <c r="AI446" s="1781"/>
      <c r="AJ446" s="178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742" t="s">
        <v>1370</v>
      </c>
      <c r="E447" s="1558"/>
      <c r="F447" s="1558"/>
      <c r="G447" s="1558"/>
      <c r="H447" s="1558"/>
      <c r="I447" s="1558"/>
      <c r="J447" s="1558"/>
      <c r="K447" s="1558"/>
      <c r="L447" s="1558"/>
      <c r="M447" s="1558"/>
      <c r="N447" s="1558"/>
      <c r="O447" s="1558"/>
      <c r="P447" s="1558"/>
      <c r="Q447" s="1558"/>
      <c r="R447" s="1558"/>
      <c r="S447" s="1558"/>
      <c r="T447" s="1558"/>
      <c r="U447" s="1558"/>
      <c r="V447" s="1558"/>
      <c r="W447" s="1558"/>
      <c r="X447" s="1558"/>
      <c r="Y447" s="1558"/>
      <c r="Z447" s="1558"/>
      <c r="AA447" s="1558"/>
      <c r="AB447" s="1558"/>
      <c r="AC447" s="1558"/>
      <c r="AD447" s="1558"/>
      <c r="AE447" s="1558"/>
      <c r="AF447" s="1833"/>
      <c r="AG447" s="1781">
        <v>1274</v>
      </c>
      <c r="AH447" s="1781"/>
      <c r="AI447" s="1781"/>
      <c r="AJ447" s="178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742" t="s">
        <v>1121</v>
      </c>
      <c r="E448" s="1558"/>
      <c r="F448" s="1558"/>
      <c r="G448" s="1558"/>
      <c r="H448" s="1558"/>
      <c r="I448" s="1558"/>
      <c r="J448" s="1558"/>
      <c r="K448" s="1558"/>
      <c r="L448" s="1558"/>
      <c r="M448" s="1558"/>
      <c r="N448" s="1558"/>
      <c r="O448" s="1558"/>
      <c r="P448" s="1558"/>
      <c r="Q448" s="1558"/>
      <c r="R448" s="1558"/>
      <c r="S448" s="1558"/>
      <c r="T448" s="1558"/>
      <c r="U448" s="1558"/>
      <c r="V448" s="1558"/>
      <c r="W448" s="1558"/>
      <c r="X448" s="1558"/>
      <c r="Y448" s="1558"/>
      <c r="Z448" s="1558"/>
      <c r="AA448" s="1558"/>
      <c r="AB448" s="1558"/>
      <c r="AC448" s="1558"/>
      <c r="AD448" s="1558"/>
      <c r="AE448" s="1558"/>
      <c r="AF448" s="1833"/>
      <c r="AG448" s="1781">
        <v>0</v>
      </c>
      <c r="AH448" s="1781"/>
      <c r="AI448" s="1781"/>
      <c r="AJ448" s="178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802" t="s">
        <v>1122</v>
      </c>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c r="Y449" s="1803"/>
      <c r="Z449" s="1803"/>
      <c r="AA449" s="1803"/>
      <c r="AB449" s="1803"/>
      <c r="AC449" s="1803"/>
      <c r="AD449" s="1803"/>
      <c r="AE449" s="1803"/>
      <c r="AF449" s="1804"/>
      <c r="AG449" s="1844">
        <f>AG441+AG445+AG447+AG448</f>
        <v>87930</v>
      </c>
      <c r="AH449" s="1844"/>
      <c r="AI449" s="1844"/>
      <c r="AJ449" s="184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805" t="s">
        <v>1371</v>
      </c>
      <c r="E450" s="1805"/>
      <c r="F450" s="1805"/>
      <c r="G450" s="1805"/>
      <c r="H450" s="1805"/>
      <c r="I450" s="1805"/>
      <c r="J450" s="1805"/>
      <c r="K450" s="1805"/>
      <c r="L450" s="1805"/>
      <c r="M450" s="1805"/>
      <c r="N450" s="1805"/>
      <c r="O450" s="1805"/>
      <c r="P450" s="1805"/>
      <c r="Q450" s="1805"/>
      <c r="R450" s="1805"/>
      <c r="S450" s="1805"/>
      <c r="T450" s="1805"/>
      <c r="U450" s="1805"/>
      <c r="V450" s="1805"/>
      <c r="W450" s="1805"/>
      <c r="X450" s="1805"/>
      <c r="Y450" s="1805"/>
      <c r="Z450" s="1805"/>
      <c r="AA450" s="1805"/>
      <c r="AB450" s="1805"/>
      <c r="AC450" s="1805"/>
      <c r="AD450" s="1805"/>
      <c r="AE450" s="1805"/>
      <c r="AF450" s="1805"/>
      <c r="AG450" s="1805"/>
      <c r="AH450" s="1805"/>
      <c r="AI450" s="1805"/>
      <c r="AJ450" s="180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806"/>
      <c r="E451" s="1806"/>
      <c r="F451" s="1806"/>
      <c r="G451" s="1806"/>
      <c r="H451" s="1806"/>
      <c r="I451" s="1806"/>
      <c r="J451" s="1806"/>
      <c r="K451" s="1806"/>
      <c r="L451" s="1806"/>
      <c r="M451" s="1806"/>
      <c r="N451" s="1806"/>
      <c r="O451" s="1806"/>
      <c r="P451" s="1806"/>
      <c r="Q451" s="1806"/>
      <c r="R451" s="1806"/>
      <c r="S451" s="1806"/>
      <c r="T451" s="1806"/>
      <c r="U451" s="1806"/>
      <c r="V451" s="1806"/>
      <c r="W451" s="1806"/>
      <c r="X451" s="1806"/>
      <c r="Y451" s="1806"/>
      <c r="Z451" s="1806"/>
      <c r="AA451" s="1806"/>
      <c r="AB451" s="1806"/>
      <c r="AC451" s="1806"/>
      <c r="AD451" s="1806"/>
      <c r="AE451" s="1806"/>
      <c r="AF451" s="1806"/>
      <c r="AG451" s="1806"/>
      <c r="AH451" s="1806"/>
      <c r="AI451" s="1806"/>
      <c r="AJ451" s="180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798">
        <f>'Sources and Uses Budget'!B105/Application!AG436</f>
        <v>645243.42666666664</v>
      </c>
      <c r="AD453" s="1798"/>
      <c r="AE453" s="1798"/>
      <c r="AF453" s="1798"/>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798">
        <f>'Sources and Uses Budget'!C105/Application!AG436</f>
        <v>645243.42666666664</v>
      </c>
      <c r="AD454" s="1798"/>
      <c r="AE454" s="1798"/>
      <c r="AF454" s="1798"/>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798">
        <f>('Sources and Uses Budget'!$S$107+'Sources and Uses Budget'!$T$107)/Application!AG436</f>
        <v>598261.62666666671</v>
      </c>
      <c r="AD455" s="1798"/>
      <c r="AE455" s="1798"/>
      <c r="AF455" s="1798"/>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2198</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2199</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2200</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82" t="s">
        <v>721</v>
      </c>
      <c r="E464" s="1783"/>
      <c r="F464" s="1783"/>
      <c r="G464" s="1783"/>
      <c r="H464" s="1783"/>
      <c r="I464" s="1783"/>
      <c r="J464" s="1783"/>
      <c r="K464" s="1783"/>
      <c r="L464" s="1783"/>
      <c r="M464" s="1783"/>
      <c r="N464" s="1783"/>
      <c r="O464" s="1783"/>
      <c r="P464" s="1783"/>
      <c r="Q464" s="1783"/>
      <c r="R464" s="1783"/>
      <c r="S464" s="1783"/>
      <c r="T464" s="1783"/>
      <c r="U464" s="1783"/>
      <c r="V464" s="1784"/>
      <c r="W464" s="1659">
        <v>0</v>
      </c>
      <c r="X464" s="1660"/>
      <c r="Y464" s="1661"/>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82" t="s">
        <v>722</v>
      </c>
      <c r="E465" s="1783"/>
      <c r="F465" s="1783"/>
      <c r="G465" s="1783"/>
      <c r="H465" s="1783"/>
      <c r="I465" s="1783"/>
      <c r="J465" s="1783"/>
      <c r="K465" s="1783"/>
      <c r="L465" s="1783"/>
      <c r="M465" s="1783"/>
      <c r="N465" s="1783"/>
      <c r="O465" s="1783"/>
      <c r="P465" s="1783"/>
      <c r="Q465" s="1783"/>
      <c r="R465" s="1783"/>
      <c r="S465" s="1783"/>
      <c r="T465" s="1783"/>
      <c r="U465" s="1783"/>
      <c r="V465" s="1784"/>
      <c r="W465" s="1659">
        <v>0</v>
      </c>
      <c r="X465" s="1660"/>
      <c r="Y465" s="1661"/>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82" t="s">
        <v>723</v>
      </c>
      <c r="E466" s="1783"/>
      <c r="F466" s="1783"/>
      <c r="G466" s="1783"/>
      <c r="H466" s="1783"/>
      <c r="I466" s="1783"/>
      <c r="J466" s="1783"/>
      <c r="K466" s="1783"/>
      <c r="L466" s="1783"/>
      <c r="M466" s="1783"/>
      <c r="N466" s="1783"/>
      <c r="O466" s="1783"/>
      <c r="P466" s="1783"/>
      <c r="Q466" s="1783"/>
      <c r="R466" s="1783"/>
      <c r="S466" s="1783"/>
      <c r="T466" s="1783"/>
      <c r="U466" s="1783"/>
      <c r="V466" s="1784"/>
      <c r="W466" s="1659">
        <v>0</v>
      </c>
      <c r="X466" s="1660"/>
      <c r="Y466" s="1661"/>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82" t="s">
        <v>724</v>
      </c>
      <c r="E467" s="1783"/>
      <c r="F467" s="1783"/>
      <c r="G467" s="1783"/>
      <c r="H467" s="1783"/>
      <c r="I467" s="1783"/>
      <c r="J467" s="1783"/>
      <c r="K467" s="1783"/>
      <c r="L467" s="1783"/>
      <c r="M467" s="1783"/>
      <c r="N467" s="1783"/>
      <c r="O467" s="1783"/>
      <c r="P467" s="1783"/>
      <c r="Q467" s="1783"/>
      <c r="R467" s="1783"/>
      <c r="S467" s="1783"/>
      <c r="T467" s="1783"/>
      <c r="U467" s="1783"/>
      <c r="V467" s="1784"/>
      <c r="W467" s="1659">
        <v>0</v>
      </c>
      <c r="X467" s="1660"/>
      <c r="Y467" s="1661"/>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82" t="s">
        <v>930</v>
      </c>
      <c r="E468" s="1783"/>
      <c r="F468" s="1783"/>
      <c r="G468" s="1783"/>
      <c r="H468" s="1783"/>
      <c r="I468" s="1783"/>
      <c r="J468" s="1783"/>
      <c r="K468" s="1783"/>
      <c r="L468" s="1783"/>
      <c r="M468" s="1783"/>
      <c r="N468" s="1783"/>
      <c r="O468" s="1783"/>
      <c r="P468" s="1783"/>
      <c r="Q468" s="1783"/>
      <c r="R468" s="1783"/>
      <c r="S468" s="1783"/>
      <c r="T468" s="1783"/>
      <c r="U468" s="1783"/>
      <c r="V468" s="1784"/>
      <c r="W468" s="1659">
        <v>0</v>
      </c>
      <c r="X468" s="1660"/>
      <c r="Y468" s="1661"/>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82" t="s">
        <v>725</v>
      </c>
      <c r="E469" s="1783"/>
      <c r="F469" s="1783"/>
      <c r="G469" s="1783"/>
      <c r="H469" s="1783"/>
      <c r="I469" s="1783"/>
      <c r="J469" s="1783"/>
      <c r="K469" s="1783"/>
      <c r="L469" s="1783"/>
      <c r="M469" s="1783"/>
      <c r="N469" s="1783"/>
      <c r="O469" s="1783"/>
      <c r="P469" s="1783"/>
      <c r="Q469" s="1783"/>
      <c r="R469" s="1783"/>
      <c r="S469" s="1783"/>
      <c r="T469" s="1783"/>
      <c r="U469" s="1783"/>
      <c r="V469" s="1784"/>
      <c r="W469" s="1659">
        <v>0</v>
      </c>
      <c r="X469" s="1660"/>
      <c r="Y469" s="1661"/>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82" t="s">
        <v>1090</v>
      </c>
      <c r="E470" s="1783"/>
      <c r="F470" s="1783"/>
      <c r="G470" s="1783"/>
      <c r="H470" s="1783"/>
      <c r="I470" s="1783"/>
      <c r="J470" s="1783"/>
      <c r="K470" s="1783"/>
      <c r="L470" s="1783"/>
      <c r="M470" s="1783"/>
      <c r="N470" s="1783"/>
      <c r="O470" s="1783"/>
      <c r="P470" s="1783"/>
      <c r="Q470" s="1783"/>
      <c r="R470" s="1783"/>
      <c r="S470" s="1783"/>
      <c r="T470" s="1783"/>
      <c r="U470" s="1783"/>
      <c r="V470" s="1784"/>
      <c r="W470" s="1659">
        <v>0</v>
      </c>
      <c r="X470" s="1660"/>
      <c r="Y470" s="1661"/>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43" t="s">
        <v>1863</v>
      </c>
      <c r="E471" s="1783"/>
      <c r="F471" s="1783"/>
      <c r="G471" s="1783"/>
      <c r="H471" s="1783"/>
      <c r="I471" s="1783"/>
      <c r="J471" s="1783"/>
      <c r="K471" s="1783"/>
      <c r="L471" s="1783"/>
      <c r="M471" s="1783"/>
      <c r="N471" s="1783"/>
      <c r="O471" s="1783"/>
      <c r="P471" s="1783"/>
      <c r="Q471" s="1783"/>
      <c r="R471" s="1783"/>
      <c r="S471" s="1783"/>
      <c r="T471" s="1783"/>
      <c r="U471" s="1783"/>
      <c r="V471" s="1784"/>
      <c r="W471" s="1659">
        <v>0</v>
      </c>
      <c r="X471" s="1660"/>
      <c r="Y471" s="1661"/>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840"/>
      <c r="H472" s="1841"/>
      <c r="I472" s="1841"/>
      <c r="J472" s="1841"/>
      <c r="K472" s="1841"/>
      <c r="L472" s="1841"/>
      <c r="M472" s="1841"/>
      <c r="N472" s="1841"/>
      <c r="O472" s="1841"/>
      <c r="P472" s="1841"/>
      <c r="Q472" s="1841"/>
      <c r="R472" s="1841"/>
      <c r="S472" s="1841"/>
      <c r="T472" s="1841"/>
      <c r="U472" s="1841"/>
      <c r="V472" s="1842"/>
      <c r="W472" s="1659">
        <v>0</v>
      </c>
      <c r="X472" s="1660"/>
      <c r="Y472" s="1661"/>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606" t="s">
        <v>854</v>
      </c>
      <c r="B478" s="1606"/>
      <c r="C478" s="1606"/>
      <c r="D478" s="1606"/>
      <c r="E478" s="1606"/>
      <c r="F478" s="1606"/>
      <c r="G478" s="1606"/>
      <c r="H478" s="1606"/>
      <c r="I478" s="1606"/>
      <c r="J478" s="1606"/>
      <c r="K478" s="1606"/>
      <c r="L478" s="1606"/>
      <c r="M478" s="1606"/>
      <c r="N478" s="1606"/>
      <c r="O478" s="1606"/>
      <c r="P478" s="1606"/>
      <c r="Q478" s="1606"/>
      <c r="R478" s="1606"/>
      <c r="S478" s="1606"/>
      <c r="T478" s="1606"/>
      <c r="U478" s="1606"/>
      <c r="V478" s="1606"/>
      <c r="W478" s="1606"/>
      <c r="X478" s="1606"/>
      <c r="Y478" s="1606"/>
      <c r="Z478" s="1606"/>
      <c r="AA478" s="1606"/>
      <c r="AB478" s="1606"/>
      <c r="AC478" s="1606"/>
      <c r="AD478" s="1606"/>
      <c r="AE478" s="1606"/>
      <c r="AF478" s="1606"/>
      <c r="AG478" s="1606"/>
      <c r="AH478" s="1606"/>
      <c r="AI478" s="1606"/>
      <c r="AJ478" s="1606"/>
      <c r="AK478" s="1606"/>
      <c r="AL478" s="1606"/>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07"/>
      <c r="B479" s="1607"/>
      <c r="C479" s="1607"/>
      <c r="D479" s="1607"/>
      <c r="E479" s="1607"/>
      <c r="F479" s="1607"/>
      <c r="G479" s="1607"/>
      <c r="H479" s="1607"/>
      <c r="I479" s="1607"/>
      <c r="J479" s="1607"/>
      <c r="K479" s="1607"/>
      <c r="L479" s="1607"/>
      <c r="M479" s="1607"/>
      <c r="N479" s="1607"/>
      <c r="O479" s="1607"/>
      <c r="P479" s="1607"/>
      <c r="Q479" s="1607"/>
      <c r="R479" s="1607"/>
      <c r="S479" s="1607"/>
      <c r="T479" s="1607"/>
      <c r="U479" s="1607"/>
      <c r="V479" s="1607"/>
      <c r="W479" s="1607"/>
      <c r="X479" s="1607"/>
      <c r="Y479" s="1607"/>
      <c r="Z479" s="1607"/>
      <c r="AA479" s="1607"/>
      <c r="AB479" s="1607"/>
      <c r="AC479" s="1607"/>
      <c r="AD479" s="1607"/>
      <c r="AE479" s="1607"/>
      <c r="AF479" s="1607"/>
      <c r="AG479" s="1607"/>
      <c r="AH479" s="1607"/>
      <c r="AI479" s="1607"/>
      <c r="AJ479" s="1607"/>
      <c r="AK479" s="1607"/>
      <c r="AL479" s="1607"/>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740" t="s">
        <v>855</v>
      </c>
      <c r="U483" s="1741"/>
      <c r="V483" s="1741"/>
      <c r="W483" s="1741"/>
      <c r="X483" s="1741"/>
      <c r="Y483" s="1741"/>
      <c r="Z483" s="1741"/>
      <c r="AA483" s="1741"/>
      <c r="AB483" s="1741"/>
      <c r="AC483" s="1741"/>
      <c r="AD483" s="1741"/>
      <c r="AE483" s="1741"/>
      <c r="AF483" s="1741"/>
      <c r="AG483" s="1741"/>
      <c r="AH483" s="180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794" t="s">
        <v>36</v>
      </c>
      <c r="U484" s="1794"/>
      <c r="V484" s="1794"/>
      <c r="W484" s="1794"/>
      <c r="X484" s="1794"/>
      <c r="Y484" s="1794" t="s">
        <v>37</v>
      </c>
      <c r="Z484" s="1794"/>
      <c r="AA484" s="1794"/>
      <c r="AB484" s="1794"/>
      <c r="AC484" s="1794"/>
      <c r="AD484" s="1794" t="s">
        <v>345</v>
      </c>
      <c r="AE484" s="1794"/>
      <c r="AF484" s="1794"/>
      <c r="AG484" s="1794"/>
      <c r="AH484" s="1794"/>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794"/>
      <c r="U485" s="1794"/>
      <c r="V485" s="1794"/>
      <c r="W485" s="1794"/>
      <c r="X485" s="1794"/>
      <c r="Y485" s="1794"/>
      <c r="Z485" s="1794"/>
      <c r="AA485" s="1794"/>
      <c r="AB485" s="1794"/>
      <c r="AC485" s="1794"/>
      <c r="AD485" s="1794"/>
      <c r="AE485" s="1794"/>
      <c r="AF485" s="1794"/>
      <c r="AG485" s="1794"/>
      <c r="AH485" s="1794"/>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739">
        <v>44501</v>
      </c>
      <c r="U486" s="1739"/>
      <c r="V486" s="1739"/>
      <c r="W486" s="1739"/>
      <c r="X486" s="1739"/>
      <c r="Y486" s="1739">
        <v>44562</v>
      </c>
      <c r="Z486" s="1739"/>
      <c r="AA486" s="1739"/>
      <c r="AB486" s="1739"/>
      <c r="AC486" s="1739"/>
      <c r="AD486" s="1739">
        <v>0</v>
      </c>
      <c r="AE486" s="1739"/>
      <c r="AF486" s="1739"/>
      <c r="AG486" s="1739"/>
      <c r="AH486" s="1739"/>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739">
        <v>44501</v>
      </c>
      <c r="U487" s="1739"/>
      <c r="V487" s="1739"/>
      <c r="W487" s="1739"/>
      <c r="X487" s="1739"/>
      <c r="Y487" s="1739">
        <v>44593</v>
      </c>
      <c r="Z487" s="1739"/>
      <c r="AA487" s="1739"/>
      <c r="AB487" s="1739"/>
      <c r="AC487" s="1739"/>
      <c r="AD487" s="1739">
        <v>0</v>
      </c>
      <c r="AE487" s="1739"/>
      <c r="AF487" s="1739"/>
      <c r="AG487" s="1739"/>
      <c r="AH487" s="173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739" t="s">
        <v>618</v>
      </c>
      <c r="U488" s="1739"/>
      <c r="V488" s="1739"/>
      <c r="W488" s="1739"/>
      <c r="X488" s="1739"/>
      <c r="Y488" s="1739" t="s">
        <v>618</v>
      </c>
      <c r="Z488" s="1739"/>
      <c r="AA488" s="1739"/>
      <c r="AB488" s="1739"/>
      <c r="AC488" s="1739"/>
      <c r="AD488" s="1739" t="s">
        <v>618</v>
      </c>
      <c r="AE488" s="1739"/>
      <c r="AF488" s="1739"/>
      <c r="AG488" s="1739"/>
      <c r="AH488" s="173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739">
        <v>44501</v>
      </c>
      <c r="U489" s="1739"/>
      <c r="V489" s="1739"/>
      <c r="W489" s="1739"/>
      <c r="X489" s="1739"/>
      <c r="Y489" s="1739">
        <v>44531</v>
      </c>
      <c r="Z489" s="1739"/>
      <c r="AA489" s="1739"/>
      <c r="AB489" s="1739"/>
      <c r="AC489" s="1739"/>
      <c r="AD489" s="1739">
        <v>0</v>
      </c>
      <c r="AE489" s="1739"/>
      <c r="AF489" s="1739"/>
      <c r="AG489" s="1739"/>
      <c r="AH489" s="173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739" t="s">
        <v>618</v>
      </c>
      <c r="U490" s="1739"/>
      <c r="V490" s="1739"/>
      <c r="W490" s="1739"/>
      <c r="X490" s="1739"/>
      <c r="Y490" s="1739" t="s">
        <v>618</v>
      </c>
      <c r="Z490" s="1739"/>
      <c r="AA490" s="1739"/>
      <c r="AB490" s="1739"/>
      <c r="AC490" s="1739"/>
      <c r="AD490" s="1739" t="s">
        <v>618</v>
      </c>
      <c r="AE490" s="1739"/>
      <c r="AF490" s="1739"/>
      <c r="AG490" s="1739"/>
      <c r="AH490" s="173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739" t="s">
        <v>618</v>
      </c>
      <c r="U491" s="1739"/>
      <c r="V491" s="1739"/>
      <c r="W491" s="1739"/>
      <c r="X491" s="1739"/>
      <c r="Y491" s="1739" t="s">
        <v>618</v>
      </c>
      <c r="Z491" s="1739"/>
      <c r="AA491" s="1739"/>
      <c r="AB491" s="1739"/>
      <c r="AC491" s="1739"/>
      <c r="AD491" s="1739" t="s">
        <v>618</v>
      </c>
      <c r="AE491" s="1739"/>
      <c r="AF491" s="1739"/>
      <c r="AG491" s="1739"/>
      <c r="AH491" s="1739"/>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739">
        <v>44484</v>
      </c>
      <c r="U492" s="1739"/>
      <c r="V492" s="1739"/>
      <c r="W492" s="1739"/>
      <c r="X492" s="1739"/>
      <c r="Y492" s="1739">
        <v>44545</v>
      </c>
      <c r="Z492" s="1739"/>
      <c r="AA492" s="1739"/>
      <c r="AB492" s="1739"/>
      <c r="AC492" s="1739"/>
      <c r="AD492" s="1739">
        <v>0</v>
      </c>
      <c r="AE492" s="1739"/>
      <c r="AF492" s="1739"/>
      <c r="AG492" s="1739"/>
      <c r="AH492" s="1739"/>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739" t="s">
        <v>618</v>
      </c>
      <c r="U493" s="1739"/>
      <c r="V493" s="1739"/>
      <c r="W493" s="1739"/>
      <c r="X493" s="1739"/>
      <c r="Y493" s="1739" t="s">
        <v>618</v>
      </c>
      <c r="Z493" s="1739"/>
      <c r="AA493" s="1739"/>
      <c r="AB493" s="1739"/>
      <c r="AC493" s="1739"/>
      <c r="AD493" s="1739" t="s">
        <v>618</v>
      </c>
      <c r="AE493" s="1739"/>
      <c r="AF493" s="1739"/>
      <c r="AG493" s="1739"/>
      <c r="AH493" s="173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739" t="s">
        <v>618</v>
      </c>
      <c r="U494" s="1739"/>
      <c r="V494" s="1739"/>
      <c r="W494" s="1739"/>
      <c r="X494" s="1739"/>
      <c r="Y494" s="1739" t="s">
        <v>618</v>
      </c>
      <c r="Z494" s="1739"/>
      <c r="AA494" s="1739"/>
      <c r="AB494" s="1739"/>
      <c r="AC494" s="1739"/>
      <c r="AD494" s="1739" t="s">
        <v>618</v>
      </c>
      <c r="AE494" s="1739"/>
      <c r="AF494" s="1739"/>
      <c r="AG494" s="1739"/>
      <c r="AH494" s="1739"/>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739" t="s">
        <v>618</v>
      </c>
      <c r="U495" s="1739"/>
      <c r="V495" s="1739"/>
      <c r="W495" s="1739"/>
      <c r="X495" s="1739"/>
      <c r="Y495" s="1739" t="s">
        <v>618</v>
      </c>
      <c r="Z495" s="1739"/>
      <c r="AA495" s="1739"/>
      <c r="AB495" s="1739"/>
      <c r="AC495" s="1739"/>
      <c r="AD495" s="1739" t="s">
        <v>618</v>
      </c>
      <c r="AE495" s="1739"/>
      <c r="AF495" s="1739"/>
      <c r="AG495" s="1739"/>
      <c r="AH495" s="1739"/>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740" t="s">
        <v>410</v>
      </c>
      <c r="R497" s="1741"/>
      <c r="S497" s="1741"/>
      <c r="T497" s="1741"/>
      <c r="U497" s="1741"/>
      <c r="V497" s="1741"/>
      <c r="W497" s="1741"/>
      <c r="X497" s="1741"/>
      <c r="Y497" s="1741"/>
      <c r="Z497" s="1741"/>
      <c r="AA497" s="1741"/>
      <c r="AB497" s="1741"/>
      <c r="AC497" s="1741"/>
      <c r="AD497" s="1741"/>
      <c r="AE497" s="1741"/>
      <c r="AF497" s="1741"/>
      <c r="AG497" s="1741"/>
      <c r="AH497" s="1741"/>
      <c r="AI497" s="1741"/>
      <c r="AJ497" s="1741"/>
      <c r="AK497" s="180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688" t="s">
        <v>2675</v>
      </c>
      <c r="R498" s="1352"/>
      <c r="S498" s="1352"/>
      <c r="T498" s="1352"/>
      <c r="U498" s="1352"/>
      <c r="V498" s="1352"/>
      <c r="W498" s="1352"/>
      <c r="X498" s="1352"/>
      <c r="Y498" s="1352"/>
      <c r="Z498" s="1352"/>
      <c r="AA498" s="1352"/>
      <c r="AB498" s="1352"/>
      <c r="AC498" s="1352"/>
      <c r="AD498" s="1352"/>
      <c r="AE498" s="1352"/>
      <c r="AF498" s="1352"/>
      <c r="AG498" s="1352"/>
      <c r="AH498" s="1352"/>
      <c r="AI498" s="1352"/>
      <c r="AJ498" s="1352"/>
      <c r="AK498" s="1689"/>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688" t="s">
        <v>2676</v>
      </c>
      <c r="R499" s="1352"/>
      <c r="S499" s="1352"/>
      <c r="T499" s="1352"/>
      <c r="U499" s="1352"/>
      <c r="V499" s="1352"/>
      <c r="W499" s="1352"/>
      <c r="X499" s="1352"/>
      <c r="Y499" s="1352"/>
      <c r="Z499" s="1352"/>
      <c r="AA499" s="1352"/>
      <c r="AB499" s="1352"/>
      <c r="AC499" s="1352"/>
      <c r="AD499" s="1352"/>
      <c r="AE499" s="1352"/>
      <c r="AF499" s="1352"/>
      <c r="AG499" s="1352"/>
      <c r="AH499" s="1352"/>
      <c r="AI499" s="1352"/>
      <c r="AJ499" s="1352"/>
      <c r="AK499" s="1689"/>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688" t="s">
        <v>2677</v>
      </c>
      <c r="R500" s="1352"/>
      <c r="S500" s="1352"/>
      <c r="T500" s="1352"/>
      <c r="U500" s="1352"/>
      <c r="V500" s="1352"/>
      <c r="W500" s="1352"/>
      <c r="X500" s="1352"/>
      <c r="Y500" s="1352"/>
      <c r="Z500" s="1352"/>
      <c r="AA500" s="1352"/>
      <c r="AB500" s="1352"/>
      <c r="AC500" s="1352"/>
      <c r="AD500" s="1352"/>
      <c r="AE500" s="1352"/>
      <c r="AF500" s="1352"/>
      <c r="AG500" s="1352"/>
      <c r="AH500" s="1352"/>
      <c r="AI500" s="1352"/>
      <c r="AJ500" s="1352"/>
      <c r="AK500" s="1689"/>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810" t="s">
        <v>414</v>
      </c>
      <c r="C501" s="1811"/>
      <c r="D501" s="1811"/>
      <c r="E501" s="1811"/>
      <c r="F501" s="1811"/>
      <c r="G501" s="1811"/>
      <c r="H501" s="1811"/>
      <c r="I501" s="1811"/>
      <c r="J501" s="1811"/>
      <c r="K501" s="1811"/>
      <c r="L501" s="1811"/>
      <c r="M501" s="1811"/>
      <c r="N501" s="1811"/>
      <c r="O501" s="1811"/>
      <c r="P501" s="1812"/>
      <c r="Q501" s="1816" t="s">
        <v>696</v>
      </c>
      <c r="R501" s="1817"/>
      <c r="S501" s="1609" t="s">
        <v>171</v>
      </c>
      <c r="T501" s="1610"/>
      <c r="U501" s="1610"/>
      <c r="V501" s="1610"/>
      <c r="W501" s="1610"/>
      <c r="X501" s="1610"/>
      <c r="Y501" s="1610"/>
      <c r="Z501" s="1610"/>
      <c r="AA501" s="1610"/>
      <c r="AB501" s="1610"/>
      <c r="AC501" s="1610"/>
      <c r="AD501" s="1610"/>
      <c r="AE501" s="1610"/>
      <c r="AF501" s="1610"/>
      <c r="AG501" s="1610"/>
      <c r="AH501" s="1610"/>
      <c r="AI501" s="1610"/>
      <c r="AJ501" s="1610"/>
      <c r="AK501" s="161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813"/>
      <c r="C502" s="1814"/>
      <c r="D502" s="1814"/>
      <c r="E502" s="1814"/>
      <c r="F502" s="1814"/>
      <c r="G502" s="1814"/>
      <c r="H502" s="1814"/>
      <c r="I502" s="1814"/>
      <c r="J502" s="1814"/>
      <c r="K502" s="1814"/>
      <c r="L502" s="1814"/>
      <c r="M502" s="1814"/>
      <c r="N502" s="1814"/>
      <c r="O502" s="1814"/>
      <c r="P502" s="1815"/>
      <c r="Q502" s="1818"/>
      <c r="R502" s="1819"/>
      <c r="S502" s="1612"/>
      <c r="T502" s="1613"/>
      <c r="U502" s="1613"/>
      <c r="V502" s="1613"/>
      <c r="W502" s="1613"/>
      <c r="X502" s="1613"/>
      <c r="Y502" s="1613"/>
      <c r="Z502" s="1613"/>
      <c r="AA502" s="1613"/>
      <c r="AB502" s="1613"/>
      <c r="AC502" s="1613"/>
      <c r="AD502" s="1613"/>
      <c r="AE502" s="1613"/>
      <c r="AF502" s="1613"/>
      <c r="AG502" s="1613"/>
      <c r="AH502" s="1613"/>
      <c r="AI502" s="1613"/>
      <c r="AJ502" s="1613"/>
      <c r="AK502" s="161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1882</v>
      </c>
      <c r="C503" s="912"/>
      <c r="D503" s="912"/>
      <c r="E503" s="912"/>
      <c r="F503" s="912"/>
      <c r="G503" s="912"/>
      <c r="H503" s="912"/>
      <c r="I503" s="912"/>
      <c r="J503" s="912"/>
      <c r="K503" s="912"/>
      <c r="L503" s="912"/>
      <c r="M503" s="912"/>
      <c r="N503" s="912"/>
      <c r="O503" s="912"/>
      <c r="P503" s="912"/>
      <c r="Q503" s="1850" t="s">
        <v>696</v>
      </c>
      <c r="R503" s="1851"/>
      <c r="S503" s="1851"/>
      <c r="T503" s="1851"/>
      <c r="U503" s="1851"/>
      <c r="V503" s="1851"/>
      <c r="W503" s="1851"/>
      <c r="X503" s="1851"/>
      <c r="Y503" s="1851"/>
      <c r="Z503" s="1851"/>
      <c r="AA503" s="1851"/>
      <c r="AB503" s="1851"/>
      <c r="AC503" s="1851"/>
      <c r="AD503" s="1851"/>
      <c r="AE503" s="1851"/>
      <c r="AF503" s="1851"/>
      <c r="AG503" s="1851"/>
      <c r="AH503" s="1851"/>
      <c r="AI503" s="1851"/>
      <c r="AJ503" s="1851"/>
      <c r="AK503" s="185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688" t="s">
        <v>2678</v>
      </c>
      <c r="R504" s="1352"/>
      <c r="S504" s="1352"/>
      <c r="T504" s="1352"/>
      <c r="U504" s="1352"/>
      <c r="V504" s="1352"/>
      <c r="W504" s="1352"/>
      <c r="X504" s="1352"/>
      <c r="Y504" s="1352"/>
      <c r="Z504" s="1352"/>
      <c r="AA504" s="1352"/>
      <c r="AB504" s="1352"/>
      <c r="AC504" s="1352"/>
      <c r="AD504" s="1352"/>
      <c r="AE504" s="1352"/>
      <c r="AF504" s="1352"/>
      <c r="AG504" s="1352"/>
      <c r="AH504" s="1352"/>
      <c r="AI504" s="1352"/>
      <c r="AJ504" s="1352"/>
      <c r="AK504" s="168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688" t="s">
        <v>2679</v>
      </c>
      <c r="R505" s="1352"/>
      <c r="S505" s="1352"/>
      <c r="T505" s="1352"/>
      <c r="U505" s="1352"/>
      <c r="V505" s="1352"/>
      <c r="W505" s="1352"/>
      <c r="X505" s="1352"/>
      <c r="Y505" s="1352"/>
      <c r="Z505" s="1352"/>
      <c r="AA505" s="1352"/>
      <c r="AB505" s="1352"/>
      <c r="AC505" s="1352"/>
      <c r="AD505" s="1352"/>
      <c r="AE505" s="1352"/>
      <c r="AF505" s="1352"/>
      <c r="AG505" s="1352"/>
      <c r="AH505" s="1352"/>
      <c r="AI505" s="1352"/>
      <c r="AJ505" s="1352"/>
      <c r="AK505" s="168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1879</v>
      </c>
      <c r="C506" s="5"/>
      <c r="D506" s="5"/>
      <c r="E506" s="5"/>
      <c r="F506" s="5"/>
      <c r="G506" s="5"/>
      <c r="H506" s="5"/>
      <c r="I506" s="5"/>
      <c r="J506" s="5"/>
      <c r="K506" s="5"/>
      <c r="L506" s="5"/>
      <c r="M506" s="5"/>
      <c r="N506" s="5"/>
      <c r="O506" s="5"/>
      <c r="P506" s="5"/>
      <c r="Q506" s="1688">
        <v>145</v>
      </c>
      <c r="R506" s="1352"/>
      <c r="S506" s="1352"/>
      <c r="T506" s="1352"/>
      <c r="U506" s="1352"/>
      <c r="V506" s="1352"/>
      <c r="W506" s="1352"/>
      <c r="X506" s="1352"/>
      <c r="Y506" s="1352"/>
      <c r="Z506" s="1352"/>
      <c r="AA506" s="1352"/>
      <c r="AB506" s="1352"/>
      <c r="AC506" s="1352"/>
      <c r="AD506" s="1352"/>
      <c r="AE506" s="1352"/>
      <c r="AF506" s="1352"/>
      <c r="AG506" s="1352"/>
      <c r="AH506" s="1352"/>
      <c r="AI506" s="1352"/>
      <c r="AJ506" s="1352"/>
      <c r="AK506" s="168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1880</v>
      </c>
      <c r="C507" s="5"/>
      <c r="D507" s="5"/>
      <c r="E507" s="5"/>
      <c r="F507" s="5"/>
      <c r="G507" s="5"/>
      <c r="H507" s="5"/>
      <c r="I507" s="5"/>
      <c r="J507" s="5"/>
      <c r="K507" s="5"/>
      <c r="L507" s="5"/>
      <c r="M507" s="1392">
        <v>76</v>
      </c>
      <c r="N507" s="1393"/>
      <c r="O507" s="1393"/>
      <c r="P507" s="1394"/>
      <c r="Q507" s="121" t="s">
        <v>1881</v>
      </c>
      <c r="R507" s="5"/>
      <c r="S507" s="5"/>
      <c r="T507" s="5"/>
      <c r="U507" s="5"/>
      <c r="V507" s="5"/>
      <c r="W507" s="5"/>
      <c r="X507" s="5"/>
      <c r="Y507" s="5"/>
      <c r="Z507" s="5"/>
      <c r="AA507" s="5"/>
      <c r="AB507" s="5"/>
      <c r="AC507" s="5"/>
      <c r="AD507" s="5"/>
      <c r="AE507" s="5"/>
      <c r="AF507" s="5"/>
      <c r="AG507" s="5"/>
      <c r="AH507" s="1392">
        <v>69</v>
      </c>
      <c r="AI507" s="1393"/>
      <c r="AJ507" s="1393"/>
      <c r="AK507" s="139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40" t="s">
        <v>418</v>
      </c>
      <c r="AD511" s="1741"/>
      <c r="AE511" s="1741"/>
      <c r="AF511" s="1741"/>
      <c r="AG511" s="1741"/>
      <c r="AH511" s="1741"/>
      <c r="AI511" s="1741"/>
      <c r="AJ511" s="1741"/>
      <c r="AK511" s="180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40" t="s">
        <v>419</v>
      </c>
      <c r="AD512" s="1741"/>
      <c r="AE512" s="1741"/>
      <c r="AF512" s="1741"/>
      <c r="AG512" s="50" t="s">
        <v>420</v>
      </c>
      <c r="AH512" s="1741" t="s">
        <v>421</v>
      </c>
      <c r="AI512" s="1741"/>
      <c r="AJ512" s="1741"/>
      <c r="AK512" s="180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85" t="s">
        <v>422</v>
      </c>
      <c r="C513" s="1786"/>
      <c r="D513" s="1786"/>
      <c r="E513" s="1786"/>
      <c r="F513" s="1786"/>
      <c r="G513" s="1786"/>
      <c r="H513" s="1787"/>
      <c r="I513" s="42" t="s">
        <v>423</v>
      </c>
      <c r="J513" s="42"/>
      <c r="K513" s="42"/>
      <c r="L513" s="42"/>
      <c r="M513" s="42"/>
      <c r="N513" s="42"/>
      <c r="O513" s="42"/>
      <c r="P513" s="42"/>
      <c r="Q513" s="42"/>
      <c r="R513" s="42"/>
      <c r="S513" s="42"/>
      <c r="T513" s="42"/>
      <c r="U513" s="42"/>
      <c r="V513" s="42"/>
      <c r="W513" s="42"/>
      <c r="AC513" s="1795">
        <v>2</v>
      </c>
      <c r="AD513" s="1669"/>
      <c r="AE513" s="1669"/>
      <c r="AF513" s="1669"/>
      <c r="AG513" s="13" t="s">
        <v>420</v>
      </c>
      <c r="AH513" s="1520">
        <v>2022</v>
      </c>
      <c r="AI513" s="1520"/>
      <c r="AJ513" s="1520"/>
      <c r="AK513" s="1521"/>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88"/>
      <c r="C514" s="1789"/>
      <c r="D514" s="1789"/>
      <c r="E514" s="1789"/>
      <c r="F514" s="1789"/>
      <c r="G514" s="1789"/>
      <c r="H514" s="1790"/>
      <c r="I514" s="48" t="s">
        <v>424</v>
      </c>
      <c r="J514" s="48"/>
      <c r="K514" s="48"/>
      <c r="L514" s="48"/>
      <c r="M514" s="48"/>
      <c r="N514" s="48"/>
      <c r="O514" s="48"/>
      <c r="P514" s="48"/>
      <c r="Q514" s="48"/>
      <c r="R514" s="48"/>
      <c r="S514" s="48"/>
      <c r="T514" s="48"/>
      <c r="U514" s="48"/>
      <c r="V514" s="48"/>
      <c r="W514" s="48"/>
      <c r="X514" s="48"/>
      <c r="Y514" s="48"/>
      <c r="Z514" s="48"/>
      <c r="AA514" s="48"/>
      <c r="AB514" s="48"/>
      <c r="AC514" s="1795">
        <v>2</v>
      </c>
      <c r="AD514" s="1669"/>
      <c r="AE514" s="1669"/>
      <c r="AF514" s="1669"/>
      <c r="AG514" s="38" t="s">
        <v>420</v>
      </c>
      <c r="AH514" s="1520">
        <v>2022</v>
      </c>
      <c r="AI514" s="1520"/>
      <c r="AJ514" s="1520"/>
      <c r="AK514" s="1521"/>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85" t="s">
        <v>425</v>
      </c>
      <c r="C515" s="1786"/>
      <c r="D515" s="1786"/>
      <c r="E515" s="1786"/>
      <c r="F515" s="1786"/>
      <c r="G515" s="1786"/>
      <c r="H515" s="1787"/>
      <c r="I515" s="42" t="s">
        <v>426</v>
      </c>
      <c r="J515" s="42"/>
      <c r="K515" s="42"/>
      <c r="L515" s="42"/>
      <c r="M515" s="42"/>
      <c r="N515" s="42"/>
      <c r="O515" s="42"/>
      <c r="P515" s="42"/>
      <c r="Q515" s="42"/>
      <c r="R515" s="42"/>
      <c r="S515" s="42"/>
      <c r="T515" s="42"/>
      <c r="U515" s="42"/>
      <c r="V515" s="42"/>
      <c r="W515" s="42"/>
      <c r="AC515" s="1795" t="s">
        <v>618</v>
      </c>
      <c r="AD515" s="1669"/>
      <c r="AE515" s="1669"/>
      <c r="AF515" s="1669"/>
      <c r="AG515" s="13" t="s">
        <v>420</v>
      </c>
      <c r="AH515" s="1520"/>
      <c r="AI515" s="1520"/>
      <c r="AJ515" s="1520"/>
      <c r="AK515" s="1521"/>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88"/>
      <c r="C516" s="1789"/>
      <c r="D516" s="1789"/>
      <c r="E516" s="1789"/>
      <c r="F516" s="1789"/>
      <c r="G516" s="1789"/>
      <c r="H516" s="1790"/>
      <c r="I516" t="s">
        <v>427</v>
      </c>
      <c r="AC516" s="1795" t="s">
        <v>618</v>
      </c>
      <c r="AD516" s="1669"/>
      <c r="AE516" s="1669"/>
      <c r="AF516" s="1669"/>
      <c r="AG516" s="13" t="s">
        <v>420</v>
      </c>
      <c r="AH516" s="1520"/>
      <c r="AI516" s="1520"/>
      <c r="AJ516" s="1520"/>
      <c r="AK516" s="1521"/>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88"/>
      <c r="C517" s="1789"/>
      <c r="D517" s="1789"/>
      <c r="E517" s="1789"/>
      <c r="F517" s="1789"/>
      <c r="G517" s="1789"/>
      <c r="H517" s="1790"/>
      <c r="I517" t="s">
        <v>428</v>
      </c>
      <c r="AC517" s="1795">
        <v>12</v>
      </c>
      <c r="AD517" s="1669"/>
      <c r="AE517" s="1669"/>
      <c r="AF517" s="1669"/>
      <c r="AG517" s="13" t="s">
        <v>420</v>
      </c>
      <c r="AH517" s="1520">
        <v>2021</v>
      </c>
      <c r="AI517" s="1520"/>
      <c r="AJ517" s="1520"/>
      <c r="AK517" s="1521"/>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88"/>
      <c r="C518" s="1789"/>
      <c r="D518" s="1789"/>
      <c r="E518" s="1789"/>
      <c r="F518" s="1789"/>
      <c r="G518" s="1789"/>
      <c r="H518" s="1790"/>
      <c r="I518" t="s">
        <v>429</v>
      </c>
      <c r="AC518" s="1795" t="s">
        <v>618</v>
      </c>
      <c r="AD518" s="1669"/>
      <c r="AE518" s="1669"/>
      <c r="AF518" s="1669"/>
      <c r="AG518" s="13" t="s">
        <v>420</v>
      </c>
      <c r="AH518" s="1520"/>
      <c r="AI518" s="1520"/>
      <c r="AJ518" s="1520"/>
      <c r="AK518" s="1521"/>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88"/>
      <c r="C519" s="1789"/>
      <c r="D519" s="1789"/>
      <c r="E519" s="1789"/>
      <c r="F519" s="1789"/>
      <c r="G519" s="1789"/>
      <c r="H519" s="1790"/>
      <c r="I519" s="3" t="s">
        <v>430</v>
      </c>
      <c r="AC519" s="1333">
        <v>4</v>
      </c>
      <c r="AD519" s="1334"/>
      <c r="AE519" s="1334"/>
      <c r="AF519" s="1334"/>
      <c r="AG519" s="13" t="s">
        <v>420</v>
      </c>
      <c r="AH519" s="1520">
        <v>2023</v>
      </c>
      <c r="AI519" s="1520"/>
      <c r="AJ519" s="1520"/>
      <c r="AK519" s="1521"/>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88"/>
      <c r="C520" s="1789"/>
      <c r="D520" s="1789"/>
      <c r="E520" s="1789"/>
      <c r="F520" s="1789"/>
      <c r="G520" s="1789"/>
      <c r="H520" s="1790"/>
      <c r="I520" s="936" t="s">
        <v>175</v>
      </c>
      <c r="J520" s="48"/>
      <c r="K520" s="48"/>
      <c r="L520" s="1836" t="s">
        <v>340</v>
      </c>
      <c r="M520" s="1807"/>
      <c r="N520" s="1807"/>
      <c r="O520" s="1807"/>
      <c r="P520" s="1807"/>
      <c r="Q520" s="1807"/>
      <c r="R520" s="1807"/>
      <c r="S520" s="1807"/>
      <c r="T520" s="1807"/>
      <c r="U520" s="1807"/>
      <c r="V520" s="1807"/>
      <c r="W520" s="1807"/>
      <c r="X520" s="1807"/>
      <c r="Y520" s="1807"/>
      <c r="Z520" s="1807"/>
      <c r="AA520" s="1807"/>
      <c r="AB520" s="1837"/>
      <c r="AC520" s="1795" t="s">
        <v>618</v>
      </c>
      <c r="AD520" s="1669"/>
      <c r="AE520" s="1669"/>
      <c r="AF520" s="1669"/>
      <c r="AG520" s="38" t="s">
        <v>420</v>
      </c>
      <c r="AH520" s="1520"/>
      <c r="AI520" s="1520"/>
      <c r="AJ520" s="1520"/>
      <c r="AK520" s="1521"/>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1886</v>
      </c>
      <c r="AC521" s="1796" t="s">
        <v>696</v>
      </c>
      <c r="AD521" s="1796"/>
      <c r="AE521" s="1796"/>
      <c r="AF521" s="1796"/>
      <c r="AG521" s="13"/>
      <c r="AH521" s="1281"/>
      <c r="AI521" s="1281"/>
      <c r="AJ521" s="1281"/>
      <c r="AK521" s="1854"/>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1883</v>
      </c>
      <c r="AC522" s="1333"/>
      <c r="AD522" s="1334"/>
      <c r="AE522" s="1334"/>
      <c r="AF522" s="1335"/>
      <c r="AG522" s="13"/>
      <c r="AH522" s="1281"/>
      <c r="AI522" s="1281"/>
      <c r="AJ522" s="1281"/>
      <c r="AK522" s="1854"/>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1884</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1885</v>
      </c>
      <c r="J524" s="48"/>
      <c r="K524" s="48"/>
      <c r="L524" s="48"/>
      <c r="M524" s="48"/>
      <c r="N524" s="48"/>
      <c r="O524" s="48"/>
      <c r="P524" s="48"/>
      <c r="Q524" s="48"/>
      <c r="R524" s="48"/>
      <c r="S524" s="48"/>
      <c r="T524" s="48"/>
      <c r="U524" s="48"/>
      <c r="V524" s="48"/>
      <c r="W524" s="48"/>
      <c r="X524" s="48"/>
      <c r="Y524" s="48"/>
      <c r="Z524" s="48"/>
      <c r="AA524" s="48"/>
      <c r="AB524" s="48"/>
      <c r="AC524" s="1855">
        <v>0.1</v>
      </c>
      <c r="AD524" s="1856"/>
      <c r="AE524" s="1856"/>
      <c r="AF524" s="1857"/>
      <c r="AG524" s="38"/>
      <c r="AH524" s="1858"/>
      <c r="AI524" s="1858"/>
      <c r="AJ524" s="1858"/>
      <c r="AK524" s="1859"/>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75" t="s">
        <v>419</v>
      </c>
      <c r="AD525" s="1716"/>
      <c r="AE525" s="1716"/>
      <c r="AF525" s="1716"/>
      <c r="AG525" s="38" t="s">
        <v>420</v>
      </c>
      <c r="AH525" s="1716" t="s">
        <v>421</v>
      </c>
      <c r="AI525" s="1716"/>
      <c r="AJ525" s="1716"/>
      <c r="AK525" s="1834"/>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85" t="s">
        <v>431</v>
      </c>
      <c r="C526" s="1786"/>
      <c r="D526" s="1786"/>
      <c r="E526" s="1786"/>
      <c r="F526" s="1786"/>
      <c r="G526" s="1786"/>
      <c r="H526" s="1787"/>
      <c r="I526" s="42" t="s">
        <v>432</v>
      </c>
      <c r="J526" s="42"/>
      <c r="K526" s="42"/>
      <c r="L526" s="42"/>
      <c r="M526" s="42"/>
      <c r="N526" s="42"/>
      <c r="O526" s="42"/>
      <c r="P526" s="42"/>
      <c r="Q526" s="42"/>
      <c r="R526" s="42"/>
      <c r="S526" s="42"/>
      <c r="T526" s="42"/>
      <c r="U526" s="42"/>
      <c r="V526" s="42"/>
      <c r="W526" s="42"/>
      <c r="AC526" s="1795">
        <v>8</v>
      </c>
      <c r="AD526" s="1669"/>
      <c r="AE526" s="1669"/>
      <c r="AF526" s="1669"/>
      <c r="AG526" s="13" t="s">
        <v>420</v>
      </c>
      <c r="AH526" s="1520">
        <v>2022</v>
      </c>
      <c r="AI526" s="1520"/>
      <c r="AJ526" s="1520"/>
      <c r="AK526" s="1521"/>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88"/>
      <c r="C527" s="1789"/>
      <c r="D527" s="1789"/>
      <c r="E527" s="1789"/>
      <c r="F527" s="1789"/>
      <c r="G527" s="1789"/>
      <c r="H527" s="1790"/>
      <c r="I527" t="s">
        <v>433</v>
      </c>
      <c r="AC527" s="1795">
        <v>8</v>
      </c>
      <c r="AD527" s="1669"/>
      <c r="AE527" s="1669"/>
      <c r="AF527" s="1669"/>
      <c r="AG527" s="13" t="s">
        <v>420</v>
      </c>
      <c r="AH527" s="1520">
        <v>2022</v>
      </c>
      <c r="AI527" s="1520"/>
      <c r="AJ527" s="1520"/>
      <c r="AK527" s="1521"/>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88"/>
      <c r="C528" s="1789"/>
      <c r="D528" s="1789"/>
      <c r="E528" s="1789"/>
      <c r="F528" s="1789"/>
      <c r="G528" s="1789"/>
      <c r="H528" s="1790"/>
      <c r="I528" s="48" t="s">
        <v>434</v>
      </c>
      <c r="J528" s="48"/>
      <c r="K528" s="48"/>
      <c r="L528" s="48"/>
      <c r="M528" s="48"/>
      <c r="N528" s="48"/>
      <c r="O528" s="48"/>
      <c r="P528" s="48"/>
      <c r="Q528" s="48"/>
      <c r="R528" s="48"/>
      <c r="S528" s="48"/>
      <c r="T528" s="48"/>
      <c r="U528" s="48"/>
      <c r="V528" s="48"/>
      <c r="W528" s="48"/>
      <c r="X528" s="48"/>
      <c r="Y528" s="48"/>
      <c r="Z528" s="48"/>
      <c r="AA528" s="48"/>
      <c r="AB528" s="48"/>
      <c r="AC528" s="1795">
        <v>4</v>
      </c>
      <c r="AD528" s="1669"/>
      <c r="AE528" s="1669"/>
      <c r="AF528" s="1669"/>
      <c r="AG528" s="38" t="s">
        <v>420</v>
      </c>
      <c r="AH528" s="1520">
        <v>2023</v>
      </c>
      <c r="AI528" s="1520"/>
      <c r="AJ528" s="1520"/>
      <c r="AK528" s="1521"/>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85" t="s">
        <v>435</v>
      </c>
      <c r="C529" s="1786"/>
      <c r="D529" s="1786"/>
      <c r="E529" s="1786"/>
      <c r="F529" s="1786"/>
      <c r="G529" s="1786"/>
      <c r="H529" s="1787"/>
      <c r="I529" s="42" t="s">
        <v>432</v>
      </c>
      <c r="J529" s="42"/>
      <c r="K529" s="42"/>
      <c r="L529" s="42"/>
      <c r="M529" s="42"/>
      <c r="N529" s="42"/>
      <c r="O529" s="42"/>
      <c r="P529" s="42"/>
      <c r="Q529" s="42"/>
      <c r="R529" s="42"/>
      <c r="S529" s="42"/>
      <c r="T529" s="42"/>
      <c r="U529" s="42"/>
      <c r="V529" s="42"/>
      <c r="W529" s="42"/>
      <c r="X529" s="42"/>
      <c r="Y529" s="42"/>
      <c r="Z529" s="42"/>
      <c r="AA529" s="42"/>
      <c r="AB529" s="42"/>
      <c r="AC529" s="1333">
        <v>8</v>
      </c>
      <c r="AD529" s="1334"/>
      <c r="AE529" s="1334"/>
      <c r="AF529" s="1334"/>
      <c r="AG529" s="129" t="s">
        <v>420</v>
      </c>
      <c r="AH529" s="1520">
        <v>2022</v>
      </c>
      <c r="AI529" s="1520"/>
      <c r="AJ529" s="1520"/>
      <c r="AK529" s="1521"/>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88"/>
      <c r="C530" s="1789"/>
      <c r="D530" s="1789"/>
      <c r="E530" s="1789"/>
      <c r="F530" s="1789"/>
      <c r="G530" s="1789"/>
      <c r="H530" s="1790"/>
      <c r="I530" t="s">
        <v>433</v>
      </c>
      <c r="AC530" s="1795">
        <v>8</v>
      </c>
      <c r="AD530" s="1669"/>
      <c r="AE530" s="1669"/>
      <c r="AF530" s="1669"/>
      <c r="AG530" s="13" t="s">
        <v>420</v>
      </c>
      <c r="AH530" s="1520">
        <v>2022</v>
      </c>
      <c r="AI530" s="1520"/>
      <c r="AJ530" s="1520"/>
      <c r="AK530" s="1521"/>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91"/>
      <c r="C531" s="1792"/>
      <c r="D531" s="1792"/>
      <c r="E531" s="1792"/>
      <c r="F531" s="1792"/>
      <c r="G531" s="1792"/>
      <c r="H531" s="1793"/>
      <c r="I531" s="48" t="s">
        <v>434</v>
      </c>
      <c r="J531" s="48"/>
      <c r="K531" s="48"/>
      <c r="L531" s="48"/>
      <c r="M531" s="48"/>
      <c r="N531" s="48"/>
      <c r="O531" s="48"/>
      <c r="P531" s="48"/>
      <c r="Q531" s="48"/>
      <c r="R531" s="48"/>
      <c r="S531" s="48"/>
      <c r="T531" s="48"/>
      <c r="U531" s="48"/>
      <c r="V531" s="48"/>
      <c r="W531" s="48"/>
      <c r="X531" s="48"/>
      <c r="Y531" s="48"/>
      <c r="Z531" s="48"/>
      <c r="AA531" s="48"/>
      <c r="AB531" s="48"/>
      <c r="AC531" s="1795">
        <v>4</v>
      </c>
      <c r="AD531" s="1669"/>
      <c r="AE531" s="1669"/>
      <c r="AF531" s="1669"/>
      <c r="AG531" s="38" t="s">
        <v>420</v>
      </c>
      <c r="AH531" s="1520">
        <v>2023</v>
      </c>
      <c r="AI531" s="1520"/>
      <c r="AJ531" s="1520"/>
      <c r="AK531" s="1521"/>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85" t="s">
        <v>436</v>
      </c>
      <c r="C532" s="1786"/>
      <c r="D532" s="1786"/>
      <c r="E532" s="1786"/>
      <c r="F532" s="1786"/>
      <c r="G532" s="1786"/>
      <c r="H532" s="1787"/>
      <c r="I532" s="41" t="s">
        <v>437</v>
      </c>
      <c r="J532" s="42"/>
      <c r="K532" s="42"/>
      <c r="L532" s="42"/>
      <c r="M532" s="42"/>
      <c r="N532" s="42"/>
      <c r="O532" s="1413" t="s">
        <v>2680</v>
      </c>
      <c r="P532" s="1352"/>
      <c r="Q532" s="1352"/>
      <c r="R532" s="1352"/>
      <c r="S532" s="1352"/>
      <c r="T532" s="1352"/>
      <c r="U532" s="1352"/>
      <c r="V532" s="1352"/>
      <c r="W532" s="1352"/>
      <c r="X532" s="1352"/>
      <c r="Y532" s="1352"/>
      <c r="Z532" s="1352"/>
      <c r="AA532" s="1352"/>
      <c r="AB532" s="58"/>
      <c r="AC532" s="1333" t="s">
        <v>618</v>
      </c>
      <c r="AD532" s="1334"/>
      <c r="AE532" s="1334"/>
      <c r="AF532" s="1334"/>
      <c r="AG532" s="129" t="s">
        <v>420</v>
      </c>
      <c r="AH532" s="1520"/>
      <c r="AI532" s="1520"/>
      <c r="AJ532" s="1520"/>
      <c r="AK532" s="1521"/>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88"/>
      <c r="C533" s="1789"/>
      <c r="D533" s="1789"/>
      <c r="E533" s="1789"/>
      <c r="F533" s="1789"/>
      <c r="G533" s="1789"/>
      <c r="H533" s="1790"/>
      <c r="I533" s="114" t="s">
        <v>438</v>
      </c>
      <c r="AB533" s="65"/>
      <c r="AC533" s="1795">
        <v>10</v>
      </c>
      <c r="AD533" s="1669"/>
      <c r="AE533" s="1669"/>
      <c r="AF533" s="1669"/>
      <c r="AG533" s="13" t="s">
        <v>420</v>
      </c>
      <c r="AH533" s="1520">
        <v>2021</v>
      </c>
      <c r="AI533" s="1520"/>
      <c r="AJ533" s="1520"/>
      <c r="AK533" s="1521"/>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88"/>
      <c r="C534" s="1789"/>
      <c r="D534" s="1789"/>
      <c r="E534" s="1789"/>
      <c r="F534" s="1789"/>
      <c r="G534" s="1789"/>
      <c r="H534" s="1790"/>
      <c r="I534" s="47" t="s">
        <v>439</v>
      </c>
      <c r="J534" s="48"/>
      <c r="K534" s="48"/>
      <c r="L534" s="48"/>
      <c r="M534" s="48"/>
      <c r="N534" s="48"/>
      <c r="O534" s="48"/>
      <c r="P534" s="48"/>
      <c r="Q534" s="48"/>
      <c r="R534" s="48"/>
      <c r="S534" s="48"/>
      <c r="T534" s="48"/>
      <c r="U534" s="48"/>
      <c r="V534" s="48"/>
      <c r="W534" s="48"/>
      <c r="X534" s="48"/>
      <c r="Y534" s="48"/>
      <c r="Z534" s="48"/>
      <c r="AA534" s="48"/>
      <c r="AB534" s="49"/>
      <c r="AC534" s="1795">
        <v>1</v>
      </c>
      <c r="AD534" s="1669"/>
      <c r="AE534" s="1669"/>
      <c r="AF534" s="1669"/>
      <c r="AG534" s="38" t="s">
        <v>420</v>
      </c>
      <c r="AH534" s="1520">
        <v>2022</v>
      </c>
      <c r="AI534" s="1520"/>
      <c r="AJ534" s="1520"/>
      <c r="AK534" s="1521"/>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88"/>
      <c r="C535" s="1789"/>
      <c r="D535" s="1789"/>
      <c r="E535" s="1789"/>
      <c r="F535" s="1789"/>
      <c r="G535" s="1789"/>
      <c r="H535" s="1790"/>
      <c r="I535" s="42" t="s">
        <v>440</v>
      </c>
      <c r="J535" s="42"/>
      <c r="K535" s="42"/>
      <c r="L535" s="42"/>
      <c r="M535" s="42"/>
      <c r="N535" s="42"/>
      <c r="O535" s="1615" t="s">
        <v>2681</v>
      </c>
      <c r="P535" s="1382"/>
      <c r="Q535" s="1382"/>
      <c r="R535" s="1382"/>
      <c r="S535" s="1382"/>
      <c r="T535" s="1382"/>
      <c r="U535" s="1382"/>
      <c r="V535" s="1382"/>
      <c r="W535" s="1382"/>
      <c r="X535" s="1382"/>
      <c r="Y535" s="1382"/>
      <c r="Z535" s="1382"/>
      <c r="AA535" s="1382"/>
      <c r="AC535" s="1795" t="s">
        <v>618</v>
      </c>
      <c r="AD535" s="1669"/>
      <c r="AE535" s="1669"/>
      <c r="AF535" s="1669"/>
      <c r="AG535" s="13" t="s">
        <v>420</v>
      </c>
      <c r="AH535" s="1520"/>
      <c r="AI535" s="1520"/>
      <c r="AJ535" s="1520"/>
      <c r="AK535" s="1521"/>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88"/>
      <c r="C536" s="1789"/>
      <c r="D536" s="1789"/>
      <c r="E536" s="1789"/>
      <c r="F536" s="1789"/>
      <c r="G536" s="1789"/>
      <c r="H536" s="1790"/>
      <c r="I536" t="s">
        <v>438</v>
      </c>
      <c r="AC536" s="1795">
        <v>10</v>
      </c>
      <c r="AD536" s="1669"/>
      <c r="AE536" s="1669"/>
      <c r="AF536" s="1669"/>
      <c r="AG536" s="13" t="s">
        <v>420</v>
      </c>
      <c r="AH536" s="1520">
        <v>2021</v>
      </c>
      <c r="AI536" s="1520"/>
      <c r="AJ536" s="1520"/>
      <c r="AK536" s="1521"/>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88"/>
      <c r="C537" s="1789"/>
      <c r="D537" s="1789"/>
      <c r="E537" s="1789"/>
      <c r="F537" s="1789"/>
      <c r="G537" s="1789"/>
      <c r="H537" s="1790"/>
      <c r="I537" s="48" t="s">
        <v>439</v>
      </c>
      <c r="J537" s="48"/>
      <c r="K537" s="48"/>
      <c r="L537" s="48"/>
      <c r="M537" s="48"/>
      <c r="N537" s="48"/>
      <c r="O537" s="48"/>
      <c r="P537" s="48"/>
      <c r="Q537" s="48"/>
      <c r="R537" s="48"/>
      <c r="S537" s="48"/>
      <c r="T537" s="48"/>
      <c r="U537" s="48"/>
      <c r="V537" s="48"/>
      <c r="W537" s="48"/>
      <c r="X537" s="48"/>
      <c r="Y537" s="48"/>
      <c r="Z537" s="48"/>
      <c r="AA537" s="48"/>
      <c r="AB537" s="48"/>
      <c r="AC537" s="1795">
        <v>1</v>
      </c>
      <c r="AD537" s="1669"/>
      <c r="AE537" s="1669"/>
      <c r="AF537" s="1669"/>
      <c r="AG537" s="38" t="s">
        <v>420</v>
      </c>
      <c r="AH537" s="1520">
        <v>2022</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88"/>
      <c r="C538" s="1789"/>
      <c r="D538" s="1789"/>
      <c r="E538" s="1789"/>
      <c r="F538" s="1789"/>
      <c r="G538" s="1789"/>
      <c r="H538" s="1790"/>
      <c r="I538" s="42" t="s">
        <v>440</v>
      </c>
      <c r="J538" s="42"/>
      <c r="K538" s="42"/>
      <c r="L538" s="42"/>
      <c r="M538" s="42"/>
      <c r="N538" s="42"/>
      <c r="O538" s="1615" t="s">
        <v>2682</v>
      </c>
      <c r="P538" s="1382"/>
      <c r="Q538" s="1382"/>
      <c r="R538" s="1382"/>
      <c r="S538" s="1382"/>
      <c r="T538" s="1382"/>
      <c r="U538" s="1382"/>
      <c r="V538" s="1382"/>
      <c r="W538" s="1382"/>
      <c r="X538" s="1382"/>
      <c r="Y538" s="1382"/>
      <c r="Z538" s="1382"/>
      <c r="AA538" s="1382"/>
      <c r="AC538" s="1795" t="s">
        <v>618</v>
      </c>
      <c r="AD538" s="1669"/>
      <c r="AE538" s="1669"/>
      <c r="AF538" s="1669"/>
      <c r="AG538" s="13" t="s">
        <v>420</v>
      </c>
      <c r="AH538" s="1520"/>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88"/>
      <c r="C539" s="1789"/>
      <c r="D539" s="1789"/>
      <c r="E539" s="1789"/>
      <c r="F539" s="1789"/>
      <c r="G539" s="1789"/>
      <c r="H539" s="1790"/>
      <c r="I539" t="s">
        <v>438</v>
      </c>
      <c r="AC539" s="1795">
        <v>10</v>
      </c>
      <c r="AD539" s="1669"/>
      <c r="AE539" s="1669"/>
      <c r="AF539" s="1669"/>
      <c r="AG539" s="13" t="s">
        <v>420</v>
      </c>
      <c r="AH539" s="1520">
        <v>2021</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88"/>
      <c r="C540" s="1789"/>
      <c r="D540" s="1789"/>
      <c r="E540" s="1789"/>
      <c r="F540" s="1789"/>
      <c r="G540" s="1789"/>
      <c r="H540" s="1790"/>
      <c r="I540" s="48" t="s">
        <v>439</v>
      </c>
      <c r="J540" s="48"/>
      <c r="K540" s="48"/>
      <c r="L540" s="48"/>
      <c r="M540" s="48"/>
      <c r="N540" s="48"/>
      <c r="O540" s="48"/>
      <c r="P540" s="48"/>
      <c r="Q540" s="48"/>
      <c r="R540" s="48"/>
      <c r="S540" s="48"/>
      <c r="T540" s="48"/>
      <c r="U540" s="48"/>
      <c r="V540" s="48"/>
      <c r="W540" s="48"/>
      <c r="X540" s="48"/>
      <c r="Y540" s="48"/>
      <c r="Z540" s="48"/>
      <c r="AA540" s="48"/>
      <c r="AB540" s="48"/>
      <c r="AC540" s="1795">
        <v>1</v>
      </c>
      <c r="AD540" s="1669"/>
      <c r="AE540" s="1669"/>
      <c r="AF540" s="1669"/>
      <c r="AG540" s="38" t="s">
        <v>420</v>
      </c>
      <c r="AH540" s="1520">
        <v>2022</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88"/>
      <c r="C541" s="1789"/>
      <c r="D541" s="1789"/>
      <c r="E541" s="1789"/>
      <c r="F541" s="1789"/>
      <c r="G541" s="1789"/>
      <c r="H541" s="1790"/>
      <c r="I541" s="42" t="s">
        <v>440</v>
      </c>
      <c r="J541" s="42"/>
      <c r="K541" s="42"/>
      <c r="L541" s="42"/>
      <c r="M541" s="42"/>
      <c r="N541" s="42"/>
      <c r="O541" s="1382" t="s">
        <v>340</v>
      </c>
      <c r="P541" s="1382"/>
      <c r="Q541" s="1382"/>
      <c r="R541" s="1382"/>
      <c r="S541" s="1382"/>
      <c r="T541" s="1382"/>
      <c r="U541" s="1382"/>
      <c r="V541" s="1382"/>
      <c r="W541" s="1382"/>
      <c r="X541" s="1382"/>
      <c r="Y541" s="1382"/>
      <c r="Z541" s="1382"/>
      <c r="AA541" s="1382"/>
      <c r="AC541" s="1795" t="s">
        <v>618</v>
      </c>
      <c r="AD541" s="1669"/>
      <c r="AE541" s="1669"/>
      <c r="AF541" s="1669"/>
      <c r="AG541" s="13" t="s">
        <v>420</v>
      </c>
      <c r="AH541" s="1520"/>
      <c r="AI541" s="1520"/>
      <c r="AJ541" s="1520"/>
      <c r="AK541" s="1521"/>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88"/>
      <c r="C542" s="1789"/>
      <c r="D542" s="1789"/>
      <c r="E542" s="1789"/>
      <c r="F542" s="1789"/>
      <c r="G542" s="1789"/>
      <c r="H542" s="1790"/>
      <c r="I542" t="s">
        <v>438</v>
      </c>
      <c r="AC542" s="1795" t="s">
        <v>618</v>
      </c>
      <c r="AD542" s="1669"/>
      <c r="AE542" s="1669"/>
      <c r="AF542" s="1669"/>
      <c r="AG542" s="13" t="s">
        <v>420</v>
      </c>
      <c r="AH542" s="1520"/>
      <c r="AI542" s="1520"/>
      <c r="AJ542" s="1520"/>
      <c r="AK542" s="1521"/>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88"/>
      <c r="C543" s="1789"/>
      <c r="D543" s="1789"/>
      <c r="E543" s="1789"/>
      <c r="F543" s="1789"/>
      <c r="G543" s="1789"/>
      <c r="H543" s="1790"/>
      <c r="I543" s="48" t="s">
        <v>439</v>
      </c>
      <c r="J543" s="48"/>
      <c r="K543" s="48"/>
      <c r="L543" s="48"/>
      <c r="M543" s="48"/>
      <c r="N543" s="48"/>
      <c r="O543" s="48"/>
      <c r="P543" s="48"/>
      <c r="Q543" s="48"/>
      <c r="R543" s="48"/>
      <c r="S543" s="48"/>
      <c r="T543" s="48"/>
      <c r="U543" s="48"/>
      <c r="V543" s="48"/>
      <c r="W543" s="48"/>
      <c r="X543" s="48"/>
      <c r="Y543" s="48"/>
      <c r="Z543" s="48"/>
      <c r="AA543" s="48"/>
      <c r="AB543" s="48"/>
      <c r="AC543" s="1795" t="s">
        <v>618</v>
      </c>
      <c r="AD543" s="1669"/>
      <c r="AE543" s="1669"/>
      <c r="AF543" s="1669"/>
      <c r="AG543" s="38" t="s">
        <v>420</v>
      </c>
      <c r="AH543" s="1520"/>
      <c r="AI543" s="1520"/>
      <c r="AJ543" s="1520"/>
      <c r="AK543" s="1521"/>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88"/>
      <c r="C544" s="1789"/>
      <c r="D544" s="1789"/>
      <c r="E544" s="1789"/>
      <c r="F544" s="1789"/>
      <c r="G544" s="1789"/>
      <c r="H544" s="1790"/>
      <c r="I544" s="42" t="s">
        <v>440</v>
      </c>
      <c r="J544" s="42"/>
      <c r="K544" s="42"/>
      <c r="L544" s="42"/>
      <c r="M544" s="42"/>
      <c r="N544" s="42"/>
      <c r="O544" s="1382" t="s">
        <v>340</v>
      </c>
      <c r="P544" s="1382"/>
      <c r="Q544" s="1382"/>
      <c r="R544" s="1382"/>
      <c r="S544" s="1382"/>
      <c r="T544" s="1382"/>
      <c r="U544" s="1382"/>
      <c r="V544" s="1382"/>
      <c r="W544" s="1382"/>
      <c r="X544" s="1382"/>
      <c r="Y544" s="1382"/>
      <c r="Z544" s="1382"/>
      <c r="AA544" s="1382"/>
      <c r="AC544" s="1795" t="s">
        <v>618</v>
      </c>
      <c r="AD544" s="1669"/>
      <c r="AE544" s="1669"/>
      <c r="AF544" s="1669"/>
      <c r="AG544" s="13" t="s">
        <v>420</v>
      </c>
      <c r="AH544" s="1520"/>
      <c r="AI544" s="1520"/>
      <c r="AJ544" s="1520"/>
      <c r="AK544" s="1521"/>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88"/>
      <c r="C545" s="1789"/>
      <c r="D545" s="1789"/>
      <c r="E545" s="1789"/>
      <c r="F545" s="1789"/>
      <c r="G545" s="1789"/>
      <c r="H545" s="1790"/>
      <c r="I545" t="s">
        <v>438</v>
      </c>
      <c r="AC545" s="1795" t="s">
        <v>618</v>
      </c>
      <c r="AD545" s="1669"/>
      <c r="AE545" s="1669"/>
      <c r="AF545" s="1669"/>
      <c r="AG545" s="38" t="s">
        <v>420</v>
      </c>
      <c r="AH545" s="1520"/>
      <c r="AI545" s="1520"/>
      <c r="AJ545" s="1520"/>
      <c r="AK545" s="1521"/>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88"/>
      <c r="C546" s="1789"/>
      <c r="D546" s="1789"/>
      <c r="E546" s="1789"/>
      <c r="F546" s="1789"/>
      <c r="G546" s="1789"/>
      <c r="H546" s="1790"/>
      <c r="I546" s="48" t="s">
        <v>439</v>
      </c>
      <c r="J546" s="48"/>
      <c r="K546" s="48"/>
      <c r="L546" s="48"/>
      <c r="M546" s="48"/>
      <c r="N546" s="48"/>
      <c r="O546" s="48"/>
      <c r="P546" s="48"/>
      <c r="Q546" s="48"/>
      <c r="R546" s="48"/>
      <c r="S546" s="48"/>
      <c r="T546" s="48"/>
      <c r="U546" s="48"/>
      <c r="V546" s="48"/>
      <c r="W546" s="48"/>
      <c r="X546" s="48"/>
      <c r="Y546" s="48"/>
      <c r="Z546" s="48"/>
      <c r="AA546" s="48"/>
      <c r="AB546" s="48"/>
      <c r="AC546" s="1795" t="s">
        <v>618</v>
      </c>
      <c r="AD546" s="1669"/>
      <c r="AE546" s="1669"/>
      <c r="AF546" s="1669"/>
      <c r="AG546" s="13" t="s">
        <v>420</v>
      </c>
      <c r="AH546" s="1520"/>
      <c r="AI546" s="1520"/>
      <c r="AJ546" s="1520"/>
      <c r="AK546" s="1521"/>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88"/>
      <c r="C547" s="1789"/>
      <c r="D547" s="1789"/>
      <c r="E547" s="1789"/>
      <c r="F547" s="1789"/>
      <c r="G547" s="1789"/>
      <c r="H547" s="1790"/>
      <c r="I547" s="42" t="s">
        <v>440</v>
      </c>
      <c r="J547" s="42"/>
      <c r="K547" s="42"/>
      <c r="L547" s="42"/>
      <c r="M547" s="42"/>
      <c r="N547" s="42"/>
      <c r="O547" s="1382" t="s">
        <v>340</v>
      </c>
      <c r="P547" s="1382"/>
      <c r="Q547" s="1382"/>
      <c r="R547" s="1382"/>
      <c r="S547" s="1382"/>
      <c r="T547" s="1382"/>
      <c r="U547" s="1382"/>
      <c r="V547" s="1382"/>
      <c r="W547" s="1382"/>
      <c r="X547" s="1382"/>
      <c r="Y547" s="1382"/>
      <c r="Z547" s="1382"/>
      <c r="AA547" s="1382"/>
      <c r="AC547" s="1795" t="s">
        <v>618</v>
      </c>
      <c r="AD547" s="1669"/>
      <c r="AE547" s="1669"/>
      <c r="AF547" s="1669"/>
      <c r="AG547" s="38" t="s">
        <v>420</v>
      </c>
      <c r="AH547" s="1520"/>
      <c r="AI547" s="1520"/>
      <c r="AJ547" s="1520"/>
      <c r="AK547" s="1521"/>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88"/>
      <c r="C548" s="1789"/>
      <c r="D548" s="1789"/>
      <c r="E548" s="1789"/>
      <c r="F548" s="1789"/>
      <c r="G548" s="1789"/>
      <c r="H548" s="1790"/>
      <c r="I548" t="s">
        <v>438</v>
      </c>
      <c r="AC548" s="1795" t="s">
        <v>618</v>
      </c>
      <c r="AD548" s="1669"/>
      <c r="AE548" s="1669"/>
      <c r="AF548" s="1669"/>
      <c r="AG548" s="13" t="s">
        <v>420</v>
      </c>
      <c r="AH548" s="1520"/>
      <c r="AI548" s="1520"/>
      <c r="AJ548" s="1520"/>
      <c r="AK548" s="1521"/>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88"/>
      <c r="C549" s="1789"/>
      <c r="D549" s="1789"/>
      <c r="E549" s="1789"/>
      <c r="F549" s="1789"/>
      <c r="G549" s="1789"/>
      <c r="H549" s="1790"/>
      <c r="I549" s="48" t="s">
        <v>439</v>
      </c>
      <c r="J549" s="48"/>
      <c r="K549" s="48"/>
      <c r="L549" s="48"/>
      <c r="M549" s="48"/>
      <c r="N549" s="48"/>
      <c r="O549" s="48"/>
      <c r="P549" s="48"/>
      <c r="Q549" s="48"/>
      <c r="R549" s="48"/>
      <c r="S549" s="48"/>
      <c r="T549" s="48"/>
      <c r="U549" s="48"/>
      <c r="V549" s="48"/>
      <c r="W549" s="48"/>
      <c r="X549" s="48"/>
      <c r="Y549" s="48"/>
      <c r="Z549" s="48"/>
      <c r="AA549" s="48"/>
      <c r="AB549" s="48"/>
      <c r="AC549" s="1795" t="s">
        <v>618</v>
      </c>
      <c r="AD549" s="1669"/>
      <c r="AE549" s="1669"/>
      <c r="AF549" s="1669"/>
      <c r="AG549" s="38" t="s">
        <v>420</v>
      </c>
      <c r="AH549" s="1520"/>
      <c r="AI549" s="1520"/>
      <c r="AJ549" s="1520"/>
      <c r="AK549" s="1521"/>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88"/>
      <c r="C550" s="1789"/>
      <c r="D550" s="1789"/>
      <c r="E550" s="1789"/>
      <c r="F550" s="1789"/>
      <c r="G550" s="1789"/>
      <c r="H550" s="1790"/>
      <c r="I550" s="42" t="s">
        <v>588</v>
      </c>
      <c r="J550" s="42"/>
      <c r="K550" s="42"/>
      <c r="L550" s="42"/>
      <c r="M550" s="42"/>
      <c r="N550" s="42"/>
      <c r="O550" s="42"/>
      <c r="P550" s="42"/>
      <c r="Q550" s="42"/>
      <c r="R550" s="42"/>
      <c r="S550" s="42"/>
      <c r="T550" s="42"/>
      <c r="U550" s="42"/>
      <c r="V550" s="42"/>
      <c r="W550" s="42"/>
      <c r="AC550" s="1795">
        <v>11</v>
      </c>
      <c r="AD550" s="1669"/>
      <c r="AE550" s="1669"/>
      <c r="AF550" s="1669"/>
      <c r="AG550" s="38" t="s">
        <v>420</v>
      </c>
      <c r="AH550" s="1520">
        <v>2023</v>
      </c>
      <c r="AI550" s="1520"/>
      <c r="AJ550" s="1520"/>
      <c r="AK550" s="1521"/>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88"/>
      <c r="C551" s="1789"/>
      <c r="D551" s="1789"/>
      <c r="E551" s="1789"/>
      <c r="F551" s="1789"/>
      <c r="G551" s="1789"/>
      <c r="H551" s="1790"/>
      <c r="I551" t="s">
        <v>589</v>
      </c>
      <c r="AC551" s="1795">
        <v>5</v>
      </c>
      <c r="AD551" s="1669"/>
      <c r="AE551" s="1669"/>
      <c r="AF551" s="1669"/>
      <c r="AG551" s="13" t="s">
        <v>420</v>
      </c>
      <c r="AH551" s="1520">
        <v>2023</v>
      </c>
      <c r="AI551" s="1520"/>
      <c r="AJ551" s="1520"/>
      <c r="AK551" s="1521"/>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88"/>
      <c r="C552" s="1789"/>
      <c r="D552" s="1789"/>
      <c r="E552" s="1789"/>
      <c r="F552" s="1789"/>
      <c r="G552" s="1789"/>
      <c r="H552" s="1790"/>
      <c r="I552" t="s">
        <v>590</v>
      </c>
      <c r="AC552" s="1795">
        <v>11</v>
      </c>
      <c r="AD552" s="1669"/>
      <c r="AE552" s="1669"/>
      <c r="AF552" s="1669"/>
      <c r="AG552" s="38" t="s">
        <v>420</v>
      </c>
      <c r="AH552" s="1520">
        <v>2024</v>
      </c>
      <c r="AI552" s="1520"/>
      <c r="AJ552" s="1520"/>
      <c r="AK552" s="1521"/>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88"/>
      <c r="C553" s="1789"/>
      <c r="D553" s="1789"/>
      <c r="E553" s="1789"/>
      <c r="F553" s="1789"/>
      <c r="G553" s="1789"/>
      <c r="H553" s="1790"/>
      <c r="I553" t="s">
        <v>591</v>
      </c>
      <c r="AC553" s="1795">
        <v>11</v>
      </c>
      <c r="AD553" s="1669"/>
      <c r="AE553" s="1669"/>
      <c r="AF553" s="1669"/>
      <c r="AG553" s="38" t="s">
        <v>420</v>
      </c>
      <c r="AH553" s="1520">
        <v>2024</v>
      </c>
      <c r="AI553" s="1520"/>
      <c r="AJ553" s="1520"/>
      <c r="AK553" s="1521"/>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91"/>
      <c r="C554" s="1792"/>
      <c r="D554" s="1792"/>
      <c r="E554" s="1792"/>
      <c r="F554" s="1792"/>
      <c r="G554" s="1792"/>
      <c r="H554" s="1793"/>
      <c r="I554" s="48" t="s">
        <v>476</v>
      </c>
      <c r="J554" s="48"/>
      <c r="K554" s="48"/>
      <c r="L554" s="48"/>
      <c r="M554" s="48"/>
      <c r="N554" s="48"/>
      <c r="O554" s="48"/>
      <c r="P554" s="48"/>
      <c r="Q554" s="48"/>
      <c r="R554" s="48"/>
      <c r="S554" s="48"/>
      <c r="T554" s="48"/>
      <c r="U554" s="48"/>
      <c r="V554" s="48"/>
      <c r="W554" s="48"/>
      <c r="X554" s="48"/>
      <c r="Y554" s="48"/>
      <c r="Z554" s="48"/>
      <c r="AA554" s="48"/>
      <c r="AB554" s="48"/>
      <c r="AC554" s="1795">
        <v>8</v>
      </c>
      <c r="AD554" s="1669"/>
      <c r="AE554" s="1669"/>
      <c r="AF554" s="1669"/>
      <c r="AG554" s="38" t="s">
        <v>420</v>
      </c>
      <c r="AH554" s="1520">
        <v>2025</v>
      </c>
      <c r="AI554" s="1520"/>
      <c r="AJ554" s="1520"/>
      <c r="AK554" s="1521"/>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4" t="s">
        <v>569</v>
      </c>
      <c r="B556" s="1244"/>
      <c r="C556" s="1244"/>
      <c r="D556" s="1244"/>
      <c r="E556" s="1244"/>
      <c r="F556" s="1244"/>
      <c r="G556" s="1244"/>
      <c r="H556" s="1244"/>
      <c r="I556" s="1244"/>
      <c r="J556" s="1244"/>
      <c r="K556" s="1244"/>
      <c r="L556" s="1244"/>
      <c r="M556" s="1244"/>
      <c r="N556" s="1244"/>
      <c r="O556" s="1244"/>
      <c r="P556" s="1244"/>
      <c r="Q556" s="1244"/>
      <c r="R556" s="1244"/>
      <c r="S556" s="1244"/>
      <c r="T556" s="1244"/>
      <c r="U556" s="1244"/>
      <c r="V556" s="1244"/>
      <c r="W556" s="1244"/>
      <c r="X556" s="1244"/>
      <c r="Y556" s="1244"/>
      <c r="Z556" s="1244"/>
      <c r="AA556" s="1244"/>
      <c r="AB556" s="1244"/>
      <c r="AC556" s="1244"/>
      <c r="AD556" s="1244"/>
      <c r="AE556" s="1244"/>
      <c r="AF556" s="1244"/>
      <c r="AG556" s="1244"/>
      <c r="AH556" s="1244"/>
      <c r="AI556" s="1244"/>
      <c r="AJ556" s="1244"/>
      <c r="AK556" s="1244"/>
      <c r="AL556" s="1244"/>
      <c r="AM556" s="1244"/>
      <c r="AN556" s="1244"/>
      <c r="AO556" s="1244"/>
      <c r="AP556" s="1244"/>
      <c r="AQ556" s="1244"/>
      <c r="AR556" s="1244"/>
      <c r="AS556" s="1244"/>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4"/>
      <c r="B557" s="1244"/>
      <c r="C557" s="1244"/>
      <c r="D557" s="1244"/>
      <c r="E557" s="1244"/>
      <c r="F557" s="1244"/>
      <c r="G557" s="1244"/>
      <c r="H557" s="1244"/>
      <c r="I557" s="1244"/>
      <c r="J557" s="1244"/>
      <c r="K557" s="1244"/>
      <c r="L557" s="1244"/>
      <c r="M557" s="1244"/>
      <c r="N557" s="1244"/>
      <c r="O557" s="1244"/>
      <c r="P557" s="1244"/>
      <c r="Q557" s="1244"/>
      <c r="R557" s="1244"/>
      <c r="S557" s="1244"/>
      <c r="T557" s="1244"/>
      <c r="U557" s="1244"/>
      <c r="V557" s="1244"/>
      <c r="W557" s="1244"/>
      <c r="X557" s="1244"/>
      <c r="Y557" s="1244"/>
      <c r="Z557" s="1244"/>
      <c r="AA557" s="1244"/>
      <c r="AB557" s="1244"/>
      <c r="AC557" s="1244"/>
      <c r="AD557" s="1244"/>
      <c r="AE557" s="1244"/>
      <c r="AF557" s="1244"/>
      <c r="AG557" s="1244"/>
      <c r="AH557" s="1244"/>
      <c r="AI557" s="1244"/>
      <c r="AJ557" s="1244"/>
      <c r="AK557" s="1244"/>
      <c r="AL557" s="1244"/>
      <c r="AM557" s="1244"/>
      <c r="AN557" s="1244"/>
      <c r="AO557" s="1244"/>
      <c r="AP557" s="1244"/>
      <c r="AQ557" s="1244"/>
      <c r="AR557" s="1244"/>
      <c r="AS557" s="1244"/>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20" t="s">
        <v>478</v>
      </c>
      <c r="C563" s="1396"/>
      <c r="D563" s="1396"/>
      <c r="E563" s="1396"/>
      <c r="F563" s="1396"/>
      <c r="G563" s="1396"/>
      <c r="H563" s="1396"/>
      <c r="I563" s="1396"/>
      <c r="J563" s="1396"/>
      <c r="K563" s="1396"/>
      <c r="L563" s="1396"/>
      <c r="M563" s="1396"/>
      <c r="N563" s="1396"/>
      <c r="O563" s="1396"/>
      <c r="P563" s="1397"/>
      <c r="Q563" s="1820" t="s">
        <v>2171</v>
      </c>
      <c r="R563" s="1821"/>
      <c r="S563" s="1822"/>
      <c r="T563" s="1820" t="s">
        <v>2169</v>
      </c>
      <c r="U563" s="1821"/>
      <c r="V563" s="1822"/>
      <c r="W563" s="1820" t="s">
        <v>479</v>
      </c>
      <c r="X563" s="1821"/>
      <c r="Y563" s="1822"/>
      <c r="Z563" s="1820" t="s">
        <v>2170</v>
      </c>
      <c r="AA563" s="1821"/>
      <c r="AB563" s="1821"/>
      <c r="AC563" s="1821"/>
      <c r="AD563" s="1821"/>
      <c r="AE563" s="1820" t="s">
        <v>1988</v>
      </c>
      <c r="AF563" s="1821"/>
      <c r="AG563" s="1821"/>
      <c r="AH563" s="1822"/>
      <c r="AI563" s="1820" t="s">
        <v>1989</v>
      </c>
      <c r="AJ563" s="1821"/>
      <c r="AK563" s="1821"/>
      <c r="AL563" s="1822"/>
      <c r="AM563" s="1820" t="s">
        <v>480</v>
      </c>
      <c r="AN563" s="1821"/>
      <c r="AO563" s="1821"/>
      <c r="AP563" s="1821"/>
      <c r="AQ563" s="1821"/>
      <c r="AR563" s="1821"/>
      <c r="AS563" s="1822"/>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13" t="s">
        <v>2683</v>
      </c>
      <c r="D564" s="1413"/>
      <c r="E564" s="1413"/>
      <c r="F564" s="1413"/>
      <c r="G564" s="1413"/>
      <c r="H564" s="1413"/>
      <c r="I564" s="1413"/>
      <c r="J564" s="1413"/>
      <c r="K564" s="1413"/>
      <c r="L564" s="1413"/>
      <c r="M564" s="1413"/>
      <c r="N564" s="1413"/>
      <c r="O564" s="1413"/>
      <c r="P564" s="1414"/>
      <c r="Q564" s="1367">
        <v>24</v>
      </c>
      <c r="R564" s="1367"/>
      <c r="S564" s="1368"/>
      <c r="T564" s="1366"/>
      <c r="U564" s="1367"/>
      <c r="V564" s="1368"/>
      <c r="W564" s="1830">
        <v>4.4499999999999998E-2</v>
      </c>
      <c r="X564" s="1831"/>
      <c r="Y564" s="1832"/>
      <c r="Z564" s="1829" t="s">
        <v>2688</v>
      </c>
      <c r="AA564" s="1829"/>
      <c r="AB564" s="1829"/>
      <c r="AC564" s="1829"/>
      <c r="AD564" s="1829"/>
      <c r="AE564" s="1826">
        <v>1</v>
      </c>
      <c r="AF564" s="1827"/>
      <c r="AG564" s="1827"/>
      <c r="AH564" s="1828"/>
      <c r="AI564" s="1823"/>
      <c r="AJ564" s="1824"/>
      <c r="AK564" s="1824"/>
      <c r="AL564" s="1825"/>
      <c r="AM564" s="1379">
        <v>25216108</v>
      </c>
      <c r="AN564" s="1380"/>
      <c r="AO564" s="1380"/>
      <c r="AP564" s="1380"/>
      <c r="AQ564" s="1380"/>
      <c r="AR564" s="1380"/>
      <c r="AS564" s="1381"/>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13" t="s">
        <v>2684</v>
      </c>
      <c r="D565" s="1413"/>
      <c r="E565" s="1413"/>
      <c r="F565" s="1413"/>
      <c r="G565" s="1413"/>
      <c r="H565" s="1413"/>
      <c r="I565" s="1413"/>
      <c r="J565" s="1413"/>
      <c r="K565" s="1413"/>
      <c r="L565" s="1413"/>
      <c r="M565" s="1413"/>
      <c r="N565" s="1413"/>
      <c r="O565" s="1413"/>
      <c r="P565" s="1414"/>
      <c r="Q565" s="1366">
        <v>24</v>
      </c>
      <c r="R565" s="1367"/>
      <c r="S565" s="1368"/>
      <c r="T565" s="1366"/>
      <c r="U565" s="1367"/>
      <c r="V565" s="1368"/>
      <c r="W565" s="1830">
        <v>4.7500000000000001E-2</v>
      </c>
      <c r="X565" s="1831"/>
      <c r="Y565" s="1832"/>
      <c r="Z565" s="1829" t="s">
        <v>2688</v>
      </c>
      <c r="AA565" s="1829"/>
      <c r="AB565" s="1829"/>
      <c r="AC565" s="1829"/>
      <c r="AD565" s="1829"/>
      <c r="AE565" s="1826">
        <v>2</v>
      </c>
      <c r="AF565" s="1827"/>
      <c r="AG565" s="1827"/>
      <c r="AH565" s="1828"/>
      <c r="AI565" s="1823"/>
      <c r="AJ565" s="1824"/>
      <c r="AK565" s="1824"/>
      <c r="AL565" s="1825"/>
      <c r="AM565" s="1379">
        <v>0</v>
      </c>
      <c r="AN565" s="1380"/>
      <c r="AO565" s="1380"/>
      <c r="AP565" s="1380"/>
      <c r="AQ565" s="1380"/>
      <c r="AR565" s="1380"/>
      <c r="AS565" s="1381"/>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352" t="s">
        <v>2685</v>
      </c>
      <c r="D566" s="1413"/>
      <c r="E566" s="1413"/>
      <c r="F566" s="1413"/>
      <c r="G566" s="1413"/>
      <c r="H566" s="1413"/>
      <c r="I566" s="1413"/>
      <c r="J566" s="1413"/>
      <c r="K566" s="1413"/>
      <c r="L566" s="1413"/>
      <c r="M566" s="1413"/>
      <c r="N566" s="1413"/>
      <c r="O566" s="1413"/>
      <c r="P566" s="1414"/>
      <c r="Q566" s="1366">
        <f>30*12</f>
        <v>360</v>
      </c>
      <c r="R566" s="1367"/>
      <c r="S566" s="1368"/>
      <c r="T566" s="1366">
        <f>30*12</f>
        <v>360</v>
      </c>
      <c r="U566" s="1367"/>
      <c r="V566" s="1368"/>
      <c r="W566" s="1830">
        <v>0</v>
      </c>
      <c r="X566" s="1831"/>
      <c r="Y566" s="1832"/>
      <c r="Z566" s="1829" t="s">
        <v>2689</v>
      </c>
      <c r="AA566" s="1829"/>
      <c r="AB566" s="1829"/>
      <c r="AC566" s="1829"/>
      <c r="AD566" s="1829"/>
      <c r="AE566" s="1826">
        <v>3</v>
      </c>
      <c r="AF566" s="1827"/>
      <c r="AG566" s="1827"/>
      <c r="AH566" s="1828"/>
      <c r="AI566" s="1823"/>
      <c r="AJ566" s="1824"/>
      <c r="AK566" s="1824"/>
      <c r="AL566" s="1825"/>
      <c r="AM566" s="1379">
        <v>10720918</v>
      </c>
      <c r="AN566" s="1380"/>
      <c r="AO566" s="1380"/>
      <c r="AP566" s="1380"/>
      <c r="AQ566" s="1380"/>
      <c r="AR566" s="1380"/>
      <c r="AS566" s="1381"/>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413" t="s">
        <v>2686</v>
      </c>
      <c r="D567" s="1413"/>
      <c r="E567" s="1413"/>
      <c r="F567" s="1413"/>
      <c r="G567" s="1413"/>
      <c r="H567" s="1413"/>
      <c r="I567" s="1413"/>
      <c r="J567" s="1413"/>
      <c r="K567" s="1413"/>
      <c r="L567" s="1413"/>
      <c r="M567" s="1413"/>
      <c r="N567" s="1413"/>
      <c r="O567" s="1413"/>
      <c r="P567" s="1414"/>
      <c r="Q567" s="1366"/>
      <c r="R567" s="1367"/>
      <c r="S567" s="1368"/>
      <c r="T567" s="1366"/>
      <c r="U567" s="1367"/>
      <c r="V567" s="1368"/>
      <c r="W567" s="1835" t="s">
        <v>618</v>
      </c>
      <c r="X567" s="1831"/>
      <c r="Y567" s="1832"/>
      <c r="Z567" s="1829" t="s">
        <v>618</v>
      </c>
      <c r="AA567" s="1829"/>
      <c r="AB567" s="1829"/>
      <c r="AC567" s="1829"/>
      <c r="AD567" s="1829"/>
      <c r="AE567" s="1826"/>
      <c r="AF567" s="1827"/>
      <c r="AG567" s="1827"/>
      <c r="AH567" s="1828"/>
      <c r="AI567" s="1823"/>
      <c r="AJ567" s="1824"/>
      <c r="AK567" s="1824"/>
      <c r="AL567" s="1825"/>
      <c r="AM567" s="1379">
        <f>+AO651-(SUM(AM564:AS566)+AM568)</f>
        <v>7247140</v>
      </c>
      <c r="AN567" s="1380"/>
      <c r="AO567" s="1380"/>
      <c r="AP567" s="1380"/>
      <c r="AQ567" s="1380"/>
      <c r="AR567" s="1380"/>
      <c r="AS567" s="138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352" t="s">
        <v>2687</v>
      </c>
      <c r="D568" s="1413"/>
      <c r="E568" s="1413"/>
      <c r="F568" s="1413"/>
      <c r="G568" s="1413"/>
      <c r="H568" s="1413"/>
      <c r="I568" s="1413"/>
      <c r="J568" s="1413"/>
      <c r="K568" s="1413"/>
      <c r="L568" s="1413"/>
      <c r="M568" s="1413"/>
      <c r="N568" s="1413"/>
      <c r="O568" s="1413"/>
      <c r="P568" s="1414"/>
      <c r="Q568" s="1366">
        <v>360</v>
      </c>
      <c r="R568" s="1367"/>
      <c r="S568" s="1368"/>
      <c r="T568" s="1366">
        <v>360</v>
      </c>
      <c r="U568" s="1367"/>
      <c r="V568" s="1368"/>
      <c r="W568" s="1830">
        <v>0</v>
      </c>
      <c r="X568" s="1831"/>
      <c r="Y568" s="1832"/>
      <c r="Z568" s="1829" t="s">
        <v>2689</v>
      </c>
      <c r="AA568" s="1829"/>
      <c r="AB568" s="1829"/>
      <c r="AC568" s="1829"/>
      <c r="AD568" s="1829"/>
      <c r="AE568" s="1826">
        <v>3</v>
      </c>
      <c r="AF568" s="1827"/>
      <c r="AG568" s="1827"/>
      <c r="AH568" s="1828"/>
      <c r="AI568" s="1823"/>
      <c r="AJ568" s="1824"/>
      <c r="AK568" s="1824"/>
      <c r="AL568" s="1825"/>
      <c r="AM568" s="1379">
        <v>5209091</v>
      </c>
      <c r="AN568" s="1380"/>
      <c r="AO568" s="1380"/>
      <c r="AP568" s="1380"/>
      <c r="AQ568" s="1380"/>
      <c r="AR568" s="1380"/>
      <c r="AS568" s="138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413"/>
      <c r="D569" s="1413"/>
      <c r="E569" s="1413"/>
      <c r="F569" s="1413"/>
      <c r="G569" s="1413"/>
      <c r="H569" s="1413"/>
      <c r="I569" s="1413"/>
      <c r="J569" s="1413"/>
      <c r="K569" s="1413"/>
      <c r="L569" s="1413"/>
      <c r="M569" s="1413"/>
      <c r="N569" s="1413"/>
      <c r="O569" s="1413"/>
      <c r="P569" s="1414"/>
      <c r="Q569" s="1366"/>
      <c r="R569" s="1367"/>
      <c r="S569" s="1368"/>
      <c r="T569" s="1366"/>
      <c r="U569" s="1367"/>
      <c r="V569" s="1368"/>
      <c r="W569" s="1830"/>
      <c r="X569" s="1831"/>
      <c r="Y569" s="1832"/>
      <c r="Z569" s="1829" t="s">
        <v>1349</v>
      </c>
      <c r="AA569" s="1829"/>
      <c r="AB569" s="1829"/>
      <c r="AC569" s="1829"/>
      <c r="AD569" s="1829"/>
      <c r="AE569" s="1826"/>
      <c r="AF569" s="1827"/>
      <c r="AG569" s="1827"/>
      <c r="AH569" s="1828"/>
      <c r="AI569" s="1823"/>
      <c r="AJ569" s="1824"/>
      <c r="AK569" s="1824"/>
      <c r="AL569" s="1825"/>
      <c r="AM569" s="1379"/>
      <c r="AN569" s="1380"/>
      <c r="AO569" s="1380"/>
      <c r="AP569" s="1380"/>
      <c r="AQ569" s="1380"/>
      <c r="AR569" s="1380"/>
      <c r="AS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413"/>
      <c r="D570" s="1413"/>
      <c r="E570" s="1413"/>
      <c r="F570" s="1413"/>
      <c r="G570" s="1413"/>
      <c r="H570" s="1413"/>
      <c r="I570" s="1413"/>
      <c r="J570" s="1413"/>
      <c r="K570" s="1413"/>
      <c r="L570" s="1413"/>
      <c r="M570" s="1413"/>
      <c r="N570" s="1413"/>
      <c r="O570" s="1413"/>
      <c r="P570" s="1414"/>
      <c r="Q570" s="1366"/>
      <c r="R570" s="1367"/>
      <c r="S570" s="1368"/>
      <c r="T570" s="1366"/>
      <c r="U570" s="1367"/>
      <c r="V570" s="1368"/>
      <c r="W570" s="1830"/>
      <c r="X570" s="1831"/>
      <c r="Y570" s="1832"/>
      <c r="Z570" s="1829" t="s">
        <v>1349</v>
      </c>
      <c r="AA570" s="1829"/>
      <c r="AB570" s="1829"/>
      <c r="AC570" s="1829"/>
      <c r="AD570" s="1829"/>
      <c r="AE570" s="1826"/>
      <c r="AF570" s="1827"/>
      <c r="AG570" s="1827"/>
      <c r="AH570" s="1828"/>
      <c r="AI570" s="1823"/>
      <c r="AJ570" s="1824"/>
      <c r="AK570" s="1824"/>
      <c r="AL570" s="1825"/>
      <c r="AM570" s="1379"/>
      <c r="AN570" s="1380"/>
      <c r="AO570" s="1380"/>
      <c r="AP570" s="1380"/>
      <c r="AQ570" s="1380"/>
      <c r="AR570" s="1380"/>
      <c r="AS570" s="138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413"/>
      <c r="D571" s="1413"/>
      <c r="E571" s="1413"/>
      <c r="F571" s="1413"/>
      <c r="G571" s="1413"/>
      <c r="H571" s="1413"/>
      <c r="I571" s="1413"/>
      <c r="J571" s="1413"/>
      <c r="K571" s="1413"/>
      <c r="L571" s="1413"/>
      <c r="M571" s="1413"/>
      <c r="N571" s="1413"/>
      <c r="O571" s="1413"/>
      <c r="P571" s="1414"/>
      <c r="Q571" s="1366"/>
      <c r="R571" s="1367"/>
      <c r="S571" s="1368"/>
      <c r="T571" s="1366"/>
      <c r="U571" s="1367"/>
      <c r="V571" s="1368"/>
      <c r="W571" s="1830"/>
      <c r="X571" s="1831"/>
      <c r="Y571" s="1832"/>
      <c r="Z571" s="1829" t="s">
        <v>1349</v>
      </c>
      <c r="AA571" s="1829"/>
      <c r="AB571" s="1829"/>
      <c r="AC571" s="1829"/>
      <c r="AD571" s="1829"/>
      <c r="AE571" s="1826"/>
      <c r="AF571" s="1827"/>
      <c r="AG571" s="1827"/>
      <c r="AH571" s="1828"/>
      <c r="AI571" s="1823"/>
      <c r="AJ571" s="1824"/>
      <c r="AK571" s="1824"/>
      <c r="AL571" s="1825"/>
      <c r="AM571" s="1379"/>
      <c r="AN571" s="1380"/>
      <c r="AO571" s="1380"/>
      <c r="AP571" s="1380"/>
      <c r="AQ571" s="1380"/>
      <c r="AR571" s="1380"/>
      <c r="AS571" s="1381"/>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413"/>
      <c r="D572" s="1413"/>
      <c r="E572" s="1413"/>
      <c r="F572" s="1413"/>
      <c r="G572" s="1413"/>
      <c r="H572" s="1413"/>
      <c r="I572" s="1413"/>
      <c r="J572" s="1413"/>
      <c r="K572" s="1413"/>
      <c r="L572" s="1413"/>
      <c r="M572" s="1413"/>
      <c r="N572" s="1413"/>
      <c r="O572" s="1413"/>
      <c r="P572" s="1414"/>
      <c r="Q572" s="1366"/>
      <c r="R572" s="1367"/>
      <c r="S572" s="1368"/>
      <c r="T572" s="1366"/>
      <c r="U572" s="1367"/>
      <c r="V572" s="1368"/>
      <c r="W572" s="1830"/>
      <c r="X572" s="1831"/>
      <c r="Y572" s="1832"/>
      <c r="Z572" s="1829" t="s">
        <v>1349</v>
      </c>
      <c r="AA572" s="1829"/>
      <c r="AB572" s="1829"/>
      <c r="AC572" s="1829"/>
      <c r="AD572" s="1829"/>
      <c r="AE572" s="1826"/>
      <c r="AF572" s="1827"/>
      <c r="AG572" s="1827"/>
      <c r="AH572" s="1828"/>
      <c r="AI572" s="1823"/>
      <c r="AJ572" s="1824"/>
      <c r="AK572" s="1824"/>
      <c r="AL572" s="1825"/>
      <c r="AM572" s="1379"/>
      <c r="AN572" s="1380"/>
      <c r="AO572" s="1380"/>
      <c r="AP572" s="1380"/>
      <c r="AQ572" s="1380"/>
      <c r="AR572" s="1380"/>
      <c r="AS572" s="1381"/>
      <c r="BB572" s="3"/>
      <c r="BC572" s="3"/>
      <c r="BD572" s="3"/>
      <c r="BE572" s="3"/>
      <c r="BF572" s="3"/>
      <c r="BG572" s="3"/>
      <c r="BH572" s="3" t="s">
        <v>611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13"/>
      <c r="D573" s="1413"/>
      <c r="E573" s="1413"/>
      <c r="F573" s="1413"/>
      <c r="G573" s="1413"/>
      <c r="H573" s="1413"/>
      <c r="I573" s="1413"/>
      <c r="J573" s="1413"/>
      <c r="K573" s="1413"/>
      <c r="L573" s="1413"/>
      <c r="M573" s="1413"/>
      <c r="N573" s="1413"/>
      <c r="O573" s="1413"/>
      <c r="P573" s="1414"/>
      <c r="Q573" s="1366"/>
      <c r="R573" s="1367"/>
      <c r="S573" s="1368"/>
      <c r="T573" s="1366"/>
      <c r="U573" s="1367"/>
      <c r="V573" s="1368"/>
      <c r="W573" s="1830"/>
      <c r="X573" s="1831"/>
      <c r="Y573" s="1832"/>
      <c r="Z573" s="1829" t="s">
        <v>1349</v>
      </c>
      <c r="AA573" s="1829"/>
      <c r="AB573" s="1829"/>
      <c r="AC573" s="1829"/>
      <c r="AD573" s="1829"/>
      <c r="AE573" s="1826"/>
      <c r="AF573" s="1827"/>
      <c r="AG573" s="1827"/>
      <c r="AH573" s="1828"/>
      <c r="AI573" s="1823"/>
      <c r="AJ573" s="1824"/>
      <c r="AK573" s="1824"/>
      <c r="AL573" s="1825"/>
      <c r="AM573" s="1379"/>
      <c r="AN573" s="1380"/>
      <c r="AO573" s="1380"/>
      <c r="AP573" s="1380"/>
      <c r="AQ573" s="1380"/>
      <c r="AR573" s="1380"/>
      <c r="AS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413"/>
      <c r="D574" s="1413"/>
      <c r="E574" s="1413"/>
      <c r="F574" s="1413"/>
      <c r="G574" s="1413"/>
      <c r="H574" s="1413"/>
      <c r="I574" s="1413"/>
      <c r="J574" s="1413"/>
      <c r="K574" s="1413"/>
      <c r="L574" s="1413"/>
      <c r="M574" s="1413"/>
      <c r="N574" s="1413"/>
      <c r="O574" s="1413"/>
      <c r="P574" s="1414"/>
      <c r="Q574" s="1366"/>
      <c r="R574" s="1367"/>
      <c r="S574" s="1368"/>
      <c r="T574" s="1366"/>
      <c r="U574" s="1367"/>
      <c r="V574" s="1368"/>
      <c r="W574" s="1830"/>
      <c r="X574" s="1831"/>
      <c r="Y574" s="1832"/>
      <c r="Z574" s="1829" t="s">
        <v>1349</v>
      </c>
      <c r="AA574" s="1829"/>
      <c r="AB574" s="1829"/>
      <c r="AC574" s="1829"/>
      <c r="AD574" s="1829"/>
      <c r="AE574" s="1826"/>
      <c r="AF574" s="1827"/>
      <c r="AG574" s="1827"/>
      <c r="AH574" s="1828"/>
      <c r="AI574" s="1823"/>
      <c r="AJ574" s="1824"/>
      <c r="AK574" s="1824"/>
      <c r="AL574" s="1825"/>
      <c r="AM574" s="1379"/>
      <c r="AN574" s="1380"/>
      <c r="AO574" s="1380"/>
      <c r="AP574" s="1380"/>
      <c r="AQ574" s="1380"/>
      <c r="AR574" s="1380"/>
      <c r="AS574" s="138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413"/>
      <c r="D575" s="1413"/>
      <c r="E575" s="1413"/>
      <c r="F575" s="1413"/>
      <c r="G575" s="1413"/>
      <c r="H575" s="1413"/>
      <c r="I575" s="1413"/>
      <c r="J575" s="1413"/>
      <c r="K575" s="1413"/>
      <c r="L575" s="1413"/>
      <c r="M575" s="1413"/>
      <c r="N575" s="1413"/>
      <c r="O575" s="1413"/>
      <c r="P575" s="1414"/>
      <c r="Q575" s="1366"/>
      <c r="R575" s="1367"/>
      <c r="S575" s="1368"/>
      <c r="T575" s="1366"/>
      <c r="U575" s="1367"/>
      <c r="V575" s="1368"/>
      <c r="W575" s="1830"/>
      <c r="X575" s="1831"/>
      <c r="Y575" s="1832"/>
      <c r="Z575" s="1829" t="s">
        <v>1349</v>
      </c>
      <c r="AA575" s="1829"/>
      <c r="AB575" s="1829"/>
      <c r="AC575" s="1829"/>
      <c r="AD575" s="1829"/>
      <c r="AE575" s="1826"/>
      <c r="AF575" s="1827"/>
      <c r="AG575" s="1827"/>
      <c r="AH575" s="1828"/>
      <c r="AI575" s="1823"/>
      <c r="AJ575" s="1824"/>
      <c r="AK575" s="1824"/>
      <c r="AL575" s="1825"/>
      <c r="AM575" s="1379"/>
      <c r="AN575" s="1380"/>
      <c r="AO575" s="1380"/>
      <c r="AP575" s="1380"/>
      <c r="AQ575" s="1380"/>
      <c r="AR575" s="1380"/>
      <c r="AS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78" t="s">
        <v>132</v>
      </c>
      <c r="C576" s="1579"/>
      <c r="D576" s="1579"/>
      <c r="E576" s="1579"/>
      <c r="F576" s="1579"/>
      <c r="G576" s="1579"/>
      <c r="H576" s="1579"/>
      <c r="I576" s="1579"/>
      <c r="J576" s="1579"/>
      <c r="K576" s="1579"/>
      <c r="L576" s="1579"/>
      <c r="M576" s="1579"/>
      <c r="N576" s="1579"/>
      <c r="O576" s="1579"/>
      <c r="P576" s="1579"/>
      <c r="Q576" s="1579"/>
      <c r="R576" s="1579"/>
      <c r="S576" s="1579"/>
      <c r="T576" s="1579"/>
      <c r="U576" s="1735"/>
      <c r="V576" s="1579"/>
      <c r="W576" s="1579"/>
      <c r="X576" s="1579"/>
      <c r="Y576" s="1579"/>
      <c r="Z576" s="1579"/>
      <c r="AA576" s="1579"/>
      <c r="AB576" s="1579"/>
      <c r="AC576" s="1579"/>
      <c r="AD576" s="1579"/>
      <c r="AE576" s="1579"/>
      <c r="AF576" s="1579"/>
      <c r="AG576" s="1579"/>
      <c r="AH576" s="1579"/>
      <c r="AI576" s="1579"/>
      <c r="AJ576" s="1579"/>
      <c r="AK576" s="1579"/>
      <c r="AL576" s="1580"/>
      <c r="AM576" s="1653">
        <f>SUM(AM564:AS575)</f>
        <v>48393257</v>
      </c>
      <c r="AN576" s="1654"/>
      <c r="AO576" s="1654"/>
      <c r="AP576" s="1654"/>
      <c r="AQ576" s="1654"/>
      <c r="AR576" s="1654"/>
      <c r="AS576" s="165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42" t="str">
        <f>C564</f>
        <v>Pacific Western Bank Tax Exempt Bonds</v>
      </c>
      <c r="H578" s="1342"/>
      <c r="I578" s="1342"/>
      <c r="J578" s="1342"/>
      <c r="K578" s="1342"/>
      <c r="L578" s="1342"/>
      <c r="M578" s="1342"/>
      <c r="N578" s="1342"/>
      <c r="O578" s="1342"/>
      <c r="P578" s="1342"/>
      <c r="Q578" s="1342"/>
      <c r="R578" s="1342"/>
      <c r="S578" s="8"/>
      <c r="T578" s="55" t="s">
        <v>118</v>
      </c>
      <c r="U578" t="s">
        <v>489</v>
      </c>
      <c r="Z578" s="1342" t="str">
        <f>C565</f>
        <v>Pacific Western Bank Taxable Bonds</v>
      </c>
      <c r="AA578" s="1342"/>
      <c r="AB578" s="1342"/>
      <c r="AC578" s="1342"/>
      <c r="AD578" s="1342"/>
      <c r="AE578" s="1342"/>
      <c r="AF578" s="1342"/>
      <c r="AG578" s="1342"/>
      <c r="AH578" s="1342"/>
      <c r="AI578" s="1342"/>
      <c r="AJ578" s="1342"/>
      <c r="AK578" s="134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52" t="s">
        <v>2690</v>
      </c>
      <c r="H579" s="1352"/>
      <c r="I579" s="1352"/>
      <c r="J579" s="1352"/>
      <c r="K579" s="1352"/>
      <c r="L579" s="1352"/>
      <c r="M579" s="1352"/>
      <c r="N579" s="1352"/>
      <c r="O579" s="1352"/>
      <c r="P579" s="1352"/>
      <c r="Q579" s="1352"/>
      <c r="R579" s="1352"/>
      <c r="S579" s="8"/>
      <c r="T579" s="22"/>
      <c r="U579" t="s">
        <v>90</v>
      </c>
      <c r="Z579" s="1352" t="s">
        <v>2690</v>
      </c>
      <c r="AA579" s="1352"/>
      <c r="AB579" s="1352"/>
      <c r="AC579" s="1352"/>
      <c r="AD579" s="1352"/>
      <c r="AE579" s="1352"/>
      <c r="AF579" s="1352"/>
      <c r="AG579" s="1352"/>
      <c r="AH579" s="1352"/>
      <c r="AI579" s="1352"/>
      <c r="AJ579" s="1352"/>
      <c r="AK579" s="1352"/>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352" t="s">
        <v>2691</v>
      </c>
      <c r="H580" s="1352"/>
      <c r="I580" s="1352"/>
      <c r="J580" s="1352"/>
      <c r="K580" s="1352"/>
      <c r="L580" s="1352"/>
      <c r="M580" s="1352"/>
      <c r="N580" s="1352"/>
      <c r="O580" s="1352"/>
      <c r="P580" s="1352"/>
      <c r="Q580" s="1352"/>
      <c r="R580" s="1352"/>
      <c r="T580" s="22"/>
      <c r="U580" t="s">
        <v>607</v>
      </c>
      <c r="Z580" s="1352" t="s">
        <v>2691</v>
      </c>
      <c r="AA580" s="1352"/>
      <c r="AB580" s="1352"/>
      <c r="AC580" s="1352"/>
      <c r="AD580" s="1352"/>
      <c r="AE580" s="1352"/>
      <c r="AF580" s="1352"/>
      <c r="AG580" s="1352"/>
      <c r="AH580" s="1352"/>
      <c r="AI580" s="1352"/>
      <c r="AJ580" s="1352"/>
      <c r="AK580" s="1352"/>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52" t="s">
        <v>2692</v>
      </c>
      <c r="H581" s="1352"/>
      <c r="I581" s="1352"/>
      <c r="J581" s="1352"/>
      <c r="K581" s="1352"/>
      <c r="L581" s="1352"/>
      <c r="M581" s="1352"/>
      <c r="N581" s="1352"/>
      <c r="O581" s="1352"/>
      <c r="P581" s="1352"/>
      <c r="Q581" s="1352"/>
      <c r="R581" s="1352"/>
      <c r="S581" s="8"/>
      <c r="T581" s="22"/>
      <c r="U581" t="s">
        <v>17</v>
      </c>
      <c r="Z581" s="1352" t="s">
        <v>2692</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29" t="s">
        <v>2693</v>
      </c>
      <c r="H582" s="1629"/>
      <c r="I582" s="1629"/>
      <c r="J582" s="1629"/>
      <c r="K582" s="1629"/>
      <c r="L582" s="1629"/>
      <c r="O582" s="33" t="s">
        <v>212</v>
      </c>
      <c r="P582" s="1351"/>
      <c r="Q582" s="1351"/>
      <c r="R582" s="1351"/>
      <c r="S582" s="10"/>
      <c r="T582" s="22"/>
      <c r="U582" t="s">
        <v>322</v>
      </c>
      <c r="Z582" s="1629" t="s">
        <v>2693</v>
      </c>
      <c r="AA582" s="1629"/>
      <c r="AB582" s="1629"/>
      <c r="AC582" s="1629"/>
      <c r="AD582" s="1629"/>
      <c r="AE582" s="1629"/>
      <c r="AH582" s="33" t="s">
        <v>212</v>
      </c>
      <c r="AI582" s="1351"/>
      <c r="AJ582" s="1351"/>
      <c r="AK582" s="135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82" t="s">
        <v>2694</v>
      </c>
      <c r="I583" s="1382"/>
      <c r="J583" s="1382"/>
      <c r="K583" s="1382"/>
      <c r="L583" s="1382"/>
      <c r="M583" s="1382"/>
      <c r="N583" s="1382"/>
      <c r="O583" s="1382"/>
      <c r="P583" s="1382"/>
      <c r="Q583" s="1382"/>
      <c r="R583" s="1382"/>
      <c r="S583" s="8"/>
      <c r="T583" s="22"/>
      <c r="U583" t="s">
        <v>18</v>
      </c>
      <c r="AA583" s="1382" t="s">
        <v>2694</v>
      </c>
      <c r="AB583" s="1382"/>
      <c r="AC583" s="1382"/>
      <c r="AD583" s="1382"/>
      <c r="AE583" s="1382"/>
      <c r="AF583" s="1382"/>
      <c r="AG583" s="1382"/>
      <c r="AH583" s="1382"/>
      <c r="AI583" s="1382"/>
      <c r="AJ583" s="1382"/>
      <c r="AK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68"/>
      <c r="N584" s="1668"/>
      <c r="O584" s="1668"/>
      <c r="P584" s="1668"/>
      <c r="Q584" s="1668"/>
      <c r="R584" s="1668"/>
      <c r="S584" s="8"/>
      <c r="T584" s="22"/>
      <c r="U584" s="351" t="s">
        <v>1350</v>
      </c>
      <c r="AA584" s="8"/>
      <c r="AB584" s="8"/>
      <c r="AC584" s="8"/>
      <c r="AD584" s="8"/>
      <c r="AE584" s="8"/>
      <c r="AF584" s="1668"/>
      <c r="AG584" s="1668"/>
      <c r="AH584" s="1668"/>
      <c r="AI584" s="1668"/>
      <c r="AJ584" s="1668"/>
      <c r="AK584" s="16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9" t="s">
        <v>571</v>
      </c>
      <c r="O585" s="1359"/>
      <c r="T585" s="22"/>
      <c r="U585" t="s">
        <v>20</v>
      </c>
      <c r="AG585" s="1359" t="s">
        <v>571</v>
      </c>
      <c r="AH585" s="13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42" t="str">
        <f>C566</f>
        <v>City of Chico - CDBG-DR Funds</v>
      </c>
      <c r="H587" s="1342"/>
      <c r="I587" s="1342"/>
      <c r="J587" s="1342"/>
      <c r="K587" s="1342"/>
      <c r="L587" s="1342"/>
      <c r="M587" s="1342"/>
      <c r="N587" s="1342"/>
      <c r="O587" s="1342"/>
      <c r="P587" s="1342"/>
      <c r="Q587" s="1342"/>
      <c r="R587" s="1342"/>
      <c r="T587" s="55" t="s">
        <v>608</v>
      </c>
      <c r="U587" t="s">
        <v>489</v>
      </c>
      <c r="Z587" s="1342" t="str">
        <f>C567</f>
        <v>Raymond James Tax Credit Funds</v>
      </c>
      <c r="AA587" s="1342"/>
      <c r="AB587" s="1342"/>
      <c r="AC587" s="1342"/>
      <c r="AD587" s="1342"/>
      <c r="AE587" s="1342"/>
      <c r="AF587" s="1342"/>
      <c r="AG587" s="1342"/>
      <c r="AH587" s="1342"/>
      <c r="AI587" s="1342"/>
      <c r="AJ587" s="1342"/>
      <c r="AK587" s="134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82" t="s">
        <v>2695</v>
      </c>
      <c r="H588" s="1382"/>
      <c r="I588" s="1382"/>
      <c r="J588" s="1382"/>
      <c r="K588" s="1382"/>
      <c r="L588" s="1382"/>
      <c r="M588" s="1382"/>
      <c r="N588" s="1382"/>
      <c r="O588" s="1382"/>
      <c r="P588" s="1382"/>
      <c r="Q588" s="1382"/>
      <c r="R588" s="1382"/>
      <c r="T588" s="22"/>
      <c r="U588" t="s">
        <v>90</v>
      </c>
      <c r="Z588" s="1382" t="s">
        <v>2648</v>
      </c>
      <c r="AA588" s="1382"/>
      <c r="AB588" s="1382"/>
      <c r="AC588" s="1382"/>
      <c r="AD588" s="1382"/>
      <c r="AE588" s="1382"/>
      <c r="AF588" s="1382"/>
      <c r="AG588" s="1382"/>
      <c r="AH588" s="1382"/>
      <c r="AI588" s="1382"/>
      <c r="AJ588" s="1382"/>
      <c r="AK588" s="1382"/>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352" t="s">
        <v>2696</v>
      </c>
      <c r="H589" s="1352"/>
      <c r="I589" s="1352"/>
      <c r="J589" s="1352"/>
      <c r="K589" s="1352"/>
      <c r="L589" s="1352"/>
      <c r="M589" s="1352"/>
      <c r="N589" s="1352"/>
      <c r="O589" s="1352"/>
      <c r="P589" s="1352"/>
      <c r="Q589" s="1352"/>
      <c r="R589" s="1352"/>
      <c r="T589" s="22"/>
      <c r="U589" t="s">
        <v>607</v>
      </c>
      <c r="Z589" s="1352" t="s">
        <v>2699</v>
      </c>
      <c r="AA589" s="1352"/>
      <c r="AB589" s="1352"/>
      <c r="AC589" s="1352"/>
      <c r="AD589" s="1352"/>
      <c r="AE589" s="1352"/>
      <c r="AF589" s="1352"/>
      <c r="AG589" s="1352"/>
      <c r="AH589" s="1352"/>
      <c r="AI589" s="1352"/>
      <c r="AJ589" s="1352"/>
      <c r="AK589" s="1352"/>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52" t="s">
        <v>2697</v>
      </c>
      <c r="H590" s="1352"/>
      <c r="I590" s="1352"/>
      <c r="J590" s="1352"/>
      <c r="K590" s="1352"/>
      <c r="L590" s="1352"/>
      <c r="M590" s="1352"/>
      <c r="N590" s="1352"/>
      <c r="O590" s="1352"/>
      <c r="P590" s="1352"/>
      <c r="Q590" s="1352"/>
      <c r="R590" s="1352"/>
      <c r="T590" s="22"/>
      <c r="U590" t="s">
        <v>17</v>
      </c>
      <c r="Z590" s="1352" t="s">
        <v>2650</v>
      </c>
      <c r="AA590" s="1352"/>
      <c r="AB590" s="1352"/>
      <c r="AC590" s="1352"/>
      <c r="AD590" s="1352"/>
      <c r="AE590" s="1352"/>
      <c r="AF590" s="1352"/>
      <c r="AG590" s="1352"/>
      <c r="AH590" s="1352"/>
      <c r="AI590" s="1352"/>
      <c r="AJ590" s="1352"/>
      <c r="AK590" s="1352"/>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29">
        <v>5305523336</v>
      </c>
      <c r="H591" s="1629"/>
      <c r="I591" s="1629"/>
      <c r="J591" s="1629"/>
      <c r="K591" s="1629"/>
      <c r="L591" s="1629"/>
      <c r="O591" s="33" t="s">
        <v>212</v>
      </c>
      <c r="P591" s="1351"/>
      <c r="Q591" s="1351"/>
      <c r="R591" s="1351"/>
      <c r="T591" s="22"/>
      <c r="U591" t="s">
        <v>322</v>
      </c>
      <c r="Z591" s="1629" t="s">
        <v>2651</v>
      </c>
      <c r="AA591" s="1629"/>
      <c r="AB591" s="1629"/>
      <c r="AC591" s="1629"/>
      <c r="AD591" s="1629"/>
      <c r="AE591" s="1629"/>
      <c r="AH591" s="33" t="s">
        <v>212</v>
      </c>
      <c r="AI591" s="1351"/>
      <c r="AJ591" s="1351"/>
      <c r="AK591" s="135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82" t="s">
        <v>2698</v>
      </c>
      <c r="I592" s="1382"/>
      <c r="J592" s="1382"/>
      <c r="K592" s="1382"/>
      <c r="L592" s="1382"/>
      <c r="M592" s="1382"/>
      <c r="N592" s="1382"/>
      <c r="O592" s="1382"/>
      <c r="P592" s="1382"/>
      <c r="Q592" s="1382"/>
      <c r="R592" s="1382"/>
      <c r="T592" s="22"/>
      <c r="U592" t="s">
        <v>18</v>
      </c>
      <c r="AA592" s="1382" t="s">
        <v>2700</v>
      </c>
      <c r="AB592" s="1382"/>
      <c r="AC592" s="1382"/>
      <c r="AD592" s="1382"/>
      <c r="AE592" s="1382"/>
      <c r="AF592" s="1382"/>
      <c r="AG592" s="1382"/>
      <c r="AH592" s="1382"/>
      <c r="AI592" s="1382"/>
      <c r="AJ592" s="1382"/>
      <c r="AK592" s="1382"/>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9" t="s">
        <v>571</v>
      </c>
      <c r="O593" s="1359"/>
      <c r="T593" s="22"/>
      <c r="U593" t="s">
        <v>20</v>
      </c>
      <c r="AG593" s="1359" t="s">
        <v>571</v>
      </c>
      <c r="AH593" s="1359"/>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42" t="str">
        <f>C568</f>
        <v>Butte County - CDBG-DR Funds</v>
      </c>
      <c r="H595" s="1342"/>
      <c r="I595" s="1342"/>
      <c r="J595" s="1342"/>
      <c r="K595" s="1342"/>
      <c r="L595" s="1342"/>
      <c r="M595" s="1342"/>
      <c r="N595" s="1342"/>
      <c r="O595" s="1342"/>
      <c r="P595" s="1342"/>
      <c r="Q595" s="1342"/>
      <c r="R595" s="1342"/>
      <c r="T595" s="55" t="s">
        <v>611</v>
      </c>
      <c r="U595" t="s">
        <v>489</v>
      </c>
      <c r="Z595" s="1342">
        <f>C569</f>
        <v>0</v>
      </c>
      <c r="AA595" s="1342"/>
      <c r="AB595" s="1342"/>
      <c r="AC595" s="1342"/>
      <c r="AD595" s="1342"/>
      <c r="AE595" s="1342"/>
      <c r="AF595" s="1342"/>
      <c r="AG595" s="1342"/>
      <c r="AH595" s="1342"/>
      <c r="AI595" s="1342"/>
      <c r="AJ595" s="1342"/>
      <c r="AK595" s="1342"/>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82" t="s">
        <v>2695</v>
      </c>
      <c r="H596" s="1382"/>
      <c r="I596" s="1382"/>
      <c r="J596" s="1382"/>
      <c r="K596" s="1382"/>
      <c r="L596" s="1382"/>
      <c r="M596" s="1382"/>
      <c r="N596" s="1382"/>
      <c r="O596" s="1382"/>
      <c r="P596" s="1382"/>
      <c r="Q596" s="1382"/>
      <c r="R596" s="1382"/>
      <c r="T596" s="22"/>
      <c r="U596" t="s">
        <v>90</v>
      </c>
      <c r="Z596" s="1382"/>
      <c r="AA596" s="1382"/>
      <c r="AB596" s="1382"/>
      <c r="AC596" s="1382"/>
      <c r="AD596" s="1382"/>
      <c r="AE596" s="1382"/>
      <c r="AF596" s="1382"/>
      <c r="AG596" s="1382"/>
      <c r="AH596" s="1382"/>
      <c r="AI596" s="1382"/>
      <c r="AJ596" s="1382"/>
      <c r="AK596" s="1382"/>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82" t="s">
        <v>2696</v>
      </c>
      <c r="H597" s="1382"/>
      <c r="I597" s="1382"/>
      <c r="J597" s="1382"/>
      <c r="K597" s="1382"/>
      <c r="L597" s="1382"/>
      <c r="M597" s="1382"/>
      <c r="N597" s="1382"/>
      <c r="O597" s="1382"/>
      <c r="P597" s="1382"/>
      <c r="Q597" s="1382"/>
      <c r="R597" s="1382"/>
      <c r="T597" s="22"/>
      <c r="U597" t="s">
        <v>607</v>
      </c>
      <c r="Z597" s="1352"/>
      <c r="AA597" s="1352"/>
      <c r="AB597" s="1352"/>
      <c r="AC597" s="1352"/>
      <c r="AD597" s="1352"/>
      <c r="AE597" s="1352"/>
      <c r="AF597" s="1352"/>
      <c r="AG597" s="1352"/>
      <c r="AH597" s="1352"/>
      <c r="AI597" s="1352"/>
      <c r="AJ597" s="1352"/>
      <c r="AK597" s="1352"/>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82" t="s">
        <v>2697</v>
      </c>
      <c r="H598" s="1382"/>
      <c r="I598" s="1382"/>
      <c r="J598" s="1382"/>
      <c r="K598" s="1382"/>
      <c r="L598" s="1382"/>
      <c r="M598" s="1382"/>
      <c r="N598" s="1382"/>
      <c r="O598" s="1382"/>
      <c r="P598" s="1382"/>
      <c r="Q598" s="1382"/>
      <c r="R598" s="1382"/>
      <c r="T598" s="22"/>
      <c r="U598" t="s">
        <v>17</v>
      </c>
      <c r="Z598" s="1352"/>
      <c r="AA598" s="1352"/>
      <c r="AB598" s="1352"/>
      <c r="AC598" s="1352"/>
      <c r="AD598" s="1352"/>
      <c r="AE598" s="1352"/>
      <c r="AF598" s="1352"/>
      <c r="AG598" s="1352"/>
      <c r="AH598" s="1352"/>
      <c r="AI598" s="1352"/>
      <c r="AJ598" s="1352"/>
      <c r="AK598" s="1352"/>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29">
        <v>5305523336</v>
      </c>
      <c r="H599" s="1629"/>
      <c r="I599" s="1629"/>
      <c r="J599" s="1629"/>
      <c r="K599" s="1629"/>
      <c r="L599" s="1629"/>
      <c r="O599" s="33" t="s">
        <v>212</v>
      </c>
      <c r="P599" s="1351"/>
      <c r="Q599" s="1351"/>
      <c r="R599" s="1351"/>
      <c r="T599" s="22"/>
      <c r="U599" t="s">
        <v>322</v>
      </c>
      <c r="Z599" s="1617"/>
      <c r="AA599" s="1617"/>
      <c r="AB599" s="1617"/>
      <c r="AC599" s="1617"/>
      <c r="AD599" s="1617"/>
      <c r="AE599" s="1617"/>
      <c r="AH599" s="33" t="s">
        <v>212</v>
      </c>
      <c r="AI599" s="1351"/>
      <c r="AJ599" s="1351"/>
      <c r="AK599" s="135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82" t="s">
        <v>2698</v>
      </c>
      <c r="I600" s="1382"/>
      <c r="J600" s="1382"/>
      <c r="K600" s="1382"/>
      <c r="L600" s="1382"/>
      <c r="M600" s="1382"/>
      <c r="N600" s="1382"/>
      <c r="O600" s="1382"/>
      <c r="P600" s="1382"/>
      <c r="Q600" s="1382"/>
      <c r="R600" s="1382"/>
      <c r="T600" s="22"/>
      <c r="U600" t="s">
        <v>18</v>
      </c>
      <c r="AA600" s="1382"/>
      <c r="AB600" s="1382"/>
      <c r="AC600" s="1382"/>
      <c r="AD600" s="1382"/>
      <c r="AE600" s="1382"/>
      <c r="AF600" s="1382"/>
      <c r="AG600" s="1382"/>
      <c r="AH600" s="1382"/>
      <c r="AI600" s="1382"/>
      <c r="AJ600" s="1382"/>
      <c r="AK600" s="1382"/>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9" t="s">
        <v>571</v>
      </c>
      <c r="O601" s="1359"/>
      <c r="T601" s="22"/>
      <c r="U601" t="s">
        <v>20</v>
      </c>
      <c r="AG601" s="1359" t="s">
        <v>696</v>
      </c>
      <c r="AH601" s="1359"/>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42">
        <f>C570</f>
        <v>0</v>
      </c>
      <c r="H603" s="1342"/>
      <c r="I603" s="1342"/>
      <c r="J603" s="1342"/>
      <c r="K603" s="1342"/>
      <c r="L603" s="1342"/>
      <c r="M603" s="1342"/>
      <c r="N603" s="1342"/>
      <c r="O603" s="1342"/>
      <c r="P603" s="1342"/>
      <c r="Q603" s="1342"/>
      <c r="R603" s="1342"/>
      <c r="T603" s="55" t="s">
        <v>482</v>
      </c>
      <c r="U603" t="s">
        <v>489</v>
      </c>
      <c r="Z603" s="1342">
        <f>C571</f>
        <v>0</v>
      </c>
      <c r="AA603" s="1342"/>
      <c r="AB603" s="1342"/>
      <c r="AC603" s="1342"/>
      <c r="AD603" s="1342"/>
      <c r="AE603" s="1342"/>
      <c r="AF603" s="1342"/>
      <c r="AG603" s="1342"/>
      <c r="AH603" s="1342"/>
      <c r="AI603" s="1342"/>
      <c r="AJ603" s="1342"/>
      <c r="AK603" s="1342"/>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82"/>
      <c r="H604" s="1382"/>
      <c r="I604" s="1382"/>
      <c r="J604" s="1382"/>
      <c r="K604" s="1382"/>
      <c r="L604" s="1382"/>
      <c r="M604" s="1382"/>
      <c r="N604" s="1382"/>
      <c r="O604" s="1382"/>
      <c r="P604" s="1382"/>
      <c r="Q604" s="1382"/>
      <c r="R604" s="1382"/>
      <c r="T604" s="22"/>
      <c r="U604" t="s">
        <v>90</v>
      </c>
      <c r="Z604" s="1382"/>
      <c r="AA604" s="1382"/>
      <c r="AB604" s="1382"/>
      <c r="AC604" s="1382"/>
      <c r="AD604" s="1382"/>
      <c r="AE604" s="1382"/>
      <c r="AF604" s="1382"/>
      <c r="AG604" s="1382"/>
      <c r="AH604" s="1382"/>
      <c r="AI604" s="1382"/>
      <c r="AJ604" s="1382"/>
      <c r="AK604" s="1382"/>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82"/>
      <c r="H605" s="1382"/>
      <c r="I605" s="1382"/>
      <c r="J605" s="1382"/>
      <c r="K605" s="1382"/>
      <c r="L605" s="1382"/>
      <c r="M605" s="1382"/>
      <c r="N605" s="1382"/>
      <c r="O605" s="1382"/>
      <c r="P605" s="1382"/>
      <c r="Q605" s="1382"/>
      <c r="R605" s="1382"/>
      <c r="T605" s="22"/>
      <c r="U605" t="s">
        <v>607</v>
      </c>
      <c r="Z605" s="1352"/>
      <c r="AA605" s="1352"/>
      <c r="AB605" s="1352"/>
      <c r="AC605" s="1352"/>
      <c r="AD605" s="1352"/>
      <c r="AE605" s="1352"/>
      <c r="AF605" s="1352"/>
      <c r="AG605" s="1352"/>
      <c r="AH605" s="1352"/>
      <c r="AI605" s="1352"/>
      <c r="AJ605" s="1352"/>
      <c r="AK605" s="1352"/>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82"/>
      <c r="H606" s="1382"/>
      <c r="I606" s="1382"/>
      <c r="J606" s="1382"/>
      <c r="K606" s="1382"/>
      <c r="L606" s="1382"/>
      <c r="M606" s="1382"/>
      <c r="N606" s="1382"/>
      <c r="O606" s="1382"/>
      <c r="P606" s="1382"/>
      <c r="Q606" s="1382"/>
      <c r="R606" s="1382"/>
      <c r="T606" s="22"/>
      <c r="U606" t="s">
        <v>17</v>
      </c>
      <c r="Z606" s="1352"/>
      <c r="AA606" s="1352"/>
      <c r="AB606" s="1352"/>
      <c r="AC606" s="1352"/>
      <c r="AD606" s="1352"/>
      <c r="AE606" s="1352"/>
      <c r="AF606" s="1352"/>
      <c r="AG606" s="1352"/>
      <c r="AH606" s="1352"/>
      <c r="AI606" s="1352"/>
      <c r="AJ606" s="1352"/>
      <c r="AK606" s="1352"/>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17"/>
      <c r="H607" s="1617"/>
      <c r="I607" s="1617"/>
      <c r="J607" s="1617"/>
      <c r="K607" s="1617"/>
      <c r="L607" s="1617"/>
      <c r="M607"/>
      <c r="N607"/>
      <c r="O607" s="33" t="s">
        <v>212</v>
      </c>
      <c r="P607" s="1351"/>
      <c r="Q607" s="1351"/>
      <c r="R607" s="1351"/>
      <c r="S607"/>
      <c r="T607" s="22"/>
      <c r="U607" t="s">
        <v>322</v>
      </c>
      <c r="V607"/>
      <c r="W607"/>
      <c r="X607"/>
      <c r="Y607"/>
      <c r="Z607" s="1617"/>
      <c r="AA607" s="1617"/>
      <c r="AB607" s="1617"/>
      <c r="AC607" s="1617"/>
      <c r="AD607" s="1617"/>
      <c r="AE607" s="1617"/>
      <c r="AF607"/>
      <c r="AG607"/>
      <c r="AH607" s="33" t="s">
        <v>212</v>
      </c>
      <c r="AI607" s="1351"/>
      <c r="AJ607" s="1351"/>
      <c r="AK607" s="135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82"/>
      <c r="I608" s="1382"/>
      <c r="J608" s="1382"/>
      <c r="K608" s="1382"/>
      <c r="L608" s="1382"/>
      <c r="M608" s="1382"/>
      <c r="N608" s="1382"/>
      <c r="O608" s="1382"/>
      <c r="P608" s="1382"/>
      <c r="Q608" s="1382"/>
      <c r="R608" s="1382"/>
      <c r="S608"/>
      <c r="T608" s="22"/>
      <c r="U608" t="s">
        <v>18</v>
      </c>
      <c r="V608"/>
      <c r="W608"/>
      <c r="X608"/>
      <c r="Y608"/>
      <c r="Z608"/>
      <c r="AA608" s="1382"/>
      <c r="AB608" s="1382"/>
      <c r="AC608" s="1382"/>
      <c r="AD608" s="1382"/>
      <c r="AE608" s="1382"/>
      <c r="AF608" s="1382"/>
      <c r="AG608" s="1382"/>
      <c r="AH608" s="1382"/>
      <c r="AI608" s="1382"/>
      <c r="AJ608" s="1382"/>
      <c r="AK608" s="1382"/>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2161</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9" t="s">
        <v>696</v>
      </c>
      <c r="O609" s="1359"/>
      <c r="P609"/>
      <c r="Q609"/>
      <c r="R609"/>
      <c r="S609"/>
      <c r="T609" s="22"/>
      <c r="U609" t="s">
        <v>20</v>
      </c>
      <c r="V609"/>
      <c r="W609"/>
      <c r="X609"/>
      <c r="Y609"/>
      <c r="Z609"/>
      <c r="AA609"/>
      <c r="AB609"/>
      <c r="AC609"/>
      <c r="AD609"/>
      <c r="AE609"/>
      <c r="AF609"/>
      <c r="AG609" s="1359" t="s">
        <v>696</v>
      </c>
      <c r="AH609" s="1359"/>
      <c r="AI609"/>
      <c r="AJ609"/>
      <c r="AK609"/>
      <c r="AL609"/>
      <c r="AM609"/>
      <c r="AN609"/>
      <c r="AO609"/>
      <c r="AP609"/>
      <c r="AQ609"/>
      <c r="AR609"/>
      <c r="AS609"/>
      <c r="AT609"/>
      <c r="AU609"/>
      <c r="AV609"/>
      <c r="AW609"/>
      <c r="AX609"/>
      <c r="AY609"/>
      <c r="BA609" s="4" t="s">
        <v>330</v>
      </c>
      <c r="BB609" s="3"/>
      <c r="BC609" s="3"/>
      <c r="BD609" s="3"/>
      <c r="BE609" s="121" t="s">
        <v>500</v>
      </c>
      <c r="BF609" s="122"/>
      <c r="BG609" s="1356"/>
      <c r="BH609" s="1358"/>
      <c r="BI609" s="121" t="s">
        <v>501</v>
      </c>
      <c r="BJ609" s="122"/>
      <c r="BK609" s="1356"/>
      <c r="BL609" s="1358"/>
      <c r="BM609" s="3"/>
      <c r="BN609" s="1459" t="s">
        <v>660</v>
      </c>
      <c r="BO609" s="1460"/>
      <c r="BP609" s="1460"/>
      <c r="BQ609" s="1460"/>
      <c r="BR609" s="1461"/>
      <c r="BS609" s="1415" t="s">
        <v>331</v>
      </c>
      <c r="BT609" s="1415"/>
      <c r="BU609" s="1415"/>
      <c r="BV609" s="1415"/>
      <c r="BW609" s="1415"/>
      <c r="BX609" s="1415" t="s">
        <v>168</v>
      </c>
      <c r="BY609" s="1415"/>
      <c r="BZ609" s="1415"/>
      <c r="CA609" s="1415"/>
      <c r="CB609" s="1415"/>
      <c r="CC609" s="1415" t="s">
        <v>169</v>
      </c>
      <c r="CD609" s="1415"/>
      <c r="CE609" s="1415"/>
      <c r="CF609" s="1415"/>
      <c r="CG609" s="1415"/>
      <c r="CH609" s="1415" t="s">
        <v>486</v>
      </c>
      <c r="CI609" s="1415"/>
      <c r="CJ609" s="1415"/>
      <c r="CK609" s="1415"/>
      <c r="CL609" s="1415"/>
      <c r="CM609" s="1415" t="s">
        <v>31</v>
      </c>
      <c r="CN609" s="1415"/>
      <c r="CO609" s="1415"/>
      <c r="CP609" s="1415"/>
      <c r="CQ609" s="1415"/>
      <c r="CR609" s="89"/>
      <c r="CS609" s="1415" t="s">
        <v>660</v>
      </c>
      <c r="CT609" s="1415"/>
      <c r="CU609" s="1415"/>
      <c r="CV609" s="1415"/>
      <c r="CW609" s="1415"/>
      <c r="CX609" s="1415" t="s">
        <v>331</v>
      </c>
      <c r="CY609" s="1415"/>
      <c r="CZ609" s="1415"/>
      <c r="DA609" s="1415"/>
      <c r="DB609" s="1415"/>
      <c r="DC609" s="1415" t="s">
        <v>168</v>
      </c>
      <c r="DD609" s="1415"/>
      <c r="DE609" s="1415"/>
      <c r="DF609" s="1415"/>
      <c r="DG609" s="1415"/>
      <c r="DH609" s="1415" t="s">
        <v>169</v>
      </c>
      <c r="DI609" s="1415"/>
      <c r="DJ609" s="1415"/>
      <c r="DK609" s="1415"/>
      <c r="DL609" s="1415"/>
      <c r="DM609" s="1415" t="s">
        <v>486</v>
      </c>
      <c r="DN609" s="1415"/>
      <c r="DO609" s="1415"/>
      <c r="DP609" s="1415"/>
      <c r="DQ609" s="1415"/>
      <c r="DR609" s="1415" t="s">
        <v>31</v>
      </c>
      <c r="DS609" s="1415"/>
      <c r="DT609" s="1415"/>
      <c r="DU609" s="1415"/>
      <c r="DV609" s="1415"/>
      <c r="DX609" s="1415" t="s">
        <v>660</v>
      </c>
      <c r="DY609" s="1415"/>
      <c r="DZ609" s="1415"/>
      <c r="EA609" s="1415"/>
      <c r="EB609" s="1415"/>
      <c r="EC609" s="1415" t="s">
        <v>331</v>
      </c>
      <c r="ED609" s="1415"/>
      <c r="EE609" s="1415"/>
      <c r="EF609" s="1415"/>
      <c r="EG609" s="1415"/>
      <c r="EH609" s="1415" t="s">
        <v>168</v>
      </c>
      <c r="EI609" s="1415"/>
      <c r="EJ609" s="1415"/>
      <c r="EK609" s="1415"/>
      <c r="EL609" s="1415"/>
      <c r="EM609" s="1415" t="s">
        <v>169</v>
      </c>
      <c r="EN609" s="1415"/>
      <c r="EO609" s="1415"/>
      <c r="EP609" s="1415"/>
      <c r="EQ609" s="1415"/>
      <c r="ER609" s="1415" t="s">
        <v>486</v>
      </c>
      <c r="ES609" s="1415"/>
      <c r="ET609" s="1415"/>
      <c r="EU609" s="1415"/>
      <c r="EV609" s="1415"/>
      <c r="EW609" s="1415" t="s">
        <v>31</v>
      </c>
      <c r="EX609" s="1415"/>
      <c r="EY609" s="1415"/>
      <c r="EZ609" s="1415"/>
      <c r="FA609" s="1415"/>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61">
        <f t="shared" ref="BE610:BE634" si="0">IF(AND(AC728&lt;=0.5,AC728&gt;=0.36),1,0)</f>
        <v>0</v>
      </c>
      <c r="BF610" s="1363"/>
      <c r="BG610" s="1356">
        <f t="shared" ref="BG610:BG634" si="1">IF(BE610=1,G728,0)</f>
        <v>0</v>
      </c>
      <c r="BH610" s="1358"/>
      <c r="BI610" s="1361">
        <f t="shared" ref="BI610:BI634" si="2">IF(AND(AC728&lt;=0.35,AC728&gt;0),1,0)</f>
        <v>1</v>
      </c>
      <c r="BJ610" s="1363"/>
      <c r="BK610" s="1356">
        <f t="shared" ref="BK610:BK634" si="3">IF(BI610=1,G728,0)</f>
        <v>3</v>
      </c>
      <c r="BL610" s="1358"/>
      <c r="BM610" s="3"/>
      <c r="BN610" s="1339">
        <f t="shared" ref="BN610:BN634" si="4">IF(B728="SRO/Studio",G728,0)</f>
        <v>0</v>
      </c>
      <c r="BO610" s="1340"/>
      <c r="BP610" s="1340"/>
      <c r="BQ610" s="1340"/>
      <c r="BR610" s="1341"/>
      <c r="BS610" s="1346">
        <f t="shared" ref="BS610:BS634" si="5">IF(B728="1 Bedroom",G728,0)</f>
        <v>3</v>
      </c>
      <c r="BT610" s="1346"/>
      <c r="BU610" s="1346"/>
      <c r="BV610" s="1346"/>
      <c r="BW610" s="1346"/>
      <c r="BX610" s="1346">
        <f t="shared" ref="BX610:BX634" si="6">IF(B728="2 Bedrooms",G728,0)</f>
        <v>0</v>
      </c>
      <c r="BY610" s="1346"/>
      <c r="BZ610" s="1346"/>
      <c r="CA610" s="1346"/>
      <c r="CB610" s="1346"/>
      <c r="CC610" s="1346">
        <f t="shared" ref="CC610:CC634" si="7">IF(B728="3 Bedrooms",G728,0)</f>
        <v>0</v>
      </c>
      <c r="CD610" s="1346"/>
      <c r="CE610" s="1346"/>
      <c r="CF610" s="1346"/>
      <c r="CG610" s="1346"/>
      <c r="CH610" s="1346">
        <f t="shared" ref="CH610:CH634" si="8">IF(B728="4 Bedrooms",G728,0)</f>
        <v>0</v>
      </c>
      <c r="CI610" s="1346"/>
      <c r="CJ610" s="1346"/>
      <c r="CK610" s="1346"/>
      <c r="CL610" s="1346"/>
      <c r="CM610" s="1346">
        <f t="shared" ref="CM610:CM634" si="9">IF(B728="5 Bedrooms",G728,0)</f>
        <v>0</v>
      </c>
      <c r="CN610" s="1346"/>
      <c r="CO610" s="1346"/>
      <c r="CP610" s="1346"/>
      <c r="CQ610" s="1346"/>
      <c r="CR610" s="6"/>
      <c r="CS610" s="1364">
        <f t="shared" ref="CS610:CS634" si="10">IF(AND(B728="SRO/Studio",AC728&lt;=0.3),G728,0)</f>
        <v>0</v>
      </c>
      <c r="CT610" s="1364"/>
      <c r="CU610" s="1364"/>
      <c r="CV610" s="1364"/>
      <c r="CW610" s="1364"/>
      <c r="CX610" s="1364">
        <f t="shared" ref="CX610:CX634" si="11">IF(AND(B728="1 Bedroom",AC728&lt;=0.3),G728,0)</f>
        <v>3</v>
      </c>
      <c r="CY610" s="1364"/>
      <c r="CZ610" s="1364"/>
      <c r="DA610" s="1364"/>
      <c r="DB610" s="1364"/>
      <c r="DC610" s="1364">
        <f t="shared" ref="DC610:DC634" si="12">IF(AND(B728="2 Bedrooms",AC728&lt;=0.3),G728,0)</f>
        <v>0</v>
      </c>
      <c r="DD610" s="1364"/>
      <c r="DE610" s="1364"/>
      <c r="DF610" s="1364"/>
      <c r="DG610" s="1364"/>
      <c r="DH610" s="1364">
        <f t="shared" ref="DH610:DH634" si="13">IF(AND(B728="3 Bedrooms",AC728&lt;=0.3),G728,0)</f>
        <v>0</v>
      </c>
      <c r="DI610" s="1364"/>
      <c r="DJ610" s="1364"/>
      <c r="DK610" s="1364"/>
      <c r="DL610" s="1364"/>
      <c r="DM610" s="1364">
        <f t="shared" ref="DM610:DM634" si="14">IF(AND(B728="4 Bedrooms",AC728&lt;=0.3),G728,0)</f>
        <v>0</v>
      </c>
      <c r="DN610" s="1364"/>
      <c r="DO610" s="1364"/>
      <c r="DP610" s="1364"/>
      <c r="DQ610" s="1364"/>
      <c r="DR610" s="1364">
        <f t="shared" ref="DR610:DR634" si="15">IF(AND(B728="5 Bedrooms",AC728&lt;=0.3),G728,0)</f>
        <v>0</v>
      </c>
      <c r="DS610" s="1364"/>
      <c r="DT610" s="1364"/>
      <c r="DU610" s="1364"/>
      <c r="DV610" s="1364"/>
      <c r="DX610" s="1361" t="str">
        <f t="shared" ref="DX610:DX634" si="16">IF(BN610&gt;0,O728," ")</f>
        <v xml:space="preserve"> </v>
      </c>
      <c r="DY610" s="1362"/>
      <c r="DZ610" s="1362"/>
      <c r="EA610" s="1362"/>
      <c r="EB610" s="1363"/>
      <c r="EC610" s="1361">
        <f t="shared" ref="EC610:EC634" si="17">IF(BS610&gt;0,O728," ")</f>
        <v>433</v>
      </c>
      <c r="ED610" s="1362"/>
      <c r="EE610" s="1362"/>
      <c r="EF610" s="1362"/>
      <c r="EG610" s="1363"/>
      <c r="EH610" s="1361" t="str">
        <f t="shared" ref="EH610:EH634" si="18">IF(BX610&gt;0,O728," ")</f>
        <v xml:space="preserve"> </v>
      </c>
      <c r="EI610" s="1362"/>
      <c r="EJ610" s="1362"/>
      <c r="EK610" s="1362"/>
      <c r="EL610" s="1363"/>
      <c r="EM610" s="1361" t="str">
        <f t="shared" ref="EM610:EM634" si="19">IF(CC610&gt;0,O728," ")</f>
        <v xml:space="preserve"> </v>
      </c>
      <c r="EN610" s="1362"/>
      <c r="EO610" s="1362"/>
      <c r="EP610" s="1362"/>
      <c r="EQ610" s="1363"/>
      <c r="ER610" s="1361" t="str">
        <f t="shared" ref="ER610:ER634" si="20">IF(CH610&gt;0,O728," ")</f>
        <v xml:space="preserve"> </v>
      </c>
      <c r="ES610" s="1362"/>
      <c r="ET610" s="1362"/>
      <c r="EU610" s="1362"/>
      <c r="EV610" s="1363"/>
      <c r="EW610" s="1361" t="str">
        <f t="shared" ref="EW610:EW634" si="21">IF(CM610&gt;0,O728," ")</f>
        <v xml:space="preserve"> </v>
      </c>
      <c r="EX610" s="1362"/>
      <c r="EY610" s="1362"/>
      <c r="EZ610" s="1362"/>
      <c r="FA610" s="1363"/>
    </row>
    <row r="611" spans="1:157" s="4" customFormat="1" ht="12.75">
      <c r="A611" s="55" t="s">
        <v>487</v>
      </c>
      <c r="B611" t="s">
        <v>489</v>
      </c>
      <c r="C611"/>
      <c r="D611"/>
      <c r="E611"/>
      <c r="F611"/>
      <c r="G611" s="1342">
        <f>C572</f>
        <v>0</v>
      </c>
      <c r="H611" s="1342"/>
      <c r="I611" s="1342"/>
      <c r="J611" s="1342"/>
      <c r="K611" s="1342"/>
      <c r="L611" s="1342"/>
      <c r="M611" s="1342"/>
      <c r="N611" s="1342"/>
      <c r="O611" s="1342"/>
      <c r="P611" s="1342"/>
      <c r="Q611" s="1342"/>
      <c r="R611" s="1342"/>
      <c r="S611"/>
      <c r="T611" s="55" t="s">
        <v>673</v>
      </c>
      <c r="U611" t="s">
        <v>489</v>
      </c>
      <c r="V611"/>
      <c r="W611"/>
      <c r="X611"/>
      <c r="Y611"/>
      <c r="Z611" s="1342">
        <f>C573</f>
        <v>0</v>
      </c>
      <c r="AA611" s="1342"/>
      <c r="AB611" s="1342"/>
      <c r="AC611" s="1342"/>
      <c r="AD611" s="1342"/>
      <c r="AE611" s="1342"/>
      <c r="AF611" s="1342"/>
      <c r="AG611" s="1342"/>
      <c r="AH611" s="1342"/>
      <c r="AI611" s="1342"/>
      <c r="AJ611" s="1342"/>
      <c r="AK611" s="1342"/>
      <c r="AL611"/>
      <c r="AM611"/>
      <c r="AN611"/>
      <c r="AO611"/>
      <c r="AP611"/>
      <c r="AQ611"/>
      <c r="AR611"/>
      <c r="AS611"/>
      <c r="AT611"/>
      <c r="AU611"/>
      <c r="AV611"/>
      <c r="AW611"/>
      <c r="AX611"/>
      <c r="AY611"/>
      <c r="BA611" s="4" t="s">
        <v>168</v>
      </c>
      <c r="BB611" s="3"/>
      <c r="BC611" s="3"/>
      <c r="BD611" s="3"/>
      <c r="BE611" s="1361">
        <f t="shared" si="0"/>
        <v>1</v>
      </c>
      <c r="BF611" s="1363"/>
      <c r="BG611" s="1356">
        <f t="shared" si="1"/>
        <v>3</v>
      </c>
      <c r="BH611" s="1358"/>
      <c r="BI611" s="1361">
        <f t="shared" si="2"/>
        <v>0</v>
      </c>
      <c r="BJ611" s="1363"/>
      <c r="BK611" s="1356">
        <f t="shared" si="3"/>
        <v>0</v>
      </c>
      <c r="BL611" s="1358"/>
      <c r="BM611" s="3"/>
      <c r="BN611" s="1339">
        <f t="shared" si="4"/>
        <v>0</v>
      </c>
      <c r="BO611" s="1340"/>
      <c r="BP611" s="1340"/>
      <c r="BQ611" s="1340"/>
      <c r="BR611" s="1341"/>
      <c r="BS611" s="1346">
        <f t="shared" si="5"/>
        <v>3</v>
      </c>
      <c r="BT611" s="1346"/>
      <c r="BU611" s="1346"/>
      <c r="BV611" s="1346"/>
      <c r="BW611" s="1346"/>
      <c r="BX611" s="1346">
        <f t="shared" si="6"/>
        <v>0</v>
      </c>
      <c r="BY611" s="1346"/>
      <c r="BZ611" s="1346"/>
      <c r="CA611" s="1346"/>
      <c r="CB611" s="1346"/>
      <c r="CC611" s="1346">
        <f t="shared" si="7"/>
        <v>0</v>
      </c>
      <c r="CD611" s="1346"/>
      <c r="CE611" s="1346"/>
      <c r="CF611" s="1346"/>
      <c r="CG611" s="1346"/>
      <c r="CH611" s="1346">
        <f t="shared" si="8"/>
        <v>0</v>
      </c>
      <c r="CI611" s="1346"/>
      <c r="CJ611" s="1346"/>
      <c r="CK611" s="1346"/>
      <c r="CL611" s="1346"/>
      <c r="CM611" s="1346">
        <f t="shared" si="9"/>
        <v>0</v>
      </c>
      <c r="CN611" s="1346"/>
      <c r="CO611" s="1346"/>
      <c r="CP611" s="1346"/>
      <c r="CQ611" s="1346"/>
      <c r="CR611" s="6"/>
      <c r="CS611" s="1364">
        <f t="shared" si="10"/>
        <v>0</v>
      </c>
      <c r="CT611" s="1364"/>
      <c r="CU611" s="1364"/>
      <c r="CV611" s="1364"/>
      <c r="CW611" s="1364"/>
      <c r="CX611" s="1364">
        <f t="shared" si="11"/>
        <v>0</v>
      </c>
      <c r="CY611" s="1364"/>
      <c r="CZ611" s="1364"/>
      <c r="DA611" s="1364"/>
      <c r="DB611" s="1364"/>
      <c r="DC611" s="1364">
        <f t="shared" si="12"/>
        <v>0</v>
      </c>
      <c r="DD611" s="1364"/>
      <c r="DE611" s="1364"/>
      <c r="DF611" s="1364"/>
      <c r="DG611" s="1364"/>
      <c r="DH611" s="1364">
        <f t="shared" si="13"/>
        <v>0</v>
      </c>
      <c r="DI611" s="1364"/>
      <c r="DJ611" s="1364"/>
      <c r="DK611" s="1364"/>
      <c r="DL611" s="1364"/>
      <c r="DM611" s="1364">
        <f t="shared" si="14"/>
        <v>0</v>
      </c>
      <c r="DN611" s="1364"/>
      <c r="DO611" s="1364"/>
      <c r="DP611" s="1364"/>
      <c r="DQ611" s="1364"/>
      <c r="DR611" s="1364">
        <f t="shared" si="15"/>
        <v>0</v>
      </c>
      <c r="DS611" s="1364"/>
      <c r="DT611" s="1364"/>
      <c r="DU611" s="1364"/>
      <c r="DV611" s="1364"/>
      <c r="DX611" s="1361" t="str">
        <f t="shared" si="16"/>
        <v xml:space="preserve"> </v>
      </c>
      <c r="DY611" s="1362"/>
      <c r="DZ611" s="1362"/>
      <c r="EA611" s="1362"/>
      <c r="EB611" s="1363"/>
      <c r="EC611" s="1361">
        <f t="shared" si="17"/>
        <v>580</v>
      </c>
      <c r="ED611" s="1362"/>
      <c r="EE611" s="1362"/>
      <c r="EF611" s="1362"/>
      <c r="EG611" s="1363"/>
      <c r="EH611" s="1361" t="str">
        <f t="shared" si="18"/>
        <v xml:space="preserve"> </v>
      </c>
      <c r="EI611" s="1362"/>
      <c r="EJ611" s="1362"/>
      <c r="EK611" s="1362"/>
      <c r="EL611" s="1363"/>
      <c r="EM611" s="1361" t="str">
        <f t="shared" si="19"/>
        <v xml:space="preserve"> </v>
      </c>
      <c r="EN611" s="1362"/>
      <c r="EO611" s="1362"/>
      <c r="EP611" s="1362"/>
      <c r="EQ611" s="1363"/>
      <c r="ER611" s="1361" t="str">
        <f t="shared" si="20"/>
        <v xml:space="preserve"> </v>
      </c>
      <c r="ES611" s="1362"/>
      <c r="ET611" s="1362"/>
      <c r="EU611" s="1362"/>
      <c r="EV611" s="1363"/>
      <c r="EW611" s="1361" t="str">
        <f t="shared" si="21"/>
        <v xml:space="preserve"> </v>
      </c>
      <c r="EX611" s="1362"/>
      <c r="EY611" s="1362"/>
      <c r="EZ611" s="1362"/>
      <c r="FA611" s="1363"/>
    </row>
    <row r="612" spans="1:157" ht="12.75">
      <c r="A612" s="22"/>
      <c r="B612" t="s">
        <v>90</v>
      </c>
      <c r="G612" s="1382"/>
      <c r="H612" s="1382"/>
      <c r="I612" s="1382"/>
      <c r="J612" s="1382"/>
      <c r="K612" s="1382"/>
      <c r="L612" s="1382"/>
      <c r="M612" s="1382"/>
      <c r="N612" s="1382"/>
      <c r="O612" s="1382"/>
      <c r="P612" s="1382"/>
      <c r="Q612" s="1382"/>
      <c r="R612" s="1382"/>
      <c r="T612" s="22"/>
      <c r="U612" t="s">
        <v>90</v>
      </c>
      <c r="Z612" s="1382"/>
      <c r="AA612" s="1382"/>
      <c r="AB612" s="1382"/>
      <c r="AC612" s="1382"/>
      <c r="AD612" s="1382"/>
      <c r="AE612" s="1382"/>
      <c r="AF612" s="1382"/>
      <c r="AG612" s="1382"/>
      <c r="AH612" s="1382"/>
      <c r="AI612" s="1382"/>
      <c r="AJ612" s="1382"/>
      <c r="AK612" s="1382"/>
      <c r="BA612" s="4" t="s">
        <v>169</v>
      </c>
      <c r="BB612" s="3"/>
      <c r="BC612" s="3"/>
      <c r="BD612" s="3"/>
      <c r="BE612" s="1361">
        <f t="shared" si="0"/>
        <v>1</v>
      </c>
      <c r="BF612" s="1363"/>
      <c r="BG612" s="1356">
        <f t="shared" si="1"/>
        <v>1</v>
      </c>
      <c r="BH612" s="1358"/>
      <c r="BI612" s="1361">
        <f t="shared" si="2"/>
        <v>0</v>
      </c>
      <c r="BJ612" s="1363"/>
      <c r="BK612" s="1356">
        <f t="shared" si="3"/>
        <v>0</v>
      </c>
      <c r="BL612" s="1358"/>
      <c r="BM612" s="3"/>
      <c r="BN612" s="1339">
        <f t="shared" si="4"/>
        <v>0</v>
      </c>
      <c r="BO612" s="1340"/>
      <c r="BP612" s="1340"/>
      <c r="BQ612" s="1340"/>
      <c r="BR612" s="1341"/>
      <c r="BS612" s="1346">
        <f t="shared" si="5"/>
        <v>1</v>
      </c>
      <c r="BT612" s="1346"/>
      <c r="BU612" s="1346"/>
      <c r="BV612" s="1346"/>
      <c r="BW612" s="1346"/>
      <c r="BX612" s="1346">
        <f t="shared" si="6"/>
        <v>0</v>
      </c>
      <c r="BY612" s="1346"/>
      <c r="BZ612" s="1346"/>
      <c r="CA612" s="1346"/>
      <c r="CB612" s="1346"/>
      <c r="CC612" s="1346">
        <f t="shared" si="7"/>
        <v>0</v>
      </c>
      <c r="CD612" s="1346"/>
      <c r="CE612" s="1346"/>
      <c r="CF612" s="1346"/>
      <c r="CG612" s="1346"/>
      <c r="CH612" s="1346">
        <f t="shared" si="8"/>
        <v>0</v>
      </c>
      <c r="CI612" s="1346"/>
      <c r="CJ612" s="1346"/>
      <c r="CK612" s="1346"/>
      <c r="CL612" s="1346"/>
      <c r="CM612" s="1346">
        <f t="shared" si="9"/>
        <v>0</v>
      </c>
      <c r="CN612" s="1346"/>
      <c r="CO612" s="1346"/>
      <c r="CP612" s="1346"/>
      <c r="CQ612" s="1346"/>
      <c r="CR612" s="6"/>
      <c r="CS612" s="1364">
        <f t="shared" si="10"/>
        <v>0</v>
      </c>
      <c r="CT612" s="1364"/>
      <c r="CU612" s="1364"/>
      <c r="CV612" s="1364"/>
      <c r="CW612" s="1364"/>
      <c r="CX612" s="1364">
        <f t="shared" si="11"/>
        <v>0</v>
      </c>
      <c r="CY612" s="1364"/>
      <c r="CZ612" s="1364"/>
      <c r="DA612" s="1364"/>
      <c r="DB612" s="1364"/>
      <c r="DC612" s="1364">
        <f t="shared" si="12"/>
        <v>0</v>
      </c>
      <c r="DD612" s="1364"/>
      <c r="DE612" s="1364"/>
      <c r="DF612" s="1364"/>
      <c r="DG612" s="1364"/>
      <c r="DH612" s="1364">
        <f t="shared" si="13"/>
        <v>0</v>
      </c>
      <c r="DI612" s="1364"/>
      <c r="DJ612" s="1364"/>
      <c r="DK612" s="1364"/>
      <c r="DL612" s="1364"/>
      <c r="DM612" s="1364">
        <f t="shared" si="14"/>
        <v>0</v>
      </c>
      <c r="DN612" s="1364"/>
      <c r="DO612" s="1364"/>
      <c r="DP612" s="1364"/>
      <c r="DQ612" s="1364"/>
      <c r="DR612" s="1364">
        <f t="shared" si="15"/>
        <v>0</v>
      </c>
      <c r="DS612" s="1364"/>
      <c r="DT612" s="1364"/>
      <c r="DU612" s="1364"/>
      <c r="DV612" s="1364"/>
      <c r="DX612" s="1361" t="str">
        <f t="shared" si="16"/>
        <v xml:space="preserve"> </v>
      </c>
      <c r="DY612" s="1362"/>
      <c r="DZ612" s="1362"/>
      <c r="EA612" s="1362"/>
      <c r="EB612" s="1363"/>
      <c r="EC612" s="1361">
        <f t="shared" si="17"/>
        <v>726</v>
      </c>
      <c r="ED612" s="1362"/>
      <c r="EE612" s="1362"/>
      <c r="EF612" s="1362"/>
      <c r="EG612" s="1363"/>
      <c r="EH612" s="1361" t="str">
        <f t="shared" si="18"/>
        <v xml:space="preserve"> </v>
      </c>
      <c r="EI612" s="1362"/>
      <c r="EJ612" s="1362"/>
      <c r="EK612" s="1362"/>
      <c r="EL612" s="1363"/>
      <c r="EM612" s="1361" t="str">
        <f t="shared" si="19"/>
        <v xml:space="preserve"> </v>
      </c>
      <c r="EN612" s="1362"/>
      <c r="EO612" s="1362"/>
      <c r="EP612" s="1362"/>
      <c r="EQ612" s="1363"/>
      <c r="ER612" s="1361" t="str">
        <f t="shared" si="20"/>
        <v xml:space="preserve"> </v>
      </c>
      <c r="ES612" s="1362"/>
      <c r="ET612" s="1362"/>
      <c r="EU612" s="1362"/>
      <c r="EV612" s="1363"/>
      <c r="EW612" s="1361" t="str">
        <f t="shared" si="21"/>
        <v xml:space="preserve"> </v>
      </c>
      <c r="EX612" s="1362"/>
      <c r="EY612" s="1362"/>
      <c r="EZ612" s="1362"/>
      <c r="FA612" s="1363"/>
    </row>
    <row r="613" spans="1:157" ht="12.75">
      <c r="A613" s="22"/>
      <c r="B613" t="s">
        <v>607</v>
      </c>
      <c r="G613" s="1382"/>
      <c r="H613" s="1382"/>
      <c r="I613" s="1382"/>
      <c r="J613" s="1382"/>
      <c r="K613" s="1382"/>
      <c r="L613" s="1382"/>
      <c r="M613" s="1382"/>
      <c r="N613" s="1382"/>
      <c r="O613" s="1382"/>
      <c r="P613" s="1382"/>
      <c r="Q613" s="1382"/>
      <c r="R613" s="1382"/>
      <c r="T613" s="22"/>
      <c r="U613" t="s">
        <v>607</v>
      </c>
      <c r="Z613" s="1352"/>
      <c r="AA613" s="1352"/>
      <c r="AB613" s="1352"/>
      <c r="AC613" s="1352"/>
      <c r="AD613" s="1352"/>
      <c r="AE613" s="1352"/>
      <c r="AF613" s="1352"/>
      <c r="AG613" s="1352"/>
      <c r="AH613" s="1352"/>
      <c r="AI613" s="1352"/>
      <c r="AJ613" s="1352"/>
      <c r="AK613" s="1352"/>
      <c r="BA613" s="4" t="s">
        <v>170</v>
      </c>
      <c r="BB613" s="3"/>
      <c r="BC613" s="3"/>
      <c r="BD613" s="3"/>
      <c r="BE613" s="1361">
        <f t="shared" si="0"/>
        <v>0</v>
      </c>
      <c r="BF613" s="1363"/>
      <c r="BG613" s="1356">
        <f t="shared" si="1"/>
        <v>0</v>
      </c>
      <c r="BH613" s="1358"/>
      <c r="BI613" s="1361">
        <f t="shared" si="2"/>
        <v>0</v>
      </c>
      <c r="BJ613" s="1363"/>
      <c r="BK613" s="1356">
        <f t="shared" si="3"/>
        <v>0</v>
      </c>
      <c r="BL613" s="1358"/>
      <c r="BM613" s="3"/>
      <c r="BN613" s="1339">
        <f t="shared" si="4"/>
        <v>0</v>
      </c>
      <c r="BO613" s="1340"/>
      <c r="BP613" s="1340"/>
      <c r="BQ613" s="1340"/>
      <c r="BR613" s="1341"/>
      <c r="BS613" s="1346">
        <f t="shared" si="5"/>
        <v>1</v>
      </c>
      <c r="BT613" s="1346"/>
      <c r="BU613" s="1346"/>
      <c r="BV613" s="1346"/>
      <c r="BW613" s="1346"/>
      <c r="BX613" s="1346">
        <f t="shared" si="6"/>
        <v>0</v>
      </c>
      <c r="BY613" s="1346"/>
      <c r="BZ613" s="1346"/>
      <c r="CA613" s="1346"/>
      <c r="CB613" s="1346"/>
      <c r="CC613" s="1346">
        <f t="shared" si="7"/>
        <v>0</v>
      </c>
      <c r="CD613" s="1346"/>
      <c r="CE613" s="1346"/>
      <c r="CF613" s="1346"/>
      <c r="CG613" s="1346"/>
      <c r="CH613" s="1346">
        <f t="shared" si="8"/>
        <v>0</v>
      </c>
      <c r="CI613" s="1346"/>
      <c r="CJ613" s="1346"/>
      <c r="CK613" s="1346"/>
      <c r="CL613" s="1346"/>
      <c r="CM613" s="1346">
        <f t="shared" si="9"/>
        <v>0</v>
      </c>
      <c r="CN613" s="1346"/>
      <c r="CO613" s="1346"/>
      <c r="CP613" s="1346"/>
      <c r="CQ613" s="1346"/>
      <c r="CR613" s="6"/>
      <c r="CS613" s="1364">
        <f t="shared" si="10"/>
        <v>0</v>
      </c>
      <c r="CT613" s="1364"/>
      <c r="CU613" s="1364"/>
      <c r="CV613" s="1364"/>
      <c r="CW613" s="1364"/>
      <c r="CX613" s="1364">
        <f t="shared" si="11"/>
        <v>0</v>
      </c>
      <c r="CY613" s="1364"/>
      <c r="CZ613" s="1364"/>
      <c r="DA613" s="1364"/>
      <c r="DB613" s="1364"/>
      <c r="DC613" s="1364">
        <f t="shared" si="12"/>
        <v>0</v>
      </c>
      <c r="DD613" s="1364"/>
      <c r="DE613" s="1364"/>
      <c r="DF613" s="1364"/>
      <c r="DG613" s="1364"/>
      <c r="DH613" s="1364">
        <f t="shared" si="13"/>
        <v>0</v>
      </c>
      <c r="DI613" s="1364"/>
      <c r="DJ613" s="1364"/>
      <c r="DK613" s="1364"/>
      <c r="DL613" s="1364"/>
      <c r="DM613" s="1364">
        <f t="shared" si="14"/>
        <v>0</v>
      </c>
      <c r="DN613" s="1364"/>
      <c r="DO613" s="1364"/>
      <c r="DP613" s="1364"/>
      <c r="DQ613" s="1364"/>
      <c r="DR613" s="1364">
        <f t="shared" si="15"/>
        <v>0</v>
      </c>
      <c r="DS613" s="1364"/>
      <c r="DT613" s="1364"/>
      <c r="DU613" s="1364"/>
      <c r="DV613" s="1364"/>
      <c r="DX613" s="1361" t="str">
        <f t="shared" si="16"/>
        <v xml:space="preserve"> </v>
      </c>
      <c r="DY613" s="1362"/>
      <c r="DZ613" s="1362"/>
      <c r="EA613" s="1362"/>
      <c r="EB613" s="1363"/>
      <c r="EC613" s="1361">
        <f t="shared" si="17"/>
        <v>872</v>
      </c>
      <c r="ED613" s="1362"/>
      <c r="EE613" s="1362"/>
      <c r="EF613" s="1362"/>
      <c r="EG613" s="1363"/>
      <c r="EH613" s="1361" t="str">
        <f t="shared" si="18"/>
        <v xml:space="preserve"> </v>
      </c>
      <c r="EI613" s="1362"/>
      <c r="EJ613" s="1362"/>
      <c r="EK613" s="1362"/>
      <c r="EL613" s="1363"/>
      <c r="EM613" s="1361" t="str">
        <f t="shared" si="19"/>
        <v xml:space="preserve"> </v>
      </c>
      <c r="EN613" s="1362"/>
      <c r="EO613" s="1362"/>
      <c r="EP613" s="1362"/>
      <c r="EQ613" s="1363"/>
      <c r="ER613" s="1361" t="str">
        <f t="shared" si="20"/>
        <v xml:space="preserve"> </v>
      </c>
      <c r="ES613" s="1362"/>
      <c r="ET613" s="1362"/>
      <c r="EU613" s="1362"/>
      <c r="EV613" s="1363"/>
      <c r="EW613" s="1361" t="str">
        <f t="shared" si="21"/>
        <v xml:space="preserve"> </v>
      </c>
      <c r="EX613" s="1362"/>
      <c r="EY613" s="1362"/>
      <c r="EZ613" s="1362"/>
      <c r="FA613" s="1363"/>
    </row>
    <row r="614" spans="1:157" ht="12.75">
      <c r="A614" s="22"/>
      <c r="B614" t="s">
        <v>17</v>
      </c>
      <c r="G614" s="1382"/>
      <c r="H614" s="1382"/>
      <c r="I614" s="1382"/>
      <c r="J614" s="1382"/>
      <c r="K614" s="1382"/>
      <c r="L614" s="1382"/>
      <c r="M614" s="1382"/>
      <c r="N614" s="1382"/>
      <c r="O614" s="1382"/>
      <c r="P614" s="1382"/>
      <c r="Q614" s="1382"/>
      <c r="R614" s="1382"/>
      <c r="T614" s="22"/>
      <c r="U614" t="s">
        <v>17</v>
      </c>
      <c r="Z614" s="1352"/>
      <c r="AA614" s="1352"/>
      <c r="AB614" s="1352"/>
      <c r="AC614" s="1352"/>
      <c r="AD614" s="1352"/>
      <c r="AE614" s="1352"/>
      <c r="AF614" s="1352"/>
      <c r="AG614" s="1352"/>
      <c r="AH614" s="1352"/>
      <c r="AI614" s="1352"/>
      <c r="AJ614" s="1352"/>
      <c r="AK614" s="1352"/>
      <c r="BA614" s="4" t="s">
        <v>31</v>
      </c>
      <c r="BB614" s="3"/>
      <c r="BC614" s="3"/>
      <c r="BD614" s="3"/>
      <c r="BE614" s="1361">
        <f t="shared" si="0"/>
        <v>0</v>
      </c>
      <c r="BF614" s="1363"/>
      <c r="BG614" s="1356">
        <f t="shared" si="1"/>
        <v>0</v>
      </c>
      <c r="BH614" s="1358"/>
      <c r="BI614" s="1361">
        <f t="shared" si="2"/>
        <v>1</v>
      </c>
      <c r="BJ614" s="1363"/>
      <c r="BK614" s="1356">
        <f t="shared" si="3"/>
        <v>9</v>
      </c>
      <c r="BL614" s="1358"/>
      <c r="BM614" s="3"/>
      <c r="BN614" s="1339">
        <f t="shared" si="4"/>
        <v>0</v>
      </c>
      <c r="BO614" s="1340"/>
      <c r="BP614" s="1340"/>
      <c r="BQ614" s="1340"/>
      <c r="BR614" s="1341"/>
      <c r="BS614" s="1346">
        <f t="shared" si="5"/>
        <v>0</v>
      </c>
      <c r="BT614" s="1346"/>
      <c r="BU614" s="1346"/>
      <c r="BV614" s="1346"/>
      <c r="BW614" s="1346"/>
      <c r="BX614" s="1346">
        <f t="shared" si="6"/>
        <v>9</v>
      </c>
      <c r="BY614" s="1346"/>
      <c r="BZ614" s="1346"/>
      <c r="CA614" s="1346"/>
      <c r="CB614" s="1346"/>
      <c r="CC614" s="1346">
        <f t="shared" si="7"/>
        <v>0</v>
      </c>
      <c r="CD614" s="1346"/>
      <c r="CE614" s="1346"/>
      <c r="CF614" s="1346"/>
      <c r="CG614" s="1346"/>
      <c r="CH614" s="1346">
        <f t="shared" si="8"/>
        <v>0</v>
      </c>
      <c r="CI614" s="1346"/>
      <c r="CJ614" s="1346"/>
      <c r="CK614" s="1346"/>
      <c r="CL614" s="1346"/>
      <c r="CM614" s="1346">
        <f t="shared" si="9"/>
        <v>0</v>
      </c>
      <c r="CN614" s="1346"/>
      <c r="CO614" s="1346"/>
      <c r="CP614" s="1346"/>
      <c r="CQ614" s="1346"/>
      <c r="CR614" s="6"/>
      <c r="CS614" s="1364">
        <f t="shared" si="10"/>
        <v>0</v>
      </c>
      <c r="CT614" s="1364"/>
      <c r="CU614" s="1364"/>
      <c r="CV614" s="1364"/>
      <c r="CW614" s="1364"/>
      <c r="CX614" s="1364">
        <f t="shared" si="11"/>
        <v>0</v>
      </c>
      <c r="CY614" s="1364"/>
      <c r="CZ614" s="1364"/>
      <c r="DA614" s="1364"/>
      <c r="DB614" s="1364"/>
      <c r="DC614" s="1364">
        <f t="shared" si="12"/>
        <v>9</v>
      </c>
      <c r="DD614" s="1364"/>
      <c r="DE614" s="1364"/>
      <c r="DF614" s="1364"/>
      <c r="DG614" s="1364"/>
      <c r="DH614" s="1364">
        <f t="shared" si="13"/>
        <v>0</v>
      </c>
      <c r="DI614" s="1364"/>
      <c r="DJ614" s="1364"/>
      <c r="DK614" s="1364"/>
      <c r="DL614" s="1364"/>
      <c r="DM614" s="1364">
        <f t="shared" si="14"/>
        <v>0</v>
      </c>
      <c r="DN614" s="1364"/>
      <c r="DO614" s="1364"/>
      <c r="DP614" s="1364"/>
      <c r="DQ614" s="1364"/>
      <c r="DR614" s="1364">
        <f t="shared" si="15"/>
        <v>0</v>
      </c>
      <c r="DS614" s="1364"/>
      <c r="DT614" s="1364"/>
      <c r="DU614" s="1364"/>
      <c r="DV614" s="1364"/>
      <c r="DX614" s="1361" t="str">
        <f t="shared" si="16"/>
        <v xml:space="preserve"> </v>
      </c>
      <c r="DY614" s="1362"/>
      <c r="DZ614" s="1362"/>
      <c r="EA614" s="1362"/>
      <c r="EB614" s="1363"/>
      <c r="EC614" s="1361" t="str">
        <f t="shared" si="17"/>
        <v xml:space="preserve"> </v>
      </c>
      <c r="ED614" s="1362"/>
      <c r="EE614" s="1362"/>
      <c r="EF614" s="1362"/>
      <c r="EG614" s="1363"/>
      <c r="EH614" s="1361">
        <f t="shared" si="18"/>
        <v>521</v>
      </c>
      <c r="EI614" s="1362"/>
      <c r="EJ614" s="1362"/>
      <c r="EK614" s="1362"/>
      <c r="EL614" s="1363"/>
      <c r="EM614" s="1361" t="str">
        <f t="shared" si="19"/>
        <v xml:space="preserve"> </v>
      </c>
      <c r="EN614" s="1362"/>
      <c r="EO614" s="1362"/>
      <c r="EP614" s="1362"/>
      <c r="EQ614" s="1363"/>
      <c r="ER614" s="1361" t="str">
        <f t="shared" si="20"/>
        <v xml:space="preserve"> </v>
      </c>
      <c r="ES614" s="1362"/>
      <c r="ET614" s="1362"/>
      <c r="EU614" s="1362"/>
      <c r="EV614" s="1363"/>
      <c r="EW614" s="1361" t="str">
        <f t="shared" si="21"/>
        <v xml:space="preserve"> </v>
      </c>
      <c r="EX614" s="1362"/>
      <c r="EY614" s="1362"/>
      <c r="EZ614" s="1362"/>
      <c r="FA614" s="1363"/>
    </row>
    <row r="615" spans="1:157" ht="12.75">
      <c r="A615" s="22"/>
      <c r="B615" t="s">
        <v>322</v>
      </c>
      <c r="G615" s="1617"/>
      <c r="H615" s="1617"/>
      <c r="I615" s="1617"/>
      <c r="J615" s="1617"/>
      <c r="K615" s="1617"/>
      <c r="L615" s="1617"/>
      <c r="O615" s="33" t="s">
        <v>212</v>
      </c>
      <c r="P615" s="1351"/>
      <c r="Q615" s="1351"/>
      <c r="R615" s="1351"/>
      <c r="T615" s="22"/>
      <c r="U615" t="s">
        <v>322</v>
      </c>
      <c r="Z615" s="1617"/>
      <c r="AA615" s="1617"/>
      <c r="AB615" s="1617"/>
      <c r="AC615" s="1617"/>
      <c r="AD615" s="1617"/>
      <c r="AE615" s="1617"/>
      <c r="AH615" s="33" t="s">
        <v>212</v>
      </c>
      <c r="AI615" s="1351"/>
      <c r="AJ615" s="1351"/>
      <c r="AK615" s="1351"/>
      <c r="AZ615" s="3"/>
      <c r="BA615" s="3"/>
      <c r="BB615" s="3"/>
      <c r="BC615" s="3"/>
      <c r="BD615" s="3"/>
      <c r="BE615" s="1361">
        <f t="shared" si="0"/>
        <v>1</v>
      </c>
      <c r="BF615" s="1363"/>
      <c r="BG615" s="1356">
        <f t="shared" si="1"/>
        <v>10</v>
      </c>
      <c r="BH615" s="1358"/>
      <c r="BI615" s="1361">
        <f t="shared" si="2"/>
        <v>0</v>
      </c>
      <c r="BJ615" s="1363"/>
      <c r="BK615" s="1356">
        <f t="shared" si="3"/>
        <v>0</v>
      </c>
      <c r="BL615" s="1358"/>
      <c r="BM615" s="3"/>
      <c r="BN615" s="1339">
        <f t="shared" si="4"/>
        <v>0</v>
      </c>
      <c r="BO615" s="1340"/>
      <c r="BP615" s="1340"/>
      <c r="BQ615" s="1340"/>
      <c r="BR615" s="1341"/>
      <c r="BS615" s="1346">
        <f t="shared" si="5"/>
        <v>0</v>
      </c>
      <c r="BT615" s="1346"/>
      <c r="BU615" s="1346"/>
      <c r="BV615" s="1346"/>
      <c r="BW615" s="1346"/>
      <c r="BX615" s="1346">
        <f t="shared" si="6"/>
        <v>10</v>
      </c>
      <c r="BY615" s="1346"/>
      <c r="BZ615" s="1346"/>
      <c r="CA615" s="1346"/>
      <c r="CB615" s="1346"/>
      <c r="CC615" s="1346">
        <f t="shared" si="7"/>
        <v>0</v>
      </c>
      <c r="CD615" s="1346"/>
      <c r="CE615" s="1346"/>
      <c r="CF615" s="1346"/>
      <c r="CG615" s="1346"/>
      <c r="CH615" s="1346">
        <f t="shared" si="8"/>
        <v>0</v>
      </c>
      <c r="CI615" s="1346"/>
      <c r="CJ615" s="1346"/>
      <c r="CK615" s="1346"/>
      <c r="CL615" s="1346"/>
      <c r="CM615" s="1346">
        <f t="shared" si="9"/>
        <v>0</v>
      </c>
      <c r="CN615" s="1346"/>
      <c r="CO615" s="1346"/>
      <c r="CP615" s="1346"/>
      <c r="CQ615" s="1346"/>
      <c r="CR615" s="6"/>
      <c r="CS615" s="1364">
        <f t="shared" si="10"/>
        <v>0</v>
      </c>
      <c r="CT615" s="1364"/>
      <c r="CU615" s="1364"/>
      <c r="CV615" s="1364"/>
      <c r="CW615" s="1364"/>
      <c r="CX615" s="1364">
        <f t="shared" si="11"/>
        <v>0</v>
      </c>
      <c r="CY615" s="1364"/>
      <c r="CZ615" s="1364"/>
      <c r="DA615" s="1364"/>
      <c r="DB615" s="1364"/>
      <c r="DC615" s="1364">
        <f t="shared" si="12"/>
        <v>0</v>
      </c>
      <c r="DD615" s="1364"/>
      <c r="DE615" s="1364"/>
      <c r="DF615" s="1364"/>
      <c r="DG615" s="1364"/>
      <c r="DH615" s="1364">
        <f t="shared" si="13"/>
        <v>0</v>
      </c>
      <c r="DI615" s="1364"/>
      <c r="DJ615" s="1364"/>
      <c r="DK615" s="1364"/>
      <c r="DL615" s="1364"/>
      <c r="DM615" s="1364">
        <f t="shared" si="14"/>
        <v>0</v>
      </c>
      <c r="DN615" s="1364"/>
      <c r="DO615" s="1364"/>
      <c r="DP615" s="1364"/>
      <c r="DQ615" s="1364"/>
      <c r="DR615" s="1364">
        <f t="shared" si="15"/>
        <v>0</v>
      </c>
      <c r="DS615" s="1364"/>
      <c r="DT615" s="1364"/>
      <c r="DU615" s="1364"/>
      <c r="DV615" s="1364"/>
      <c r="DX615" s="1361" t="str">
        <f t="shared" si="16"/>
        <v xml:space="preserve"> </v>
      </c>
      <c r="DY615" s="1362"/>
      <c r="DZ615" s="1362"/>
      <c r="EA615" s="1362"/>
      <c r="EB615" s="1363"/>
      <c r="EC615" s="1361" t="str">
        <f t="shared" si="17"/>
        <v xml:space="preserve"> </v>
      </c>
      <c r="ED615" s="1362"/>
      <c r="EE615" s="1362"/>
      <c r="EF615" s="1362"/>
      <c r="EG615" s="1363"/>
      <c r="EH615" s="1361">
        <f t="shared" si="18"/>
        <v>697</v>
      </c>
      <c r="EI615" s="1362"/>
      <c r="EJ615" s="1362"/>
      <c r="EK615" s="1362"/>
      <c r="EL615" s="1363"/>
      <c r="EM615" s="1361" t="str">
        <f t="shared" si="19"/>
        <v xml:space="preserve"> </v>
      </c>
      <c r="EN615" s="1362"/>
      <c r="EO615" s="1362"/>
      <c r="EP615" s="1362"/>
      <c r="EQ615" s="1363"/>
      <c r="ER615" s="1361" t="str">
        <f t="shared" si="20"/>
        <v xml:space="preserve"> </v>
      </c>
      <c r="ES615" s="1362"/>
      <c r="ET615" s="1362"/>
      <c r="EU615" s="1362"/>
      <c r="EV615" s="1363"/>
      <c r="EW615" s="1361" t="str">
        <f t="shared" si="21"/>
        <v xml:space="preserve"> </v>
      </c>
      <c r="EX615" s="1362"/>
      <c r="EY615" s="1362"/>
      <c r="EZ615" s="1362"/>
      <c r="FA615" s="1363"/>
    </row>
    <row r="616" spans="1:157" ht="12.75">
      <c r="A616" s="22"/>
      <c r="B616" t="s">
        <v>18</v>
      </c>
      <c r="H616" s="1382"/>
      <c r="I616" s="1382"/>
      <c r="J616" s="1382"/>
      <c r="K616" s="1382"/>
      <c r="L616" s="1382"/>
      <c r="M616" s="1382"/>
      <c r="N616" s="1382"/>
      <c r="O616" s="1382"/>
      <c r="P616" s="1382"/>
      <c r="Q616" s="1382"/>
      <c r="R616" s="1382"/>
      <c r="T616" s="22"/>
      <c r="U616" t="s">
        <v>18</v>
      </c>
      <c r="AA616" s="1382"/>
      <c r="AB616" s="1382"/>
      <c r="AC616" s="1382"/>
      <c r="AD616" s="1382"/>
      <c r="AE616" s="1382"/>
      <c r="AF616" s="1382"/>
      <c r="AG616" s="1382"/>
      <c r="AH616" s="1382"/>
      <c r="AI616" s="1382"/>
      <c r="AJ616" s="1382"/>
      <c r="AK616" s="1382"/>
      <c r="AZ616" s="3"/>
      <c r="BA616" s="3"/>
      <c r="BB616" s="3"/>
      <c r="BC616" s="3"/>
      <c r="BD616" s="3"/>
      <c r="BE616" s="1361">
        <f t="shared" si="0"/>
        <v>1</v>
      </c>
      <c r="BF616" s="1363"/>
      <c r="BG616" s="1356">
        <f t="shared" si="1"/>
        <v>4</v>
      </c>
      <c r="BH616" s="1358"/>
      <c r="BI616" s="1361">
        <f t="shared" si="2"/>
        <v>0</v>
      </c>
      <c r="BJ616" s="1363"/>
      <c r="BK616" s="1356">
        <f t="shared" si="3"/>
        <v>0</v>
      </c>
      <c r="BL616" s="1358"/>
      <c r="BM616" s="3"/>
      <c r="BN616" s="1339">
        <f t="shared" si="4"/>
        <v>0</v>
      </c>
      <c r="BO616" s="1340"/>
      <c r="BP616" s="1340"/>
      <c r="BQ616" s="1340"/>
      <c r="BR616" s="1341"/>
      <c r="BS616" s="1346">
        <f t="shared" si="5"/>
        <v>0</v>
      </c>
      <c r="BT616" s="1346"/>
      <c r="BU616" s="1346"/>
      <c r="BV616" s="1346"/>
      <c r="BW616" s="1346"/>
      <c r="BX616" s="1346">
        <f t="shared" si="6"/>
        <v>4</v>
      </c>
      <c r="BY616" s="1346"/>
      <c r="BZ616" s="1346"/>
      <c r="CA616" s="1346"/>
      <c r="CB616" s="1346"/>
      <c r="CC616" s="1346">
        <f t="shared" si="7"/>
        <v>0</v>
      </c>
      <c r="CD616" s="1346"/>
      <c r="CE616" s="1346"/>
      <c r="CF616" s="1346"/>
      <c r="CG616" s="1346"/>
      <c r="CH616" s="1346">
        <f t="shared" si="8"/>
        <v>0</v>
      </c>
      <c r="CI616" s="1346"/>
      <c r="CJ616" s="1346"/>
      <c r="CK616" s="1346"/>
      <c r="CL616" s="1346"/>
      <c r="CM616" s="1346">
        <f t="shared" si="9"/>
        <v>0</v>
      </c>
      <c r="CN616" s="1346"/>
      <c r="CO616" s="1346"/>
      <c r="CP616" s="1346"/>
      <c r="CQ616" s="1346"/>
      <c r="CR616" s="6"/>
      <c r="CS616" s="1364">
        <f t="shared" si="10"/>
        <v>0</v>
      </c>
      <c r="CT616" s="1364"/>
      <c r="CU616" s="1364"/>
      <c r="CV616" s="1364"/>
      <c r="CW616" s="1364"/>
      <c r="CX616" s="1364">
        <f t="shared" si="11"/>
        <v>0</v>
      </c>
      <c r="CY616" s="1364"/>
      <c r="CZ616" s="1364"/>
      <c r="DA616" s="1364"/>
      <c r="DB616" s="1364"/>
      <c r="DC616" s="1364">
        <f t="shared" si="12"/>
        <v>0</v>
      </c>
      <c r="DD616" s="1364"/>
      <c r="DE616" s="1364"/>
      <c r="DF616" s="1364"/>
      <c r="DG616" s="1364"/>
      <c r="DH616" s="1364">
        <f t="shared" si="13"/>
        <v>0</v>
      </c>
      <c r="DI616" s="1364"/>
      <c r="DJ616" s="1364"/>
      <c r="DK616" s="1364"/>
      <c r="DL616" s="1364"/>
      <c r="DM616" s="1364">
        <f t="shared" si="14"/>
        <v>0</v>
      </c>
      <c r="DN616" s="1364"/>
      <c r="DO616" s="1364"/>
      <c r="DP616" s="1364"/>
      <c r="DQ616" s="1364"/>
      <c r="DR616" s="1364">
        <f t="shared" si="15"/>
        <v>0</v>
      </c>
      <c r="DS616" s="1364"/>
      <c r="DT616" s="1364"/>
      <c r="DU616" s="1364"/>
      <c r="DV616" s="1364"/>
      <c r="DX616" s="1361" t="str">
        <f t="shared" si="16"/>
        <v xml:space="preserve"> </v>
      </c>
      <c r="DY616" s="1362"/>
      <c r="DZ616" s="1362"/>
      <c r="EA616" s="1362"/>
      <c r="EB616" s="1363"/>
      <c r="EC616" s="1361" t="str">
        <f t="shared" si="17"/>
        <v xml:space="preserve"> </v>
      </c>
      <c r="ED616" s="1362"/>
      <c r="EE616" s="1362"/>
      <c r="EF616" s="1362"/>
      <c r="EG616" s="1363"/>
      <c r="EH616" s="1361">
        <f t="shared" si="18"/>
        <v>872</v>
      </c>
      <c r="EI616" s="1362"/>
      <c r="EJ616" s="1362"/>
      <c r="EK616" s="1362"/>
      <c r="EL616" s="1363"/>
      <c r="EM616" s="1361" t="str">
        <f t="shared" si="19"/>
        <v xml:space="preserve"> </v>
      </c>
      <c r="EN616" s="1362"/>
      <c r="EO616" s="1362"/>
      <c r="EP616" s="1362"/>
      <c r="EQ616" s="1363"/>
      <c r="ER616" s="1361" t="str">
        <f t="shared" si="20"/>
        <v xml:space="preserve"> </v>
      </c>
      <c r="ES616" s="1362"/>
      <c r="ET616" s="1362"/>
      <c r="EU616" s="1362"/>
      <c r="EV616" s="1363"/>
      <c r="EW616" s="1361" t="str">
        <f t="shared" si="21"/>
        <v xml:space="preserve"> </v>
      </c>
      <c r="EX616" s="1362"/>
      <c r="EY616" s="1362"/>
      <c r="EZ616" s="1362"/>
      <c r="FA616" s="1363"/>
    </row>
    <row r="617" spans="1:157" ht="12.75">
      <c r="A617" s="22"/>
      <c r="B617" t="s">
        <v>20</v>
      </c>
      <c r="N617" s="1359" t="s">
        <v>696</v>
      </c>
      <c r="O617" s="1359"/>
      <c r="T617" s="22"/>
      <c r="U617" t="s">
        <v>20</v>
      </c>
      <c r="AG617" s="1359" t="s">
        <v>696</v>
      </c>
      <c r="AH617" s="1359"/>
      <c r="AZ617" s="3"/>
      <c r="BA617" s="3"/>
      <c r="BB617" s="3"/>
      <c r="BC617" s="3"/>
      <c r="BD617" s="3"/>
      <c r="BE617" s="1361">
        <f t="shared" si="0"/>
        <v>0</v>
      </c>
      <c r="BF617" s="1363"/>
      <c r="BG617" s="1356">
        <f t="shared" si="1"/>
        <v>0</v>
      </c>
      <c r="BH617" s="1358"/>
      <c r="BI617" s="1361">
        <f t="shared" si="2"/>
        <v>0</v>
      </c>
      <c r="BJ617" s="1363"/>
      <c r="BK617" s="1356">
        <f t="shared" si="3"/>
        <v>0</v>
      </c>
      <c r="BL617" s="1358"/>
      <c r="BM617" s="3"/>
      <c r="BN617" s="1339">
        <f t="shared" si="4"/>
        <v>0</v>
      </c>
      <c r="BO617" s="1340"/>
      <c r="BP617" s="1340"/>
      <c r="BQ617" s="1340"/>
      <c r="BR617" s="1341"/>
      <c r="BS617" s="1346">
        <f t="shared" si="5"/>
        <v>0</v>
      </c>
      <c r="BT617" s="1346"/>
      <c r="BU617" s="1346"/>
      <c r="BV617" s="1346"/>
      <c r="BW617" s="1346"/>
      <c r="BX617" s="1346">
        <f t="shared" si="6"/>
        <v>1</v>
      </c>
      <c r="BY617" s="1346"/>
      <c r="BZ617" s="1346"/>
      <c r="CA617" s="1346"/>
      <c r="CB617" s="1346"/>
      <c r="CC617" s="1346">
        <f t="shared" si="7"/>
        <v>0</v>
      </c>
      <c r="CD617" s="1346"/>
      <c r="CE617" s="1346"/>
      <c r="CF617" s="1346"/>
      <c r="CG617" s="1346"/>
      <c r="CH617" s="1346">
        <f t="shared" si="8"/>
        <v>0</v>
      </c>
      <c r="CI617" s="1346"/>
      <c r="CJ617" s="1346"/>
      <c r="CK617" s="1346"/>
      <c r="CL617" s="1346"/>
      <c r="CM617" s="1346">
        <f t="shared" si="9"/>
        <v>0</v>
      </c>
      <c r="CN617" s="1346"/>
      <c r="CO617" s="1346"/>
      <c r="CP617" s="1346"/>
      <c r="CQ617" s="1346"/>
      <c r="CR617" s="6"/>
      <c r="CS617" s="1364">
        <f t="shared" si="10"/>
        <v>0</v>
      </c>
      <c r="CT617" s="1364"/>
      <c r="CU617" s="1364"/>
      <c r="CV617" s="1364"/>
      <c r="CW617" s="1364"/>
      <c r="CX617" s="1364">
        <f t="shared" si="11"/>
        <v>0</v>
      </c>
      <c r="CY617" s="1364"/>
      <c r="CZ617" s="1364"/>
      <c r="DA617" s="1364"/>
      <c r="DB617" s="1364"/>
      <c r="DC617" s="1364">
        <f t="shared" si="12"/>
        <v>0</v>
      </c>
      <c r="DD617" s="1364"/>
      <c r="DE617" s="1364"/>
      <c r="DF617" s="1364"/>
      <c r="DG617" s="1364"/>
      <c r="DH617" s="1364">
        <f t="shared" si="13"/>
        <v>0</v>
      </c>
      <c r="DI617" s="1364"/>
      <c r="DJ617" s="1364"/>
      <c r="DK617" s="1364"/>
      <c r="DL617" s="1364"/>
      <c r="DM617" s="1364">
        <f t="shared" si="14"/>
        <v>0</v>
      </c>
      <c r="DN617" s="1364"/>
      <c r="DO617" s="1364"/>
      <c r="DP617" s="1364"/>
      <c r="DQ617" s="1364"/>
      <c r="DR617" s="1364">
        <f t="shared" si="15"/>
        <v>0</v>
      </c>
      <c r="DS617" s="1364"/>
      <c r="DT617" s="1364"/>
      <c r="DU617" s="1364"/>
      <c r="DV617" s="1364"/>
      <c r="DX617" s="1361" t="str">
        <f t="shared" si="16"/>
        <v xml:space="preserve"> </v>
      </c>
      <c r="DY617" s="1362"/>
      <c r="DZ617" s="1362"/>
      <c r="EA617" s="1362"/>
      <c r="EB617" s="1363"/>
      <c r="EC617" s="1361" t="str">
        <f t="shared" si="17"/>
        <v xml:space="preserve"> </v>
      </c>
      <c r="ED617" s="1362"/>
      <c r="EE617" s="1362"/>
      <c r="EF617" s="1362"/>
      <c r="EG617" s="1363"/>
      <c r="EH617" s="1361">
        <f t="shared" si="18"/>
        <v>1048</v>
      </c>
      <c r="EI617" s="1362"/>
      <c r="EJ617" s="1362"/>
      <c r="EK617" s="1362"/>
      <c r="EL617" s="1363"/>
      <c r="EM617" s="1361" t="str">
        <f t="shared" si="19"/>
        <v xml:space="preserve"> </v>
      </c>
      <c r="EN617" s="1362"/>
      <c r="EO617" s="1362"/>
      <c r="EP617" s="1362"/>
      <c r="EQ617" s="1363"/>
      <c r="ER617" s="1361" t="str">
        <f t="shared" si="20"/>
        <v xml:space="preserve"> </v>
      </c>
      <c r="ES617" s="1362"/>
      <c r="ET617" s="1362"/>
      <c r="EU617" s="1362"/>
      <c r="EV617" s="1363"/>
      <c r="EW617" s="1361" t="str">
        <f t="shared" si="21"/>
        <v xml:space="preserve"> </v>
      </c>
      <c r="EX617" s="1362"/>
      <c r="EY617" s="1362"/>
      <c r="EZ617" s="1362"/>
      <c r="FA617" s="1363"/>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61">
        <f t="shared" si="0"/>
        <v>0</v>
      </c>
      <c r="BF618" s="1363"/>
      <c r="BG618" s="1356">
        <f t="shared" si="1"/>
        <v>0</v>
      </c>
      <c r="BH618" s="1358"/>
      <c r="BI618" s="1361">
        <f t="shared" si="2"/>
        <v>1</v>
      </c>
      <c r="BJ618" s="1363"/>
      <c r="BK618" s="1356">
        <f t="shared" si="3"/>
        <v>7</v>
      </c>
      <c r="BL618" s="1358"/>
      <c r="BM618" s="3"/>
      <c r="BN618" s="1339">
        <f t="shared" si="4"/>
        <v>0</v>
      </c>
      <c r="BO618" s="1340"/>
      <c r="BP618" s="1340"/>
      <c r="BQ618" s="1340"/>
      <c r="BR618" s="1341"/>
      <c r="BS618" s="1346">
        <f t="shared" si="5"/>
        <v>0</v>
      </c>
      <c r="BT618" s="1346"/>
      <c r="BU618" s="1346"/>
      <c r="BV618" s="1346"/>
      <c r="BW618" s="1346"/>
      <c r="BX618" s="1346">
        <f t="shared" si="6"/>
        <v>0</v>
      </c>
      <c r="BY618" s="1346"/>
      <c r="BZ618" s="1346"/>
      <c r="CA618" s="1346"/>
      <c r="CB618" s="1346"/>
      <c r="CC618" s="1346">
        <f t="shared" si="7"/>
        <v>7</v>
      </c>
      <c r="CD618" s="1346"/>
      <c r="CE618" s="1346"/>
      <c r="CF618" s="1346"/>
      <c r="CG618" s="1346"/>
      <c r="CH618" s="1346">
        <f t="shared" si="8"/>
        <v>0</v>
      </c>
      <c r="CI618" s="1346"/>
      <c r="CJ618" s="1346"/>
      <c r="CK618" s="1346"/>
      <c r="CL618" s="1346"/>
      <c r="CM618" s="1346">
        <f t="shared" si="9"/>
        <v>0</v>
      </c>
      <c r="CN618" s="1346"/>
      <c r="CO618" s="1346"/>
      <c r="CP618" s="1346"/>
      <c r="CQ618" s="1346"/>
      <c r="CR618" s="6"/>
      <c r="CS618" s="1364">
        <f t="shared" si="10"/>
        <v>0</v>
      </c>
      <c r="CT618" s="1364"/>
      <c r="CU618" s="1364"/>
      <c r="CV618" s="1364"/>
      <c r="CW618" s="1364"/>
      <c r="CX618" s="1364">
        <f t="shared" si="11"/>
        <v>0</v>
      </c>
      <c r="CY618" s="1364"/>
      <c r="CZ618" s="1364"/>
      <c r="DA618" s="1364"/>
      <c r="DB618" s="1364"/>
      <c r="DC618" s="1364">
        <f t="shared" si="12"/>
        <v>0</v>
      </c>
      <c r="DD618" s="1364"/>
      <c r="DE618" s="1364"/>
      <c r="DF618" s="1364"/>
      <c r="DG618" s="1364"/>
      <c r="DH618" s="1364">
        <f t="shared" si="13"/>
        <v>7</v>
      </c>
      <c r="DI618" s="1364"/>
      <c r="DJ618" s="1364"/>
      <c r="DK618" s="1364"/>
      <c r="DL618" s="1364"/>
      <c r="DM618" s="1364">
        <f t="shared" si="14"/>
        <v>0</v>
      </c>
      <c r="DN618" s="1364"/>
      <c r="DO618" s="1364"/>
      <c r="DP618" s="1364"/>
      <c r="DQ618" s="1364"/>
      <c r="DR618" s="1364">
        <f t="shared" si="15"/>
        <v>0</v>
      </c>
      <c r="DS618" s="1364"/>
      <c r="DT618" s="1364"/>
      <c r="DU618" s="1364"/>
      <c r="DV618" s="1364"/>
      <c r="DX618" s="1361" t="str">
        <f t="shared" si="16"/>
        <v xml:space="preserve"> </v>
      </c>
      <c r="DY618" s="1362"/>
      <c r="DZ618" s="1362"/>
      <c r="EA618" s="1362"/>
      <c r="EB618" s="1363"/>
      <c r="EC618" s="1361" t="str">
        <f t="shared" si="17"/>
        <v xml:space="preserve"> </v>
      </c>
      <c r="ED618" s="1362"/>
      <c r="EE618" s="1362"/>
      <c r="EF618" s="1362"/>
      <c r="EG618" s="1363"/>
      <c r="EH618" s="1361" t="str">
        <f t="shared" si="18"/>
        <v xml:space="preserve"> </v>
      </c>
      <c r="EI618" s="1362"/>
      <c r="EJ618" s="1362"/>
      <c r="EK618" s="1362"/>
      <c r="EL618" s="1363"/>
      <c r="EM618" s="1361">
        <f t="shared" si="19"/>
        <v>602</v>
      </c>
      <c r="EN618" s="1362"/>
      <c r="EO618" s="1362"/>
      <c r="EP618" s="1362"/>
      <c r="EQ618" s="1363"/>
      <c r="ER618" s="1361" t="str">
        <f t="shared" si="20"/>
        <v xml:space="preserve"> </v>
      </c>
      <c r="ES618" s="1362"/>
      <c r="ET618" s="1362"/>
      <c r="EU618" s="1362"/>
      <c r="EV618" s="1363"/>
      <c r="EW618" s="1361" t="str">
        <f t="shared" si="21"/>
        <v xml:space="preserve"> </v>
      </c>
      <c r="EX618" s="1362"/>
      <c r="EY618" s="1362"/>
      <c r="EZ618" s="1362"/>
      <c r="FA618" s="1363"/>
    </row>
    <row r="619" spans="1:157" s="4" customFormat="1" ht="12.75">
      <c r="A619" s="55" t="s">
        <v>369</v>
      </c>
      <c r="B619" t="s">
        <v>489</v>
      </c>
      <c r="C619"/>
      <c r="D619"/>
      <c r="E619"/>
      <c r="F619"/>
      <c r="G619" s="1342">
        <f>C574</f>
        <v>0</v>
      </c>
      <c r="H619" s="1342"/>
      <c r="I619" s="1342"/>
      <c r="J619" s="1342"/>
      <c r="K619" s="1342"/>
      <c r="L619" s="1342"/>
      <c r="M619" s="1342"/>
      <c r="N619" s="1342"/>
      <c r="O619" s="1342"/>
      <c r="P619" s="1342"/>
      <c r="Q619" s="1342"/>
      <c r="R619" s="1342"/>
      <c r="S619"/>
      <c r="T619" s="55" t="s">
        <v>370</v>
      </c>
      <c r="U619" t="s">
        <v>489</v>
      </c>
      <c r="V619"/>
      <c r="W619"/>
      <c r="X619"/>
      <c r="Y619"/>
      <c r="Z619" s="1342">
        <f>C575</f>
        <v>0</v>
      </c>
      <c r="AA619" s="1342"/>
      <c r="AB619" s="1342"/>
      <c r="AC619" s="1342"/>
      <c r="AD619" s="1342"/>
      <c r="AE619" s="1342"/>
      <c r="AF619" s="1342"/>
      <c r="AG619" s="1342"/>
      <c r="AH619" s="1342"/>
      <c r="AI619" s="1342"/>
      <c r="AJ619" s="1342"/>
      <c r="AK619" s="1342"/>
      <c r="AL619"/>
      <c r="AM619"/>
      <c r="AN619"/>
      <c r="AO619"/>
      <c r="AP619"/>
      <c r="AQ619"/>
      <c r="AR619"/>
      <c r="AS619"/>
      <c r="AT619"/>
      <c r="AU619"/>
      <c r="AV619"/>
      <c r="AW619"/>
      <c r="AX619"/>
      <c r="AY619"/>
      <c r="AZ619" s="3"/>
      <c r="BA619" s="3"/>
      <c r="BB619" s="3"/>
      <c r="BC619" s="3"/>
      <c r="BD619" s="3"/>
      <c r="BE619" s="1361">
        <f t="shared" si="0"/>
        <v>1</v>
      </c>
      <c r="BF619" s="1363"/>
      <c r="BG619" s="1356">
        <f t="shared" si="1"/>
        <v>16</v>
      </c>
      <c r="BH619" s="1358"/>
      <c r="BI619" s="1361">
        <f t="shared" si="2"/>
        <v>0</v>
      </c>
      <c r="BJ619" s="1363"/>
      <c r="BK619" s="1356">
        <f t="shared" si="3"/>
        <v>0</v>
      </c>
      <c r="BL619" s="1358"/>
      <c r="BM619" s="3"/>
      <c r="BN619" s="1339">
        <f t="shared" si="4"/>
        <v>0</v>
      </c>
      <c r="BO619" s="1340"/>
      <c r="BP619" s="1340"/>
      <c r="BQ619" s="1340"/>
      <c r="BR619" s="1341"/>
      <c r="BS619" s="1346">
        <f t="shared" si="5"/>
        <v>0</v>
      </c>
      <c r="BT619" s="1346"/>
      <c r="BU619" s="1346"/>
      <c r="BV619" s="1346"/>
      <c r="BW619" s="1346"/>
      <c r="BX619" s="1346">
        <f t="shared" si="6"/>
        <v>0</v>
      </c>
      <c r="BY619" s="1346"/>
      <c r="BZ619" s="1346"/>
      <c r="CA619" s="1346"/>
      <c r="CB619" s="1346"/>
      <c r="CC619" s="1346">
        <f t="shared" si="7"/>
        <v>16</v>
      </c>
      <c r="CD619" s="1346"/>
      <c r="CE619" s="1346"/>
      <c r="CF619" s="1346"/>
      <c r="CG619" s="1346"/>
      <c r="CH619" s="1346">
        <f t="shared" si="8"/>
        <v>0</v>
      </c>
      <c r="CI619" s="1346"/>
      <c r="CJ619" s="1346"/>
      <c r="CK619" s="1346"/>
      <c r="CL619" s="1346"/>
      <c r="CM619" s="1346">
        <f t="shared" si="9"/>
        <v>0</v>
      </c>
      <c r="CN619" s="1346"/>
      <c r="CO619" s="1346"/>
      <c r="CP619" s="1346"/>
      <c r="CQ619" s="1346"/>
      <c r="CR619" s="6"/>
      <c r="CS619" s="1364">
        <f t="shared" si="10"/>
        <v>0</v>
      </c>
      <c r="CT619" s="1364"/>
      <c r="CU619" s="1364"/>
      <c r="CV619" s="1364"/>
      <c r="CW619" s="1364"/>
      <c r="CX619" s="1364">
        <f t="shared" si="11"/>
        <v>0</v>
      </c>
      <c r="CY619" s="1364"/>
      <c r="CZ619" s="1364"/>
      <c r="DA619" s="1364"/>
      <c r="DB619" s="1364"/>
      <c r="DC619" s="1364">
        <f t="shared" si="12"/>
        <v>0</v>
      </c>
      <c r="DD619" s="1364"/>
      <c r="DE619" s="1364"/>
      <c r="DF619" s="1364"/>
      <c r="DG619" s="1364"/>
      <c r="DH619" s="1364">
        <f t="shared" si="13"/>
        <v>0</v>
      </c>
      <c r="DI619" s="1364"/>
      <c r="DJ619" s="1364"/>
      <c r="DK619" s="1364"/>
      <c r="DL619" s="1364"/>
      <c r="DM619" s="1364">
        <f t="shared" si="14"/>
        <v>0</v>
      </c>
      <c r="DN619" s="1364"/>
      <c r="DO619" s="1364"/>
      <c r="DP619" s="1364"/>
      <c r="DQ619" s="1364"/>
      <c r="DR619" s="1364">
        <f t="shared" si="15"/>
        <v>0</v>
      </c>
      <c r="DS619" s="1364"/>
      <c r="DT619" s="1364"/>
      <c r="DU619" s="1364"/>
      <c r="DV619" s="1364"/>
      <c r="DX619" s="1361" t="str">
        <f t="shared" si="16"/>
        <v xml:space="preserve"> </v>
      </c>
      <c r="DY619" s="1362"/>
      <c r="DZ619" s="1362"/>
      <c r="EA619" s="1362"/>
      <c r="EB619" s="1363"/>
      <c r="EC619" s="1361" t="str">
        <f t="shared" si="17"/>
        <v xml:space="preserve"> </v>
      </c>
      <c r="ED619" s="1362"/>
      <c r="EE619" s="1362"/>
      <c r="EF619" s="1362"/>
      <c r="EG619" s="1363"/>
      <c r="EH619" s="1361" t="str">
        <f t="shared" si="18"/>
        <v xml:space="preserve"> </v>
      </c>
      <c r="EI619" s="1362"/>
      <c r="EJ619" s="1362"/>
      <c r="EK619" s="1362"/>
      <c r="EL619" s="1363"/>
      <c r="EM619" s="1361">
        <f t="shared" si="19"/>
        <v>805</v>
      </c>
      <c r="EN619" s="1362"/>
      <c r="EO619" s="1362"/>
      <c r="EP619" s="1362"/>
      <c r="EQ619" s="1363"/>
      <c r="ER619" s="1361" t="str">
        <f t="shared" si="20"/>
        <v xml:space="preserve"> </v>
      </c>
      <c r="ES619" s="1362"/>
      <c r="ET619" s="1362"/>
      <c r="EU619" s="1362"/>
      <c r="EV619" s="1363"/>
      <c r="EW619" s="1361" t="str">
        <f t="shared" si="21"/>
        <v xml:space="preserve"> </v>
      </c>
      <c r="EX619" s="1362"/>
      <c r="EY619" s="1362"/>
      <c r="EZ619" s="1362"/>
      <c r="FA619" s="1363"/>
    </row>
    <row r="620" spans="1:157" s="4" customFormat="1" ht="12.75">
      <c r="A620"/>
      <c r="B620" t="s">
        <v>90</v>
      </c>
      <c r="C620"/>
      <c r="D620"/>
      <c r="E620"/>
      <c r="F620"/>
      <c r="G620" s="1382"/>
      <c r="H620" s="1382"/>
      <c r="I620" s="1382"/>
      <c r="J620" s="1382"/>
      <c r="K620" s="1382"/>
      <c r="L620" s="1382"/>
      <c r="M620" s="1382"/>
      <c r="N620" s="1382"/>
      <c r="O620" s="1382"/>
      <c r="P620" s="1382"/>
      <c r="Q620" s="1382"/>
      <c r="R620" s="1382"/>
      <c r="S620"/>
      <c r="T620"/>
      <c r="U620" t="s">
        <v>90</v>
      </c>
      <c r="V620"/>
      <c r="W620"/>
      <c r="X620"/>
      <c r="Y620"/>
      <c r="Z620" s="1382"/>
      <c r="AA620" s="1382"/>
      <c r="AB620" s="1382"/>
      <c r="AC620" s="1382"/>
      <c r="AD620" s="1382"/>
      <c r="AE620" s="1382"/>
      <c r="AF620" s="1382"/>
      <c r="AG620" s="1382"/>
      <c r="AH620" s="1382"/>
      <c r="AI620" s="1382"/>
      <c r="AJ620" s="1382"/>
      <c r="AK620" s="1382"/>
      <c r="AL620"/>
      <c r="AM620"/>
      <c r="AN620"/>
      <c r="AO620"/>
      <c r="AP620"/>
      <c r="AQ620"/>
      <c r="AR620"/>
      <c r="AS620"/>
      <c r="AT620"/>
      <c r="AU620"/>
      <c r="AV620"/>
      <c r="AW620"/>
      <c r="AX620"/>
      <c r="AY620"/>
      <c r="AZ620" s="3"/>
      <c r="BA620" s="3"/>
      <c r="BB620" s="3"/>
      <c r="BC620" s="3"/>
      <c r="BD620" s="3"/>
      <c r="BE620" s="1361">
        <f t="shared" si="0"/>
        <v>1</v>
      </c>
      <c r="BF620" s="1363"/>
      <c r="BG620" s="1356">
        <f t="shared" si="1"/>
        <v>8</v>
      </c>
      <c r="BH620" s="1358"/>
      <c r="BI620" s="1361">
        <f t="shared" si="2"/>
        <v>0</v>
      </c>
      <c r="BJ620" s="1363"/>
      <c r="BK620" s="1356">
        <f t="shared" si="3"/>
        <v>0</v>
      </c>
      <c r="BL620" s="1358"/>
      <c r="BM620" s="3"/>
      <c r="BN620" s="1339">
        <f t="shared" si="4"/>
        <v>0</v>
      </c>
      <c r="BO620" s="1340"/>
      <c r="BP620" s="1340"/>
      <c r="BQ620" s="1340"/>
      <c r="BR620" s="1341"/>
      <c r="BS620" s="1346">
        <f t="shared" si="5"/>
        <v>0</v>
      </c>
      <c r="BT620" s="1346"/>
      <c r="BU620" s="1346"/>
      <c r="BV620" s="1346"/>
      <c r="BW620" s="1346"/>
      <c r="BX620" s="1346">
        <f t="shared" si="6"/>
        <v>0</v>
      </c>
      <c r="BY620" s="1346"/>
      <c r="BZ620" s="1346"/>
      <c r="CA620" s="1346"/>
      <c r="CB620" s="1346"/>
      <c r="CC620" s="1346">
        <f t="shared" si="7"/>
        <v>8</v>
      </c>
      <c r="CD620" s="1346"/>
      <c r="CE620" s="1346"/>
      <c r="CF620" s="1346"/>
      <c r="CG620" s="1346"/>
      <c r="CH620" s="1346">
        <f t="shared" si="8"/>
        <v>0</v>
      </c>
      <c r="CI620" s="1346"/>
      <c r="CJ620" s="1346"/>
      <c r="CK620" s="1346"/>
      <c r="CL620" s="1346"/>
      <c r="CM620" s="1346">
        <f t="shared" si="9"/>
        <v>0</v>
      </c>
      <c r="CN620" s="1346"/>
      <c r="CO620" s="1346"/>
      <c r="CP620" s="1346"/>
      <c r="CQ620" s="1346"/>
      <c r="CR620" s="6"/>
      <c r="CS620" s="1364">
        <f t="shared" si="10"/>
        <v>0</v>
      </c>
      <c r="CT620" s="1364"/>
      <c r="CU620" s="1364"/>
      <c r="CV620" s="1364"/>
      <c r="CW620" s="1364"/>
      <c r="CX620" s="1364">
        <f t="shared" si="11"/>
        <v>0</v>
      </c>
      <c r="CY620" s="1364"/>
      <c r="CZ620" s="1364"/>
      <c r="DA620" s="1364"/>
      <c r="DB620" s="1364"/>
      <c r="DC620" s="1364">
        <f t="shared" si="12"/>
        <v>0</v>
      </c>
      <c r="DD620" s="1364"/>
      <c r="DE620" s="1364"/>
      <c r="DF620" s="1364"/>
      <c r="DG620" s="1364"/>
      <c r="DH620" s="1364">
        <f t="shared" si="13"/>
        <v>0</v>
      </c>
      <c r="DI620" s="1364"/>
      <c r="DJ620" s="1364"/>
      <c r="DK620" s="1364"/>
      <c r="DL620" s="1364"/>
      <c r="DM620" s="1364">
        <f t="shared" si="14"/>
        <v>0</v>
      </c>
      <c r="DN620" s="1364"/>
      <c r="DO620" s="1364"/>
      <c r="DP620" s="1364"/>
      <c r="DQ620" s="1364"/>
      <c r="DR620" s="1364">
        <f t="shared" si="15"/>
        <v>0</v>
      </c>
      <c r="DS620" s="1364"/>
      <c r="DT620" s="1364"/>
      <c r="DU620" s="1364"/>
      <c r="DV620" s="1364"/>
      <c r="DX620" s="1361" t="str">
        <f t="shared" si="16"/>
        <v xml:space="preserve"> </v>
      </c>
      <c r="DY620" s="1362"/>
      <c r="DZ620" s="1362"/>
      <c r="EA620" s="1362"/>
      <c r="EB620" s="1363"/>
      <c r="EC620" s="1361" t="str">
        <f t="shared" si="17"/>
        <v xml:space="preserve"> </v>
      </c>
      <c r="ED620" s="1362"/>
      <c r="EE620" s="1362"/>
      <c r="EF620" s="1362"/>
      <c r="EG620" s="1363"/>
      <c r="EH620" s="1361" t="str">
        <f t="shared" si="18"/>
        <v xml:space="preserve"> </v>
      </c>
      <c r="EI620" s="1362"/>
      <c r="EJ620" s="1362"/>
      <c r="EK620" s="1362"/>
      <c r="EL620" s="1363"/>
      <c r="EM620" s="1361">
        <f t="shared" si="19"/>
        <v>1008</v>
      </c>
      <c r="EN620" s="1362"/>
      <c r="EO620" s="1362"/>
      <c r="EP620" s="1362"/>
      <c r="EQ620" s="1363"/>
      <c r="ER620" s="1361" t="str">
        <f t="shared" si="20"/>
        <v xml:space="preserve"> </v>
      </c>
      <c r="ES620" s="1362"/>
      <c r="ET620" s="1362"/>
      <c r="EU620" s="1362"/>
      <c r="EV620" s="1363"/>
      <c r="EW620" s="1361" t="str">
        <f t="shared" si="21"/>
        <v xml:space="preserve"> </v>
      </c>
      <c r="EX620" s="1362"/>
      <c r="EY620" s="1362"/>
      <c r="EZ620" s="1362"/>
      <c r="FA620" s="1363"/>
    </row>
    <row r="621" spans="1:157" ht="12.75">
      <c r="B621" t="s">
        <v>607</v>
      </c>
      <c r="G621" s="1382"/>
      <c r="H621" s="1382"/>
      <c r="I621" s="1382"/>
      <c r="J621" s="1382"/>
      <c r="K621" s="1382"/>
      <c r="L621" s="1382"/>
      <c r="M621" s="1382"/>
      <c r="N621" s="1382"/>
      <c r="O621" s="1382"/>
      <c r="P621" s="1382"/>
      <c r="Q621" s="1382"/>
      <c r="R621" s="1382"/>
      <c r="U621" t="s">
        <v>607</v>
      </c>
      <c r="Z621" s="1352"/>
      <c r="AA621" s="1352"/>
      <c r="AB621" s="1352"/>
      <c r="AC621" s="1352"/>
      <c r="AD621" s="1352"/>
      <c r="AE621" s="1352"/>
      <c r="AF621" s="1352"/>
      <c r="AG621" s="1352"/>
      <c r="AH621" s="1352"/>
      <c r="AI621" s="1352"/>
      <c r="AJ621" s="1352"/>
      <c r="AK621" s="1352"/>
      <c r="AZ621" s="3"/>
      <c r="BA621" s="3"/>
      <c r="BB621" s="3"/>
      <c r="BC621" s="3"/>
      <c r="BD621" s="3"/>
      <c r="BE621" s="1361">
        <f t="shared" si="0"/>
        <v>0</v>
      </c>
      <c r="BF621" s="1363"/>
      <c r="BG621" s="1356">
        <f t="shared" si="1"/>
        <v>0</v>
      </c>
      <c r="BH621" s="1358"/>
      <c r="BI621" s="1361">
        <f t="shared" si="2"/>
        <v>0</v>
      </c>
      <c r="BJ621" s="1363"/>
      <c r="BK621" s="1356">
        <f t="shared" si="3"/>
        <v>0</v>
      </c>
      <c r="BL621" s="1358"/>
      <c r="BM621" s="3"/>
      <c r="BN621" s="1339">
        <f t="shared" si="4"/>
        <v>0</v>
      </c>
      <c r="BO621" s="1340"/>
      <c r="BP621" s="1340"/>
      <c r="BQ621" s="1340"/>
      <c r="BR621" s="1341"/>
      <c r="BS621" s="1346">
        <f t="shared" si="5"/>
        <v>0</v>
      </c>
      <c r="BT621" s="1346"/>
      <c r="BU621" s="1346"/>
      <c r="BV621" s="1346"/>
      <c r="BW621" s="1346"/>
      <c r="BX621" s="1346">
        <f t="shared" si="6"/>
        <v>0</v>
      </c>
      <c r="BY621" s="1346"/>
      <c r="BZ621" s="1346"/>
      <c r="CA621" s="1346"/>
      <c r="CB621" s="1346"/>
      <c r="CC621" s="1346">
        <f t="shared" si="7"/>
        <v>1</v>
      </c>
      <c r="CD621" s="1346"/>
      <c r="CE621" s="1346"/>
      <c r="CF621" s="1346"/>
      <c r="CG621" s="1346"/>
      <c r="CH621" s="1346">
        <f t="shared" si="8"/>
        <v>0</v>
      </c>
      <c r="CI621" s="1346"/>
      <c r="CJ621" s="1346"/>
      <c r="CK621" s="1346"/>
      <c r="CL621" s="1346"/>
      <c r="CM621" s="1346">
        <f t="shared" si="9"/>
        <v>0</v>
      </c>
      <c r="CN621" s="1346"/>
      <c r="CO621" s="1346"/>
      <c r="CP621" s="1346"/>
      <c r="CQ621" s="1346"/>
      <c r="CR621" s="6"/>
      <c r="CS621" s="1364">
        <f t="shared" si="10"/>
        <v>0</v>
      </c>
      <c r="CT621" s="1364"/>
      <c r="CU621" s="1364"/>
      <c r="CV621" s="1364"/>
      <c r="CW621" s="1364"/>
      <c r="CX621" s="1364">
        <f t="shared" si="11"/>
        <v>0</v>
      </c>
      <c r="CY621" s="1364"/>
      <c r="CZ621" s="1364"/>
      <c r="DA621" s="1364"/>
      <c r="DB621" s="1364"/>
      <c r="DC621" s="1364">
        <f t="shared" si="12"/>
        <v>0</v>
      </c>
      <c r="DD621" s="1364"/>
      <c r="DE621" s="1364"/>
      <c r="DF621" s="1364"/>
      <c r="DG621" s="1364"/>
      <c r="DH621" s="1364">
        <f t="shared" si="13"/>
        <v>0</v>
      </c>
      <c r="DI621" s="1364"/>
      <c r="DJ621" s="1364"/>
      <c r="DK621" s="1364"/>
      <c r="DL621" s="1364"/>
      <c r="DM621" s="1364">
        <f t="shared" si="14"/>
        <v>0</v>
      </c>
      <c r="DN621" s="1364"/>
      <c r="DO621" s="1364"/>
      <c r="DP621" s="1364"/>
      <c r="DQ621" s="1364"/>
      <c r="DR621" s="1364">
        <f t="shared" si="15"/>
        <v>0</v>
      </c>
      <c r="DS621" s="1364"/>
      <c r="DT621" s="1364"/>
      <c r="DU621" s="1364"/>
      <c r="DV621" s="1364"/>
      <c r="DX621" s="1361" t="str">
        <f t="shared" si="16"/>
        <v xml:space="preserve"> </v>
      </c>
      <c r="DY621" s="1362"/>
      <c r="DZ621" s="1362"/>
      <c r="EA621" s="1362"/>
      <c r="EB621" s="1363"/>
      <c r="EC621" s="1361" t="str">
        <f t="shared" si="17"/>
        <v xml:space="preserve"> </v>
      </c>
      <c r="ED621" s="1362"/>
      <c r="EE621" s="1362"/>
      <c r="EF621" s="1362"/>
      <c r="EG621" s="1363"/>
      <c r="EH621" s="1361" t="str">
        <f t="shared" si="18"/>
        <v xml:space="preserve"> </v>
      </c>
      <c r="EI621" s="1362"/>
      <c r="EJ621" s="1362"/>
      <c r="EK621" s="1362"/>
      <c r="EL621" s="1363"/>
      <c r="EM621" s="1361">
        <f t="shared" si="19"/>
        <v>1210</v>
      </c>
      <c r="EN621" s="1362"/>
      <c r="EO621" s="1362"/>
      <c r="EP621" s="1362"/>
      <c r="EQ621" s="1363"/>
      <c r="ER621" s="1361" t="str">
        <f t="shared" si="20"/>
        <v xml:space="preserve"> </v>
      </c>
      <c r="ES621" s="1362"/>
      <c r="ET621" s="1362"/>
      <c r="EU621" s="1362"/>
      <c r="EV621" s="1363"/>
      <c r="EW621" s="1361" t="str">
        <f t="shared" si="21"/>
        <v xml:space="preserve"> </v>
      </c>
      <c r="EX621" s="1362"/>
      <c r="EY621" s="1362"/>
      <c r="EZ621" s="1362"/>
      <c r="FA621" s="1363"/>
    </row>
    <row r="622" spans="1:157" ht="12.75">
      <c r="B622" t="s">
        <v>17</v>
      </c>
      <c r="G622" s="1382"/>
      <c r="H622" s="1382"/>
      <c r="I622" s="1382"/>
      <c r="J622" s="1382"/>
      <c r="K622" s="1382"/>
      <c r="L622" s="1382"/>
      <c r="M622" s="1382"/>
      <c r="N622" s="1382"/>
      <c r="O622" s="1382"/>
      <c r="P622" s="1382"/>
      <c r="Q622" s="1382"/>
      <c r="R622" s="1382"/>
      <c r="U622" t="s">
        <v>17</v>
      </c>
      <c r="Z622" s="1352"/>
      <c r="AA622" s="1352"/>
      <c r="AB622" s="1352"/>
      <c r="AC622" s="1352"/>
      <c r="AD622" s="1352"/>
      <c r="AE622" s="1352"/>
      <c r="AF622" s="1352"/>
      <c r="AG622" s="1352"/>
      <c r="AH622" s="1352"/>
      <c r="AI622" s="1352"/>
      <c r="AJ622" s="1352"/>
      <c r="AK622" s="1352"/>
      <c r="AZ622" s="3"/>
      <c r="BA622" s="3"/>
      <c r="BB622" s="3"/>
      <c r="BC622" s="3"/>
      <c r="BD622" s="3"/>
      <c r="BE622" s="1361">
        <f t="shared" si="0"/>
        <v>0</v>
      </c>
      <c r="BF622" s="1363"/>
      <c r="BG622" s="1356">
        <f t="shared" si="1"/>
        <v>0</v>
      </c>
      <c r="BH622" s="1358"/>
      <c r="BI622" s="1361">
        <f t="shared" si="2"/>
        <v>1</v>
      </c>
      <c r="BJ622" s="1363"/>
      <c r="BK622" s="1356">
        <f t="shared" si="3"/>
        <v>2</v>
      </c>
      <c r="BL622" s="1358"/>
      <c r="BM622" s="3"/>
      <c r="BN622" s="1339">
        <f t="shared" si="4"/>
        <v>0</v>
      </c>
      <c r="BO622" s="1340"/>
      <c r="BP622" s="1340"/>
      <c r="BQ622" s="1340"/>
      <c r="BR622" s="1341"/>
      <c r="BS622" s="1346">
        <f t="shared" si="5"/>
        <v>0</v>
      </c>
      <c r="BT622" s="1346"/>
      <c r="BU622" s="1346"/>
      <c r="BV622" s="1346"/>
      <c r="BW622" s="1346"/>
      <c r="BX622" s="1346">
        <f t="shared" si="6"/>
        <v>0</v>
      </c>
      <c r="BY622" s="1346"/>
      <c r="BZ622" s="1346"/>
      <c r="CA622" s="1346"/>
      <c r="CB622" s="1346"/>
      <c r="CC622" s="1346">
        <f t="shared" si="7"/>
        <v>0</v>
      </c>
      <c r="CD622" s="1346"/>
      <c r="CE622" s="1346"/>
      <c r="CF622" s="1346"/>
      <c r="CG622" s="1346"/>
      <c r="CH622" s="1346">
        <f t="shared" si="8"/>
        <v>2</v>
      </c>
      <c r="CI622" s="1346"/>
      <c r="CJ622" s="1346"/>
      <c r="CK622" s="1346"/>
      <c r="CL622" s="1346"/>
      <c r="CM622" s="1346">
        <f t="shared" si="9"/>
        <v>0</v>
      </c>
      <c r="CN622" s="1346"/>
      <c r="CO622" s="1346"/>
      <c r="CP622" s="1346"/>
      <c r="CQ622" s="1346"/>
      <c r="CR622" s="6"/>
      <c r="CS622" s="1364">
        <f t="shared" si="10"/>
        <v>0</v>
      </c>
      <c r="CT622" s="1364"/>
      <c r="CU622" s="1364"/>
      <c r="CV622" s="1364"/>
      <c r="CW622" s="1364"/>
      <c r="CX622" s="1364">
        <f t="shared" si="11"/>
        <v>0</v>
      </c>
      <c r="CY622" s="1364"/>
      <c r="CZ622" s="1364"/>
      <c r="DA622" s="1364"/>
      <c r="DB622" s="1364"/>
      <c r="DC622" s="1364">
        <f t="shared" si="12"/>
        <v>0</v>
      </c>
      <c r="DD622" s="1364"/>
      <c r="DE622" s="1364"/>
      <c r="DF622" s="1364"/>
      <c r="DG622" s="1364"/>
      <c r="DH622" s="1364">
        <f t="shared" si="13"/>
        <v>0</v>
      </c>
      <c r="DI622" s="1364"/>
      <c r="DJ622" s="1364"/>
      <c r="DK622" s="1364"/>
      <c r="DL622" s="1364"/>
      <c r="DM622" s="1364">
        <f t="shared" si="14"/>
        <v>2</v>
      </c>
      <c r="DN622" s="1364"/>
      <c r="DO622" s="1364"/>
      <c r="DP622" s="1364"/>
      <c r="DQ622" s="1364"/>
      <c r="DR622" s="1364">
        <f t="shared" si="15"/>
        <v>0</v>
      </c>
      <c r="DS622" s="1364"/>
      <c r="DT622" s="1364"/>
      <c r="DU622" s="1364"/>
      <c r="DV622" s="1364"/>
      <c r="DX622" s="1361" t="str">
        <f t="shared" si="16"/>
        <v xml:space="preserve"> </v>
      </c>
      <c r="DY622" s="1362"/>
      <c r="DZ622" s="1362"/>
      <c r="EA622" s="1362"/>
      <c r="EB622" s="1363"/>
      <c r="EC622" s="1361" t="str">
        <f t="shared" si="17"/>
        <v xml:space="preserve"> </v>
      </c>
      <c r="ED622" s="1362"/>
      <c r="EE622" s="1362"/>
      <c r="EF622" s="1362"/>
      <c r="EG622" s="1363"/>
      <c r="EH622" s="1361" t="str">
        <f t="shared" si="18"/>
        <v xml:space="preserve"> </v>
      </c>
      <c r="EI622" s="1362"/>
      <c r="EJ622" s="1362"/>
      <c r="EK622" s="1362"/>
      <c r="EL622" s="1363"/>
      <c r="EM622" s="1361" t="str">
        <f t="shared" si="19"/>
        <v xml:space="preserve"> </v>
      </c>
      <c r="EN622" s="1362"/>
      <c r="EO622" s="1362"/>
      <c r="EP622" s="1362"/>
      <c r="EQ622" s="1363"/>
      <c r="ER622" s="1361">
        <f t="shared" si="20"/>
        <v>673</v>
      </c>
      <c r="ES622" s="1362"/>
      <c r="ET622" s="1362"/>
      <c r="EU622" s="1362"/>
      <c r="EV622" s="1363"/>
      <c r="EW622" s="1361" t="str">
        <f t="shared" si="21"/>
        <v xml:space="preserve"> </v>
      </c>
      <c r="EX622" s="1362"/>
      <c r="EY622" s="1362"/>
      <c r="EZ622" s="1362"/>
      <c r="FA622" s="1363"/>
    </row>
    <row r="623" spans="1:157" ht="12.75">
      <c r="B623" t="s">
        <v>322</v>
      </c>
      <c r="G623" s="1617"/>
      <c r="H623" s="1617"/>
      <c r="I623" s="1617"/>
      <c r="J623" s="1617"/>
      <c r="K623" s="1617"/>
      <c r="L623" s="1617"/>
      <c r="O623" s="33" t="s">
        <v>212</v>
      </c>
      <c r="P623" s="1351"/>
      <c r="Q623" s="1351"/>
      <c r="R623" s="1351"/>
      <c r="U623" t="s">
        <v>322</v>
      </c>
      <c r="Z623" s="1617"/>
      <c r="AA623" s="1617"/>
      <c r="AB623" s="1617"/>
      <c r="AC623" s="1617"/>
      <c r="AD623" s="1617"/>
      <c r="AE623" s="1617"/>
      <c r="AH623" s="33" t="s">
        <v>212</v>
      </c>
      <c r="AI623" s="1351"/>
      <c r="AJ623" s="1351"/>
      <c r="AK623" s="1351"/>
      <c r="AZ623" s="3"/>
      <c r="BA623" s="3"/>
      <c r="BB623" s="3"/>
      <c r="BC623" s="3"/>
      <c r="BD623" s="3"/>
      <c r="BE623" s="1361">
        <f t="shared" si="0"/>
        <v>1</v>
      </c>
      <c r="BF623" s="1363"/>
      <c r="BG623" s="1356">
        <f t="shared" si="1"/>
        <v>6</v>
      </c>
      <c r="BH623" s="1358"/>
      <c r="BI623" s="1361">
        <f t="shared" si="2"/>
        <v>0</v>
      </c>
      <c r="BJ623" s="1363"/>
      <c r="BK623" s="1356">
        <f t="shared" si="3"/>
        <v>0</v>
      </c>
      <c r="BL623" s="1358"/>
      <c r="BM623" s="3"/>
      <c r="BN623" s="1339">
        <f t="shared" si="4"/>
        <v>0</v>
      </c>
      <c r="BO623" s="1340"/>
      <c r="BP623" s="1340"/>
      <c r="BQ623" s="1340"/>
      <c r="BR623" s="1341"/>
      <c r="BS623" s="1346">
        <f t="shared" si="5"/>
        <v>0</v>
      </c>
      <c r="BT623" s="1346"/>
      <c r="BU623" s="1346"/>
      <c r="BV623" s="1346"/>
      <c r="BW623" s="1346"/>
      <c r="BX623" s="1346">
        <f t="shared" si="6"/>
        <v>0</v>
      </c>
      <c r="BY623" s="1346"/>
      <c r="BZ623" s="1346"/>
      <c r="CA623" s="1346"/>
      <c r="CB623" s="1346"/>
      <c r="CC623" s="1346">
        <f t="shared" si="7"/>
        <v>0</v>
      </c>
      <c r="CD623" s="1346"/>
      <c r="CE623" s="1346"/>
      <c r="CF623" s="1346"/>
      <c r="CG623" s="1346"/>
      <c r="CH623" s="1346">
        <f t="shared" si="8"/>
        <v>6</v>
      </c>
      <c r="CI623" s="1346"/>
      <c r="CJ623" s="1346"/>
      <c r="CK623" s="1346"/>
      <c r="CL623" s="1346"/>
      <c r="CM623" s="1346">
        <f t="shared" si="9"/>
        <v>0</v>
      </c>
      <c r="CN623" s="1346"/>
      <c r="CO623" s="1346"/>
      <c r="CP623" s="1346"/>
      <c r="CQ623" s="1346"/>
      <c r="CR623" s="6"/>
      <c r="CS623" s="1364">
        <f t="shared" si="10"/>
        <v>0</v>
      </c>
      <c r="CT623" s="1364"/>
      <c r="CU623" s="1364"/>
      <c r="CV623" s="1364"/>
      <c r="CW623" s="1364"/>
      <c r="CX623" s="1364">
        <f t="shared" si="11"/>
        <v>0</v>
      </c>
      <c r="CY623" s="1364"/>
      <c r="CZ623" s="1364"/>
      <c r="DA623" s="1364"/>
      <c r="DB623" s="1364"/>
      <c r="DC623" s="1364">
        <f t="shared" si="12"/>
        <v>0</v>
      </c>
      <c r="DD623" s="1364"/>
      <c r="DE623" s="1364"/>
      <c r="DF623" s="1364"/>
      <c r="DG623" s="1364"/>
      <c r="DH623" s="1364">
        <f t="shared" si="13"/>
        <v>0</v>
      </c>
      <c r="DI623" s="1364"/>
      <c r="DJ623" s="1364"/>
      <c r="DK623" s="1364"/>
      <c r="DL623" s="1364"/>
      <c r="DM623" s="1364">
        <f t="shared" si="14"/>
        <v>0</v>
      </c>
      <c r="DN623" s="1364"/>
      <c r="DO623" s="1364"/>
      <c r="DP623" s="1364"/>
      <c r="DQ623" s="1364"/>
      <c r="DR623" s="1364">
        <f t="shared" si="15"/>
        <v>0</v>
      </c>
      <c r="DS623" s="1364"/>
      <c r="DT623" s="1364"/>
      <c r="DU623" s="1364"/>
      <c r="DV623" s="1364"/>
      <c r="DX623" s="1361" t="str">
        <f t="shared" si="16"/>
        <v xml:space="preserve"> </v>
      </c>
      <c r="DY623" s="1362"/>
      <c r="DZ623" s="1362"/>
      <c r="EA623" s="1362"/>
      <c r="EB623" s="1363"/>
      <c r="EC623" s="1361" t="str">
        <f t="shared" si="17"/>
        <v xml:space="preserve"> </v>
      </c>
      <c r="ED623" s="1362"/>
      <c r="EE623" s="1362"/>
      <c r="EF623" s="1362"/>
      <c r="EG623" s="1363"/>
      <c r="EH623" s="1361" t="str">
        <f t="shared" si="18"/>
        <v xml:space="preserve"> </v>
      </c>
      <c r="EI623" s="1362"/>
      <c r="EJ623" s="1362"/>
      <c r="EK623" s="1362"/>
      <c r="EL623" s="1363"/>
      <c r="EM623" s="1361" t="str">
        <f t="shared" si="19"/>
        <v xml:space="preserve"> </v>
      </c>
      <c r="EN623" s="1362"/>
      <c r="EO623" s="1362"/>
      <c r="EP623" s="1362"/>
      <c r="EQ623" s="1363"/>
      <c r="ER623" s="1361">
        <f t="shared" si="20"/>
        <v>899</v>
      </c>
      <c r="ES623" s="1362"/>
      <c r="ET623" s="1362"/>
      <c r="EU623" s="1362"/>
      <c r="EV623" s="1363"/>
      <c r="EW623" s="1361" t="str">
        <f t="shared" si="21"/>
        <v xml:space="preserve"> </v>
      </c>
      <c r="EX623" s="1362"/>
      <c r="EY623" s="1362"/>
      <c r="EZ623" s="1362"/>
      <c r="FA623" s="1363"/>
    </row>
    <row r="624" spans="1:157" ht="12.75">
      <c r="B624" t="s">
        <v>18</v>
      </c>
      <c r="H624" s="1382"/>
      <c r="I624" s="1382"/>
      <c r="J624" s="1382"/>
      <c r="K624" s="1382"/>
      <c r="L624" s="1382"/>
      <c r="M624" s="1382"/>
      <c r="N624" s="1382"/>
      <c r="O624" s="1382"/>
      <c r="P624" s="1382"/>
      <c r="Q624" s="1382"/>
      <c r="R624" s="1382"/>
      <c r="U624" t="s">
        <v>18</v>
      </c>
      <c r="AA624" s="1382"/>
      <c r="AB624" s="1382"/>
      <c r="AC624" s="1382"/>
      <c r="AD624" s="1382"/>
      <c r="AE624" s="1382"/>
      <c r="AF624" s="1382"/>
      <c r="AG624" s="1382"/>
      <c r="AH624" s="1382"/>
      <c r="AI624" s="1382"/>
      <c r="AJ624" s="1382"/>
      <c r="AK624" s="1382"/>
      <c r="AZ624" s="3"/>
      <c r="BA624" s="3"/>
      <c r="BB624" s="3"/>
      <c r="BC624" s="3"/>
      <c r="BD624" s="3"/>
      <c r="BE624" s="1361">
        <f t="shared" si="0"/>
        <v>1</v>
      </c>
      <c r="BF624" s="1363"/>
      <c r="BG624" s="1356">
        <f t="shared" si="1"/>
        <v>1</v>
      </c>
      <c r="BH624" s="1358"/>
      <c r="BI624" s="1361">
        <f t="shared" si="2"/>
        <v>0</v>
      </c>
      <c r="BJ624" s="1363"/>
      <c r="BK624" s="1356">
        <f t="shared" si="3"/>
        <v>0</v>
      </c>
      <c r="BL624" s="1358"/>
      <c r="BM624" s="3"/>
      <c r="BN624" s="1339">
        <f t="shared" si="4"/>
        <v>0</v>
      </c>
      <c r="BO624" s="1340"/>
      <c r="BP624" s="1340"/>
      <c r="BQ624" s="1340"/>
      <c r="BR624" s="1341"/>
      <c r="BS624" s="1346">
        <f t="shared" si="5"/>
        <v>0</v>
      </c>
      <c r="BT624" s="1346"/>
      <c r="BU624" s="1346"/>
      <c r="BV624" s="1346"/>
      <c r="BW624" s="1346"/>
      <c r="BX624" s="1346">
        <f t="shared" si="6"/>
        <v>0</v>
      </c>
      <c r="BY624" s="1346"/>
      <c r="BZ624" s="1346"/>
      <c r="CA624" s="1346"/>
      <c r="CB624" s="1346"/>
      <c r="CC624" s="1346">
        <f t="shared" si="7"/>
        <v>0</v>
      </c>
      <c r="CD624" s="1346"/>
      <c r="CE624" s="1346"/>
      <c r="CF624" s="1346"/>
      <c r="CG624" s="1346"/>
      <c r="CH624" s="1346">
        <f t="shared" si="8"/>
        <v>1</v>
      </c>
      <c r="CI624" s="1346"/>
      <c r="CJ624" s="1346"/>
      <c r="CK624" s="1346"/>
      <c r="CL624" s="1346"/>
      <c r="CM624" s="1346">
        <f t="shared" si="9"/>
        <v>0</v>
      </c>
      <c r="CN624" s="1346"/>
      <c r="CO624" s="1346"/>
      <c r="CP624" s="1346"/>
      <c r="CQ624" s="1346"/>
      <c r="CR624" s="6"/>
      <c r="CS624" s="1364">
        <f t="shared" si="10"/>
        <v>0</v>
      </c>
      <c r="CT624" s="1364"/>
      <c r="CU624" s="1364"/>
      <c r="CV624" s="1364"/>
      <c r="CW624" s="1364"/>
      <c r="CX624" s="1364">
        <f t="shared" si="11"/>
        <v>0</v>
      </c>
      <c r="CY624" s="1364"/>
      <c r="CZ624" s="1364"/>
      <c r="DA624" s="1364"/>
      <c r="DB624" s="1364"/>
      <c r="DC624" s="1364">
        <f t="shared" si="12"/>
        <v>0</v>
      </c>
      <c r="DD624" s="1364"/>
      <c r="DE624" s="1364"/>
      <c r="DF624" s="1364"/>
      <c r="DG624" s="1364"/>
      <c r="DH624" s="1364">
        <f t="shared" si="13"/>
        <v>0</v>
      </c>
      <c r="DI624" s="1364"/>
      <c r="DJ624" s="1364"/>
      <c r="DK624" s="1364"/>
      <c r="DL624" s="1364"/>
      <c r="DM624" s="1364">
        <f t="shared" si="14"/>
        <v>0</v>
      </c>
      <c r="DN624" s="1364"/>
      <c r="DO624" s="1364"/>
      <c r="DP624" s="1364"/>
      <c r="DQ624" s="1364"/>
      <c r="DR624" s="1364">
        <f t="shared" si="15"/>
        <v>0</v>
      </c>
      <c r="DS624" s="1364"/>
      <c r="DT624" s="1364"/>
      <c r="DU624" s="1364"/>
      <c r="DV624" s="1364"/>
      <c r="DX624" s="1361" t="str">
        <f t="shared" si="16"/>
        <v xml:space="preserve"> </v>
      </c>
      <c r="DY624" s="1362"/>
      <c r="DZ624" s="1362"/>
      <c r="EA624" s="1362"/>
      <c r="EB624" s="1363"/>
      <c r="EC624" s="1361" t="str">
        <f t="shared" si="17"/>
        <v xml:space="preserve"> </v>
      </c>
      <c r="ED624" s="1362"/>
      <c r="EE624" s="1362"/>
      <c r="EF624" s="1362"/>
      <c r="EG624" s="1363"/>
      <c r="EH624" s="1361" t="str">
        <f t="shared" si="18"/>
        <v xml:space="preserve"> </v>
      </c>
      <c r="EI624" s="1362"/>
      <c r="EJ624" s="1362"/>
      <c r="EK624" s="1362"/>
      <c r="EL624" s="1363"/>
      <c r="EM624" s="1361" t="str">
        <f t="shared" si="19"/>
        <v xml:space="preserve"> </v>
      </c>
      <c r="EN624" s="1362"/>
      <c r="EO624" s="1362"/>
      <c r="EP624" s="1362"/>
      <c r="EQ624" s="1363"/>
      <c r="ER624" s="1361">
        <f t="shared" si="20"/>
        <v>1125</v>
      </c>
      <c r="ES624" s="1362"/>
      <c r="ET624" s="1362"/>
      <c r="EU624" s="1362"/>
      <c r="EV624" s="1363"/>
      <c r="EW624" s="1361" t="str">
        <f t="shared" si="21"/>
        <v xml:space="preserve"> </v>
      </c>
      <c r="EX624" s="1362"/>
      <c r="EY624" s="1362"/>
      <c r="EZ624" s="1362"/>
      <c r="FA624" s="1363"/>
    </row>
    <row r="625" spans="1:157" ht="12.75">
      <c r="B625" t="s">
        <v>20</v>
      </c>
      <c r="N625" s="1359" t="s">
        <v>696</v>
      </c>
      <c r="O625" s="1359"/>
      <c r="U625" t="s">
        <v>20</v>
      </c>
      <c r="AG625" s="1359" t="s">
        <v>696</v>
      </c>
      <c r="AH625" s="1359"/>
      <c r="AZ625" s="3"/>
      <c r="BA625" s="3"/>
      <c r="BB625" s="3"/>
      <c r="BC625" s="3"/>
      <c r="BD625" s="3"/>
      <c r="BE625" s="1361">
        <f t="shared" si="0"/>
        <v>0</v>
      </c>
      <c r="BF625" s="1363"/>
      <c r="BG625" s="1356">
        <f t="shared" si="1"/>
        <v>0</v>
      </c>
      <c r="BH625" s="1358"/>
      <c r="BI625" s="1361">
        <f t="shared" si="2"/>
        <v>0</v>
      </c>
      <c r="BJ625" s="1363"/>
      <c r="BK625" s="1356">
        <f t="shared" si="3"/>
        <v>0</v>
      </c>
      <c r="BL625" s="1358"/>
      <c r="BM625" s="3"/>
      <c r="BN625" s="1339">
        <f t="shared" si="4"/>
        <v>0</v>
      </c>
      <c r="BO625" s="1340"/>
      <c r="BP625" s="1340"/>
      <c r="BQ625" s="1340"/>
      <c r="BR625" s="1341"/>
      <c r="BS625" s="1346">
        <f t="shared" si="5"/>
        <v>0</v>
      </c>
      <c r="BT625" s="1346"/>
      <c r="BU625" s="1346"/>
      <c r="BV625" s="1346"/>
      <c r="BW625" s="1346"/>
      <c r="BX625" s="1346">
        <f t="shared" si="6"/>
        <v>0</v>
      </c>
      <c r="BY625" s="1346"/>
      <c r="BZ625" s="1346"/>
      <c r="CA625" s="1346"/>
      <c r="CB625" s="1346"/>
      <c r="CC625" s="1346">
        <f t="shared" si="7"/>
        <v>0</v>
      </c>
      <c r="CD625" s="1346"/>
      <c r="CE625" s="1346"/>
      <c r="CF625" s="1346"/>
      <c r="CG625" s="1346"/>
      <c r="CH625" s="1346">
        <f t="shared" si="8"/>
        <v>1</v>
      </c>
      <c r="CI625" s="1346"/>
      <c r="CJ625" s="1346"/>
      <c r="CK625" s="1346"/>
      <c r="CL625" s="1346"/>
      <c r="CM625" s="1346">
        <f t="shared" si="9"/>
        <v>0</v>
      </c>
      <c r="CN625" s="1346"/>
      <c r="CO625" s="1346"/>
      <c r="CP625" s="1346"/>
      <c r="CQ625" s="1346"/>
      <c r="CR625" s="6"/>
      <c r="CS625" s="1364">
        <f t="shared" si="10"/>
        <v>0</v>
      </c>
      <c r="CT625" s="1364"/>
      <c r="CU625" s="1364"/>
      <c r="CV625" s="1364"/>
      <c r="CW625" s="1364"/>
      <c r="CX625" s="1364">
        <f t="shared" si="11"/>
        <v>0</v>
      </c>
      <c r="CY625" s="1364"/>
      <c r="CZ625" s="1364"/>
      <c r="DA625" s="1364"/>
      <c r="DB625" s="1364"/>
      <c r="DC625" s="1364">
        <f t="shared" si="12"/>
        <v>0</v>
      </c>
      <c r="DD625" s="1364"/>
      <c r="DE625" s="1364"/>
      <c r="DF625" s="1364"/>
      <c r="DG625" s="1364"/>
      <c r="DH625" s="1364">
        <f t="shared" si="13"/>
        <v>0</v>
      </c>
      <c r="DI625" s="1364"/>
      <c r="DJ625" s="1364"/>
      <c r="DK625" s="1364"/>
      <c r="DL625" s="1364"/>
      <c r="DM625" s="1364">
        <f t="shared" si="14"/>
        <v>0</v>
      </c>
      <c r="DN625" s="1364"/>
      <c r="DO625" s="1364"/>
      <c r="DP625" s="1364"/>
      <c r="DQ625" s="1364"/>
      <c r="DR625" s="1364">
        <f t="shared" si="15"/>
        <v>0</v>
      </c>
      <c r="DS625" s="1364"/>
      <c r="DT625" s="1364"/>
      <c r="DU625" s="1364"/>
      <c r="DV625" s="1364"/>
      <c r="DX625" s="1361" t="str">
        <f t="shared" si="16"/>
        <v xml:space="preserve"> </v>
      </c>
      <c r="DY625" s="1362"/>
      <c r="DZ625" s="1362"/>
      <c r="EA625" s="1362"/>
      <c r="EB625" s="1363"/>
      <c r="EC625" s="1361" t="str">
        <f t="shared" si="17"/>
        <v xml:space="preserve"> </v>
      </c>
      <c r="ED625" s="1362"/>
      <c r="EE625" s="1362"/>
      <c r="EF625" s="1362"/>
      <c r="EG625" s="1363"/>
      <c r="EH625" s="1361" t="str">
        <f t="shared" si="18"/>
        <v xml:space="preserve"> </v>
      </c>
      <c r="EI625" s="1362"/>
      <c r="EJ625" s="1362"/>
      <c r="EK625" s="1362"/>
      <c r="EL625" s="1363"/>
      <c r="EM625" s="1361" t="str">
        <f t="shared" si="19"/>
        <v xml:space="preserve"> </v>
      </c>
      <c r="EN625" s="1362"/>
      <c r="EO625" s="1362"/>
      <c r="EP625" s="1362"/>
      <c r="EQ625" s="1363"/>
      <c r="ER625" s="1361">
        <f t="shared" si="20"/>
        <v>1351</v>
      </c>
      <c r="ES625" s="1362"/>
      <c r="ET625" s="1362"/>
      <c r="EU625" s="1362"/>
      <c r="EV625" s="1363"/>
      <c r="EW625" s="1361" t="str">
        <f t="shared" si="21"/>
        <v xml:space="preserve"> </v>
      </c>
      <c r="EX625" s="1362"/>
      <c r="EY625" s="1362"/>
      <c r="EZ625" s="1362"/>
      <c r="FA625" s="1363"/>
    </row>
    <row r="626" spans="1:157" ht="12.75">
      <c r="AZ626" s="3"/>
      <c r="BA626" s="3"/>
      <c r="BB626" s="3"/>
      <c r="BC626" s="3"/>
      <c r="BD626" s="3"/>
      <c r="BE626" s="1361">
        <f t="shared" si="0"/>
        <v>0</v>
      </c>
      <c r="BF626" s="1363"/>
      <c r="BG626" s="1356">
        <f t="shared" si="1"/>
        <v>0</v>
      </c>
      <c r="BH626" s="1358"/>
      <c r="BI626" s="1361">
        <f t="shared" si="2"/>
        <v>0</v>
      </c>
      <c r="BJ626" s="1363"/>
      <c r="BK626" s="1356">
        <f t="shared" si="3"/>
        <v>0</v>
      </c>
      <c r="BL626" s="1358"/>
      <c r="BM626" s="3"/>
      <c r="BN626" s="1339">
        <f t="shared" si="4"/>
        <v>0</v>
      </c>
      <c r="BO626" s="1340"/>
      <c r="BP626" s="1340"/>
      <c r="BQ626" s="1340"/>
      <c r="BR626" s="1341"/>
      <c r="BS626" s="1346">
        <f t="shared" si="5"/>
        <v>0</v>
      </c>
      <c r="BT626" s="1346"/>
      <c r="BU626" s="1346"/>
      <c r="BV626" s="1346"/>
      <c r="BW626" s="1346"/>
      <c r="BX626" s="1346">
        <f t="shared" si="6"/>
        <v>0</v>
      </c>
      <c r="BY626" s="1346"/>
      <c r="BZ626" s="1346"/>
      <c r="CA626" s="1346"/>
      <c r="CB626" s="1346"/>
      <c r="CC626" s="1346">
        <f t="shared" si="7"/>
        <v>0</v>
      </c>
      <c r="CD626" s="1346"/>
      <c r="CE626" s="1346"/>
      <c r="CF626" s="1346"/>
      <c r="CG626" s="1346"/>
      <c r="CH626" s="1346">
        <f t="shared" si="8"/>
        <v>0</v>
      </c>
      <c r="CI626" s="1346"/>
      <c r="CJ626" s="1346"/>
      <c r="CK626" s="1346"/>
      <c r="CL626" s="1346"/>
      <c r="CM626" s="1346">
        <f t="shared" si="9"/>
        <v>0</v>
      </c>
      <c r="CN626" s="1346"/>
      <c r="CO626" s="1346"/>
      <c r="CP626" s="1346"/>
      <c r="CQ626" s="1346"/>
      <c r="CR626" s="6"/>
      <c r="CS626" s="1364">
        <f t="shared" si="10"/>
        <v>0</v>
      </c>
      <c r="CT626" s="1364"/>
      <c r="CU626" s="1364"/>
      <c r="CV626" s="1364"/>
      <c r="CW626" s="1364"/>
      <c r="CX626" s="1364">
        <f t="shared" si="11"/>
        <v>0</v>
      </c>
      <c r="CY626" s="1364"/>
      <c r="CZ626" s="1364"/>
      <c r="DA626" s="1364"/>
      <c r="DB626" s="1364"/>
      <c r="DC626" s="1364">
        <f t="shared" si="12"/>
        <v>0</v>
      </c>
      <c r="DD626" s="1364"/>
      <c r="DE626" s="1364"/>
      <c r="DF626" s="1364"/>
      <c r="DG626" s="1364"/>
      <c r="DH626" s="1364">
        <f t="shared" si="13"/>
        <v>0</v>
      </c>
      <c r="DI626" s="1364"/>
      <c r="DJ626" s="1364"/>
      <c r="DK626" s="1364"/>
      <c r="DL626" s="1364"/>
      <c r="DM626" s="1364">
        <f t="shared" si="14"/>
        <v>0</v>
      </c>
      <c r="DN626" s="1364"/>
      <c r="DO626" s="1364"/>
      <c r="DP626" s="1364"/>
      <c r="DQ626" s="1364"/>
      <c r="DR626" s="1364">
        <f t="shared" si="15"/>
        <v>0</v>
      </c>
      <c r="DS626" s="1364"/>
      <c r="DT626" s="1364"/>
      <c r="DU626" s="1364"/>
      <c r="DV626" s="1364"/>
      <c r="DX626" s="1361" t="str">
        <f t="shared" si="16"/>
        <v xml:space="preserve"> </v>
      </c>
      <c r="DY626" s="1362"/>
      <c r="DZ626" s="1362"/>
      <c r="EA626" s="1362"/>
      <c r="EB626" s="1363"/>
      <c r="EC626" s="1361" t="str">
        <f t="shared" si="17"/>
        <v xml:space="preserve"> </v>
      </c>
      <c r="ED626" s="1362"/>
      <c r="EE626" s="1362"/>
      <c r="EF626" s="1362"/>
      <c r="EG626" s="1363"/>
      <c r="EH626" s="1361" t="str">
        <f t="shared" si="18"/>
        <v xml:space="preserve"> </v>
      </c>
      <c r="EI626" s="1362"/>
      <c r="EJ626" s="1362"/>
      <c r="EK626" s="1362"/>
      <c r="EL626" s="1363"/>
      <c r="EM626" s="1361" t="str">
        <f t="shared" si="19"/>
        <v xml:space="preserve"> </v>
      </c>
      <c r="EN626" s="1362"/>
      <c r="EO626" s="1362"/>
      <c r="EP626" s="1362"/>
      <c r="EQ626" s="1363"/>
      <c r="ER626" s="1361" t="str">
        <f t="shared" si="20"/>
        <v xml:space="preserve"> </v>
      </c>
      <c r="ES626" s="1362"/>
      <c r="ET626" s="1362"/>
      <c r="EU626" s="1362"/>
      <c r="EV626" s="1363"/>
      <c r="EW626" s="1361" t="str">
        <f t="shared" si="21"/>
        <v xml:space="preserve"> </v>
      </c>
      <c r="EX626" s="1362"/>
      <c r="EY626" s="1362"/>
      <c r="EZ626" s="1362"/>
      <c r="FA626" s="1363"/>
    </row>
    <row r="627" spans="1:157" ht="12.75" customHeight="1">
      <c r="A627" s="1244" t="s">
        <v>570</v>
      </c>
      <c r="B627" s="1244"/>
      <c r="C627" s="1244"/>
      <c r="D627" s="1244"/>
      <c r="E627" s="1244"/>
      <c r="F627" s="1244"/>
      <c r="G627" s="1244"/>
      <c r="H627" s="1244"/>
      <c r="I627" s="1244"/>
      <c r="J627" s="1244"/>
      <c r="K627" s="1244"/>
      <c r="L627" s="1244"/>
      <c r="M627" s="1244"/>
      <c r="N627" s="1244"/>
      <c r="O627" s="1244"/>
      <c r="P627" s="1244"/>
      <c r="Q627" s="1244"/>
      <c r="R627" s="1244"/>
      <c r="S627" s="1244"/>
      <c r="T627" s="1244"/>
      <c r="U627" s="1244"/>
      <c r="V627" s="1244"/>
      <c r="W627" s="1244"/>
      <c r="X627" s="1244"/>
      <c r="Y627" s="1244"/>
      <c r="Z627" s="1244"/>
      <c r="AA627" s="1244"/>
      <c r="AB627" s="1244"/>
      <c r="AC627" s="1244"/>
      <c r="AD627" s="1244"/>
      <c r="AE627" s="1244"/>
      <c r="AF627" s="1244"/>
      <c r="AG627" s="1244"/>
      <c r="AH627" s="1244"/>
      <c r="AI627" s="1244"/>
      <c r="AJ627" s="1244"/>
      <c r="AK627" s="1244"/>
      <c r="AL627" s="1244"/>
      <c r="AM627" s="1244"/>
      <c r="AN627" s="1244"/>
      <c r="AO627" s="1244"/>
      <c r="AP627" s="1244"/>
      <c r="AQ627" s="1244"/>
      <c r="AR627" s="1244"/>
      <c r="AS627" s="1244"/>
      <c r="AT627" s="939"/>
      <c r="AU627" s="939"/>
      <c r="AV627" s="939"/>
      <c r="AW627" s="939"/>
      <c r="AX627" s="939"/>
      <c r="AY627" s="939"/>
      <c r="AZ627" s="3"/>
      <c r="BA627" s="3"/>
      <c r="BB627" s="3"/>
      <c r="BC627" s="3"/>
      <c r="BD627" s="3"/>
      <c r="BE627" s="1361">
        <f t="shared" si="0"/>
        <v>0</v>
      </c>
      <c r="BF627" s="1363"/>
      <c r="BG627" s="1356">
        <f t="shared" si="1"/>
        <v>0</v>
      </c>
      <c r="BH627" s="1358"/>
      <c r="BI627" s="1361">
        <f t="shared" si="2"/>
        <v>0</v>
      </c>
      <c r="BJ627" s="1363"/>
      <c r="BK627" s="1356">
        <f t="shared" si="3"/>
        <v>0</v>
      </c>
      <c r="BL627" s="1358"/>
      <c r="BM627" s="3"/>
      <c r="BN627" s="1339">
        <f t="shared" si="4"/>
        <v>0</v>
      </c>
      <c r="BO627" s="1340"/>
      <c r="BP627" s="1340"/>
      <c r="BQ627" s="1340"/>
      <c r="BR627" s="1341"/>
      <c r="BS627" s="1346">
        <f t="shared" si="5"/>
        <v>0</v>
      </c>
      <c r="BT627" s="1346"/>
      <c r="BU627" s="1346"/>
      <c r="BV627" s="1346"/>
      <c r="BW627" s="1346"/>
      <c r="BX627" s="1346">
        <f t="shared" si="6"/>
        <v>0</v>
      </c>
      <c r="BY627" s="1346"/>
      <c r="BZ627" s="1346"/>
      <c r="CA627" s="1346"/>
      <c r="CB627" s="1346"/>
      <c r="CC627" s="1346">
        <f t="shared" si="7"/>
        <v>0</v>
      </c>
      <c r="CD627" s="1346"/>
      <c r="CE627" s="1346"/>
      <c r="CF627" s="1346"/>
      <c r="CG627" s="1346"/>
      <c r="CH627" s="1346">
        <f t="shared" si="8"/>
        <v>0</v>
      </c>
      <c r="CI627" s="1346"/>
      <c r="CJ627" s="1346"/>
      <c r="CK627" s="1346"/>
      <c r="CL627" s="1346"/>
      <c r="CM627" s="1346">
        <f t="shared" si="9"/>
        <v>0</v>
      </c>
      <c r="CN627" s="1346"/>
      <c r="CO627" s="1346"/>
      <c r="CP627" s="1346"/>
      <c r="CQ627" s="1346"/>
      <c r="CR627" s="6"/>
      <c r="CS627" s="1364">
        <f t="shared" si="10"/>
        <v>0</v>
      </c>
      <c r="CT627" s="1364"/>
      <c r="CU627" s="1364"/>
      <c r="CV627" s="1364"/>
      <c r="CW627" s="1364"/>
      <c r="CX627" s="1364">
        <f t="shared" si="11"/>
        <v>0</v>
      </c>
      <c r="CY627" s="1364"/>
      <c r="CZ627" s="1364"/>
      <c r="DA627" s="1364"/>
      <c r="DB627" s="1364"/>
      <c r="DC627" s="1364">
        <f t="shared" si="12"/>
        <v>0</v>
      </c>
      <c r="DD627" s="1364"/>
      <c r="DE627" s="1364"/>
      <c r="DF627" s="1364"/>
      <c r="DG627" s="1364"/>
      <c r="DH627" s="1364">
        <f t="shared" si="13"/>
        <v>0</v>
      </c>
      <c r="DI627" s="1364"/>
      <c r="DJ627" s="1364"/>
      <c r="DK627" s="1364"/>
      <c r="DL627" s="1364"/>
      <c r="DM627" s="1364">
        <f t="shared" si="14"/>
        <v>0</v>
      </c>
      <c r="DN627" s="1364"/>
      <c r="DO627" s="1364"/>
      <c r="DP627" s="1364"/>
      <c r="DQ627" s="1364"/>
      <c r="DR627" s="1364">
        <f t="shared" si="15"/>
        <v>0</v>
      </c>
      <c r="DS627" s="1364"/>
      <c r="DT627" s="1364"/>
      <c r="DU627" s="1364"/>
      <c r="DV627" s="1364"/>
      <c r="DX627" s="1361" t="str">
        <f t="shared" si="16"/>
        <v xml:space="preserve"> </v>
      </c>
      <c r="DY627" s="1362"/>
      <c r="DZ627" s="1362"/>
      <c r="EA627" s="1362"/>
      <c r="EB627" s="1363"/>
      <c r="EC627" s="1361" t="str">
        <f t="shared" si="17"/>
        <v xml:space="preserve"> </v>
      </c>
      <c r="ED627" s="1362"/>
      <c r="EE627" s="1362"/>
      <c r="EF627" s="1362"/>
      <c r="EG627" s="1363"/>
      <c r="EH627" s="1361" t="str">
        <f t="shared" si="18"/>
        <v xml:space="preserve"> </v>
      </c>
      <c r="EI627" s="1362"/>
      <c r="EJ627" s="1362"/>
      <c r="EK627" s="1362"/>
      <c r="EL627" s="1363"/>
      <c r="EM627" s="1361" t="str">
        <f t="shared" si="19"/>
        <v xml:space="preserve"> </v>
      </c>
      <c r="EN627" s="1362"/>
      <c r="EO627" s="1362"/>
      <c r="EP627" s="1362"/>
      <c r="EQ627" s="1363"/>
      <c r="ER627" s="1361" t="str">
        <f t="shared" si="20"/>
        <v xml:space="preserve"> </v>
      </c>
      <c r="ES627" s="1362"/>
      <c r="ET627" s="1362"/>
      <c r="EU627" s="1362"/>
      <c r="EV627" s="1363"/>
      <c r="EW627" s="1361" t="str">
        <f t="shared" si="21"/>
        <v xml:space="preserve"> </v>
      </c>
      <c r="EX627" s="1362"/>
      <c r="EY627" s="1362"/>
      <c r="EZ627" s="1362"/>
      <c r="FA627" s="1363"/>
    </row>
    <row r="628" spans="1:157" ht="12.75">
      <c r="A628" s="1244"/>
      <c r="B628" s="1244"/>
      <c r="C628" s="1244"/>
      <c r="D628" s="1244"/>
      <c r="E628" s="1244"/>
      <c r="F628" s="1244"/>
      <c r="G628" s="1244"/>
      <c r="H628" s="1244"/>
      <c r="I628" s="1244"/>
      <c r="J628" s="1244"/>
      <c r="K628" s="1244"/>
      <c r="L628" s="1244"/>
      <c r="M628" s="1244"/>
      <c r="N628" s="1244"/>
      <c r="O628" s="1244"/>
      <c r="P628" s="1244"/>
      <c r="Q628" s="1244"/>
      <c r="R628" s="1244"/>
      <c r="S628" s="1244"/>
      <c r="T628" s="1244"/>
      <c r="U628" s="1244"/>
      <c r="V628" s="1244"/>
      <c r="W628" s="1244"/>
      <c r="X628" s="1244"/>
      <c r="Y628" s="1244"/>
      <c r="Z628" s="1244"/>
      <c r="AA628" s="1244"/>
      <c r="AB628" s="1244"/>
      <c r="AC628" s="1244"/>
      <c r="AD628" s="1244"/>
      <c r="AE628" s="1244"/>
      <c r="AF628" s="1244"/>
      <c r="AG628" s="1244"/>
      <c r="AH628" s="1244"/>
      <c r="AI628" s="1244"/>
      <c r="AJ628" s="1244"/>
      <c r="AK628" s="1244"/>
      <c r="AL628" s="1244"/>
      <c r="AM628" s="1244"/>
      <c r="AN628" s="1244"/>
      <c r="AO628" s="1244"/>
      <c r="AP628" s="1244"/>
      <c r="AQ628" s="1244"/>
      <c r="AR628" s="1244"/>
      <c r="AS628" s="1244"/>
      <c r="AT628" s="939"/>
      <c r="AU628" s="939"/>
      <c r="AV628" s="939"/>
      <c r="AW628" s="939"/>
      <c r="AX628" s="939"/>
      <c r="AY628" s="939"/>
      <c r="AZ628" s="3"/>
      <c r="BA628" s="3"/>
      <c r="BB628" s="3"/>
      <c r="BC628" s="3"/>
      <c r="BD628" s="3"/>
      <c r="BE628" s="1361">
        <f t="shared" si="0"/>
        <v>0</v>
      </c>
      <c r="BF628" s="1363"/>
      <c r="BG628" s="1356">
        <f t="shared" si="1"/>
        <v>0</v>
      </c>
      <c r="BH628" s="1358"/>
      <c r="BI628" s="1361">
        <f t="shared" si="2"/>
        <v>0</v>
      </c>
      <c r="BJ628" s="1363"/>
      <c r="BK628" s="1356">
        <f t="shared" si="3"/>
        <v>0</v>
      </c>
      <c r="BL628" s="1358"/>
      <c r="BM628" s="3"/>
      <c r="BN628" s="1339">
        <f t="shared" si="4"/>
        <v>0</v>
      </c>
      <c r="BO628" s="1340"/>
      <c r="BP628" s="1340"/>
      <c r="BQ628" s="1340"/>
      <c r="BR628" s="1341"/>
      <c r="BS628" s="1346">
        <f t="shared" si="5"/>
        <v>0</v>
      </c>
      <c r="BT628" s="1346"/>
      <c r="BU628" s="1346"/>
      <c r="BV628" s="1346"/>
      <c r="BW628" s="1346"/>
      <c r="BX628" s="1346">
        <f t="shared" si="6"/>
        <v>0</v>
      </c>
      <c r="BY628" s="1346"/>
      <c r="BZ628" s="1346"/>
      <c r="CA628" s="1346"/>
      <c r="CB628" s="1346"/>
      <c r="CC628" s="1346">
        <f t="shared" si="7"/>
        <v>0</v>
      </c>
      <c r="CD628" s="1346"/>
      <c r="CE628" s="1346"/>
      <c r="CF628" s="1346"/>
      <c r="CG628" s="1346"/>
      <c r="CH628" s="1346">
        <f t="shared" si="8"/>
        <v>0</v>
      </c>
      <c r="CI628" s="1346"/>
      <c r="CJ628" s="1346"/>
      <c r="CK628" s="1346"/>
      <c r="CL628" s="1346"/>
      <c r="CM628" s="1346">
        <f t="shared" si="9"/>
        <v>0</v>
      </c>
      <c r="CN628" s="1346"/>
      <c r="CO628" s="1346"/>
      <c r="CP628" s="1346"/>
      <c r="CQ628" s="1346"/>
      <c r="CR628" s="6"/>
      <c r="CS628" s="1364">
        <f t="shared" si="10"/>
        <v>0</v>
      </c>
      <c r="CT628" s="1364"/>
      <c r="CU628" s="1364"/>
      <c r="CV628" s="1364"/>
      <c r="CW628" s="1364"/>
      <c r="CX628" s="1364">
        <f t="shared" si="11"/>
        <v>0</v>
      </c>
      <c r="CY628" s="1364"/>
      <c r="CZ628" s="1364"/>
      <c r="DA628" s="1364"/>
      <c r="DB628" s="1364"/>
      <c r="DC628" s="1364">
        <f t="shared" si="12"/>
        <v>0</v>
      </c>
      <c r="DD628" s="1364"/>
      <c r="DE628" s="1364"/>
      <c r="DF628" s="1364"/>
      <c r="DG628" s="1364"/>
      <c r="DH628" s="1364">
        <f t="shared" si="13"/>
        <v>0</v>
      </c>
      <c r="DI628" s="1364"/>
      <c r="DJ628" s="1364"/>
      <c r="DK628" s="1364"/>
      <c r="DL628" s="1364"/>
      <c r="DM628" s="1364">
        <f t="shared" si="14"/>
        <v>0</v>
      </c>
      <c r="DN628" s="1364"/>
      <c r="DO628" s="1364"/>
      <c r="DP628" s="1364"/>
      <c r="DQ628" s="1364"/>
      <c r="DR628" s="1364">
        <f t="shared" si="15"/>
        <v>0</v>
      </c>
      <c r="DS628" s="1364"/>
      <c r="DT628" s="1364"/>
      <c r="DU628" s="1364"/>
      <c r="DV628" s="1364"/>
      <c r="DX628" s="1361" t="str">
        <f t="shared" si="16"/>
        <v xml:space="preserve"> </v>
      </c>
      <c r="DY628" s="1362"/>
      <c r="DZ628" s="1362"/>
      <c r="EA628" s="1362"/>
      <c r="EB628" s="1363"/>
      <c r="EC628" s="1361" t="str">
        <f t="shared" si="17"/>
        <v xml:space="preserve"> </v>
      </c>
      <c r="ED628" s="1362"/>
      <c r="EE628" s="1362"/>
      <c r="EF628" s="1362"/>
      <c r="EG628" s="1363"/>
      <c r="EH628" s="1361" t="str">
        <f t="shared" si="18"/>
        <v xml:space="preserve"> </v>
      </c>
      <c r="EI628" s="1362"/>
      <c r="EJ628" s="1362"/>
      <c r="EK628" s="1362"/>
      <c r="EL628" s="1363"/>
      <c r="EM628" s="1361" t="str">
        <f t="shared" si="19"/>
        <v xml:space="preserve"> </v>
      </c>
      <c r="EN628" s="1362"/>
      <c r="EO628" s="1362"/>
      <c r="EP628" s="1362"/>
      <c r="EQ628" s="1363"/>
      <c r="ER628" s="1361" t="str">
        <f t="shared" si="20"/>
        <v xml:space="preserve"> </v>
      </c>
      <c r="ES628" s="1362"/>
      <c r="ET628" s="1362"/>
      <c r="EU628" s="1362"/>
      <c r="EV628" s="1363"/>
      <c r="EW628" s="1361" t="str">
        <f t="shared" si="21"/>
        <v xml:space="preserve"> </v>
      </c>
      <c r="EX628" s="1362"/>
      <c r="EY628" s="1362"/>
      <c r="EZ628" s="1362"/>
      <c r="FA628" s="1363"/>
    </row>
    <row r="629" spans="1:157" ht="12.75">
      <c r="AZ629" s="3"/>
      <c r="BA629" s="3"/>
      <c r="BB629" s="3"/>
      <c r="BC629" s="3"/>
      <c r="BD629" s="3"/>
      <c r="BE629" s="1361">
        <f t="shared" si="0"/>
        <v>0</v>
      </c>
      <c r="BF629" s="1363"/>
      <c r="BG629" s="1356">
        <f t="shared" si="1"/>
        <v>0</v>
      </c>
      <c r="BH629" s="1358"/>
      <c r="BI629" s="1361">
        <f t="shared" si="2"/>
        <v>0</v>
      </c>
      <c r="BJ629" s="1363"/>
      <c r="BK629" s="1356">
        <f t="shared" si="3"/>
        <v>0</v>
      </c>
      <c r="BL629" s="1358"/>
      <c r="BM629" s="3"/>
      <c r="BN629" s="1339">
        <f t="shared" si="4"/>
        <v>0</v>
      </c>
      <c r="BO629" s="1340"/>
      <c r="BP629" s="1340"/>
      <c r="BQ629" s="1340"/>
      <c r="BR629" s="1341"/>
      <c r="BS629" s="1346">
        <f t="shared" si="5"/>
        <v>0</v>
      </c>
      <c r="BT629" s="1346"/>
      <c r="BU629" s="1346"/>
      <c r="BV629" s="1346"/>
      <c r="BW629" s="1346"/>
      <c r="BX629" s="1346">
        <f t="shared" si="6"/>
        <v>0</v>
      </c>
      <c r="BY629" s="1346"/>
      <c r="BZ629" s="1346"/>
      <c r="CA629" s="1346"/>
      <c r="CB629" s="1346"/>
      <c r="CC629" s="1346">
        <f t="shared" si="7"/>
        <v>0</v>
      </c>
      <c r="CD629" s="1346"/>
      <c r="CE629" s="1346"/>
      <c r="CF629" s="1346"/>
      <c r="CG629" s="1346"/>
      <c r="CH629" s="1346">
        <f t="shared" si="8"/>
        <v>0</v>
      </c>
      <c r="CI629" s="1346"/>
      <c r="CJ629" s="1346"/>
      <c r="CK629" s="1346"/>
      <c r="CL629" s="1346"/>
      <c r="CM629" s="1346">
        <f t="shared" si="9"/>
        <v>0</v>
      </c>
      <c r="CN629" s="1346"/>
      <c r="CO629" s="1346"/>
      <c r="CP629" s="1346"/>
      <c r="CQ629" s="1346"/>
      <c r="CR629" s="6"/>
      <c r="CS629" s="1364">
        <f t="shared" si="10"/>
        <v>0</v>
      </c>
      <c r="CT629" s="1364"/>
      <c r="CU629" s="1364"/>
      <c r="CV629" s="1364"/>
      <c r="CW629" s="1364"/>
      <c r="CX629" s="1364">
        <f t="shared" si="11"/>
        <v>0</v>
      </c>
      <c r="CY629" s="1364"/>
      <c r="CZ629" s="1364"/>
      <c r="DA629" s="1364"/>
      <c r="DB629" s="1364"/>
      <c r="DC629" s="1364">
        <f t="shared" si="12"/>
        <v>0</v>
      </c>
      <c r="DD629" s="1364"/>
      <c r="DE629" s="1364"/>
      <c r="DF629" s="1364"/>
      <c r="DG629" s="1364"/>
      <c r="DH629" s="1364">
        <f t="shared" si="13"/>
        <v>0</v>
      </c>
      <c r="DI629" s="1364"/>
      <c r="DJ629" s="1364"/>
      <c r="DK629" s="1364"/>
      <c r="DL629" s="1364"/>
      <c r="DM629" s="1364">
        <f t="shared" si="14"/>
        <v>0</v>
      </c>
      <c r="DN629" s="1364"/>
      <c r="DO629" s="1364"/>
      <c r="DP629" s="1364"/>
      <c r="DQ629" s="1364"/>
      <c r="DR629" s="1364">
        <f t="shared" si="15"/>
        <v>0</v>
      </c>
      <c r="DS629" s="1364"/>
      <c r="DT629" s="1364"/>
      <c r="DU629" s="1364"/>
      <c r="DV629" s="1364"/>
      <c r="DX629" s="1361" t="str">
        <f t="shared" si="16"/>
        <v xml:space="preserve"> </v>
      </c>
      <c r="DY629" s="1362"/>
      <c r="DZ629" s="1362"/>
      <c r="EA629" s="1362"/>
      <c r="EB629" s="1363"/>
      <c r="EC629" s="1361" t="str">
        <f t="shared" si="17"/>
        <v xml:space="preserve"> </v>
      </c>
      <c r="ED629" s="1362"/>
      <c r="EE629" s="1362"/>
      <c r="EF629" s="1362"/>
      <c r="EG629" s="1363"/>
      <c r="EH629" s="1361" t="str">
        <f t="shared" si="18"/>
        <v xml:space="preserve"> </v>
      </c>
      <c r="EI629" s="1362"/>
      <c r="EJ629" s="1362"/>
      <c r="EK629" s="1362"/>
      <c r="EL629" s="1363"/>
      <c r="EM629" s="1361" t="str">
        <f t="shared" si="19"/>
        <v xml:space="preserve"> </v>
      </c>
      <c r="EN629" s="1362"/>
      <c r="EO629" s="1362"/>
      <c r="EP629" s="1362"/>
      <c r="EQ629" s="1363"/>
      <c r="ER629" s="1361" t="str">
        <f t="shared" si="20"/>
        <v xml:space="preserve"> </v>
      </c>
      <c r="ES629" s="1362"/>
      <c r="ET629" s="1362"/>
      <c r="EU629" s="1362"/>
      <c r="EV629" s="1363"/>
      <c r="EW629" s="1361" t="str">
        <f t="shared" si="21"/>
        <v xml:space="preserve"> </v>
      </c>
      <c r="EX629" s="1362"/>
      <c r="EY629" s="1362"/>
      <c r="EZ629" s="1362"/>
      <c r="FA629" s="1363"/>
    </row>
    <row r="630" spans="1:157" ht="12.75">
      <c r="A630" s="2" t="s">
        <v>325</v>
      </c>
      <c r="B630" s="2"/>
      <c r="C630" s="2" t="s">
        <v>21</v>
      </c>
      <c r="AZ630" s="3"/>
      <c r="BA630" s="3"/>
      <c r="BB630" s="3"/>
      <c r="BC630" s="3"/>
      <c r="BD630" s="3"/>
      <c r="BE630" s="1361">
        <f t="shared" si="0"/>
        <v>0</v>
      </c>
      <c r="BF630" s="1363"/>
      <c r="BG630" s="1356">
        <f t="shared" si="1"/>
        <v>0</v>
      </c>
      <c r="BH630" s="1358"/>
      <c r="BI630" s="1361">
        <f t="shared" si="2"/>
        <v>0</v>
      </c>
      <c r="BJ630" s="1363"/>
      <c r="BK630" s="1356">
        <f t="shared" si="3"/>
        <v>0</v>
      </c>
      <c r="BL630" s="1358"/>
      <c r="BM630" s="3"/>
      <c r="BN630" s="1339">
        <f t="shared" si="4"/>
        <v>0</v>
      </c>
      <c r="BO630" s="1340"/>
      <c r="BP630" s="1340"/>
      <c r="BQ630" s="1340"/>
      <c r="BR630" s="1341"/>
      <c r="BS630" s="1346">
        <f t="shared" si="5"/>
        <v>0</v>
      </c>
      <c r="BT630" s="1346"/>
      <c r="BU630" s="1346"/>
      <c r="BV630" s="1346"/>
      <c r="BW630" s="1346"/>
      <c r="BX630" s="1346">
        <f t="shared" si="6"/>
        <v>0</v>
      </c>
      <c r="BY630" s="1346"/>
      <c r="BZ630" s="1346"/>
      <c r="CA630" s="1346"/>
      <c r="CB630" s="1346"/>
      <c r="CC630" s="1346">
        <f t="shared" si="7"/>
        <v>0</v>
      </c>
      <c r="CD630" s="1346"/>
      <c r="CE630" s="1346"/>
      <c r="CF630" s="1346"/>
      <c r="CG630" s="1346"/>
      <c r="CH630" s="1346">
        <f t="shared" si="8"/>
        <v>0</v>
      </c>
      <c r="CI630" s="1346"/>
      <c r="CJ630" s="1346"/>
      <c r="CK630" s="1346"/>
      <c r="CL630" s="1346"/>
      <c r="CM630" s="1346">
        <f t="shared" si="9"/>
        <v>0</v>
      </c>
      <c r="CN630" s="1346"/>
      <c r="CO630" s="1346"/>
      <c r="CP630" s="1346"/>
      <c r="CQ630" s="1346"/>
      <c r="CR630" s="6"/>
      <c r="CS630" s="1364">
        <f t="shared" si="10"/>
        <v>0</v>
      </c>
      <c r="CT630" s="1364"/>
      <c r="CU630" s="1364"/>
      <c r="CV630" s="1364"/>
      <c r="CW630" s="1364"/>
      <c r="CX630" s="1364">
        <f t="shared" si="11"/>
        <v>0</v>
      </c>
      <c r="CY630" s="1364"/>
      <c r="CZ630" s="1364"/>
      <c r="DA630" s="1364"/>
      <c r="DB630" s="1364"/>
      <c r="DC630" s="1364">
        <f t="shared" si="12"/>
        <v>0</v>
      </c>
      <c r="DD630" s="1364"/>
      <c r="DE630" s="1364"/>
      <c r="DF630" s="1364"/>
      <c r="DG630" s="1364"/>
      <c r="DH630" s="1364">
        <f t="shared" si="13"/>
        <v>0</v>
      </c>
      <c r="DI630" s="1364"/>
      <c r="DJ630" s="1364"/>
      <c r="DK630" s="1364"/>
      <c r="DL630" s="1364"/>
      <c r="DM630" s="1364">
        <f t="shared" si="14"/>
        <v>0</v>
      </c>
      <c r="DN630" s="1364"/>
      <c r="DO630" s="1364"/>
      <c r="DP630" s="1364"/>
      <c r="DQ630" s="1364"/>
      <c r="DR630" s="1364">
        <f t="shared" si="15"/>
        <v>0</v>
      </c>
      <c r="DS630" s="1364"/>
      <c r="DT630" s="1364"/>
      <c r="DU630" s="1364"/>
      <c r="DV630" s="1364"/>
      <c r="DX630" s="1361" t="str">
        <f t="shared" si="16"/>
        <v xml:space="preserve"> </v>
      </c>
      <c r="DY630" s="1362"/>
      <c r="DZ630" s="1362"/>
      <c r="EA630" s="1362"/>
      <c r="EB630" s="1363"/>
      <c r="EC630" s="1361" t="str">
        <f t="shared" si="17"/>
        <v xml:space="preserve"> </v>
      </c>
      <c r="ED630" s="1362"/>
      <c r="EE630" s="1362"/>
      <c r="EF630" s="1362"/>
      <c r="EG630" s="1363"/>
      <c r="EH630" s="1361" t="str">
        <f t="shared" si="18"/>
        <v xml:space="preserve"> </v>
      </c>
      <c r="EI630" s="1362"/>
      <c r="EJ630" s="1362"/>
      <c r="EK630" s="1362"/>
      <c r="EL630" s="1363"/>
      <c r="EM630" s="1361" t="str">
        <f t="shared" si="19"/>
        <v xml:space="preserve"> </v>
      </c>
      <c r="EN630" s="1362"/>
      <c r="EO630" s="1362"/>
      <c r="EP630" s="1362"/>
      <c r="EQ630" s="1363"/>
      <c r="ER630" s="1361" t="str">
        <f t="shared" si="20"/>
        <v xml:space="preserve"> </v>
      </c>
      <c r="ES630" s="1362"/>
      <c r="ET630" s="1362"/>
      <c r="EU630" s="1362"/>
      <c r="EV630" s="1363"/>
      <c r="EW630" s="1361" t="str">
        <f t="shared" si="21"/>
        <v xml:space="preserve"> </v>
      </c>
      <c r="EX630" s="1362"/>
      <c r="EY630" s="1362"/>
      <c r="EZ630" s="1362"/>
      <c r="FA630" s="1363"/>
    </row>
    <row r="631" spans="1:157" ht="12.75">
      <c r="A631" s="2"/>
      <c r="B631" s="2"/>
      <c r="C631" s="2"/>
      <c r="AZ631" s="3"/>
      <c r="BA631" s="3"/>
      <c r="BB631" s="3"/>
      <c r="BC631" s="3"/>
      <c r="BD631" s="3"/>
      <c r="BE631" s="1361">
        <f t="shared" si="0"/>
        <v>0</v>
      </c>
      <c r="BF631" s="1363"/>
      <c r="BG631" s="1356">
        <f t="shared" si="1"/>
        <v>0</v>
      </c>
      <c r="BH631" s="1358"/>
      <c r="BI631" s="1361">
        <f t="shared" si="2"/>
        <v>0</v>
      </c>
      <c r="BJ631" s="1363"/>
      <c r="BK631" s="1356">
        <f t="shared" si="3"/>
        <v>0</v>
      </c>
      <c r="BL631" s="1358"/>
      <c r="BM631" s="3"/>
      <c r="BN631" s="1339">
        <f t="shared" si="4"/>
        <v>0</v>
      </c>
      <c r="BO631" s="1340"/>
      <c r="BP631" s="1340"/>
      <c r="BQ631" s="1340"/>
      <c r="BR631" s="1341"/>
      <c r="BS631" s="1346">
        <f t="shared" si="5"/>
        <v>0</v>
      </c>
      <c r="BT631" s="1346"/>
      <c r="BU631" s="1346"/>
      <c r="BV631" s="1346"/>
      <c r="BW631" s="1346"/>
      <c r="BX631" s="1346">
        <f t="shared" si="6"/>
        <v>0</v>
      </c>
      <c r="BY631" s="1346"/>
      <c r="BZ631" s="1346"/>
      <c r="CA631" s="1346"/>
      <c r="CB631" s="1346"/>
      <c r="CC631" s="1346">
        <f t="shared" si="7"/>
        <v>0</v>
      </c>
      <c r="CD631" s="1346"/>
      <c r="CE631" s="1346"/>
      <c r="CF631" s="1346"/>
      <c r="CG631" s="1346"/>
      <c r="CH631" s="1346">
        <f t="shared" si="8"/>
        <v>0</v>
      </c>
      <c r="CI631" s="1346"/>
      <c r="CJ631" s="1346"/>
      <c r="CK631" s="1346"/>
      <c r="CL631" s="1346"/>
      <c r="CM631" s="1346">
        <f t="shared" si="9"/>
        <v>0</v>
      </c>
      <c r="CN631" s="1346"/>
      <c r="CO631" s="1346"/>
      <c r="CP631" s="1346"/>
      <c r="CQ631" s="1346"/>
      <c r="CR631" s="6"/>
      <c r="CS631" s="1364">
        <f t="shared" si="10"/>
        <v>0</v>
      </c>
      <c r="CT631" s="1364"/>
      <c r="CU631" s="1364"/>
      <c r="CV631" s="1364"/>
      <c r="CW631" s="1364"/>
      <c r="CX631" s="1364">
        <f t="shared" si="11"/>
        <v>0</v>
      </c>
      <c r="CY631" s="1364"/>
      <c r="CZ631" s="1364"/>
      <c r="DA631" s="1364"/>
      <c r="DB631" s="1364"/>
      <c r="DC631" s="1364">
        <f t="shared" si="12"/>
        <v>0</v>
      </c>
      <c r="DD631" s="1364"/>
      <c r="DE631" s="1364"/>
      <c r="DF631" s="1364"/>
      <c r="DG631" s="1364"/>
      <c r="DH631" s="1364">
        <f t="shared" si="13"/>
        <v>0</v>
      </c>
      <c r="DI631" s="1364"/>
      <c r="DJ631" s="1364"/>
      <c r="DK631" s="1364"/>
      <c r="DL631" s="1364"/>
      <c r="DM631" s="1364">
        <f t="shared" si="14"/>
        <v>0</v>
      </c>
      <c r="DN631" s="1364"/>
      <c r="DO631" s="1364"/>
      <c r="DP631" s="1364"/>
      <c r="DQ631" s="1364"/>
      <c r="DR631" s="1364">
        <f t="shared" si="15"/>
        <v>0</v>
      </c>
      <c r="DS631" s="1364"/>
      <c r="DT631" s="1364"/>
      <c r="DU631" s="1364"/>
      <c r="DV631" s="1364"/>
      <c r="DX631" s="1361" t="str">
        <f t="shared" si="16"/>
        <v xml:space="preserve"> </v>
      </c>
      <c r="DY631" s="1362"/>
      <c r="DZ631" s="1362"/>
      <c r="EA631" s="1362"/>
      <c r="EB631" s="1363"/>
      <c r="EC631" s="1361" t="str">
        <f t="shared" si="17"/>
        <v xml:space="preserve"> </v>
      </c>
      <c r="ED631" s="1362"/>
      <c r="EE631" s="1362"/>
      <c r="EF631" s="1362"/>
      <c r="EG631" s="1363"/>
      <c r="EH631" s="1361" t="str">
        <f t="shared" si="18"/>
        <v xml:space="preserve"> </v>
      </c>
      <c r="EI631" s="1362"/>
      <c r="EJ631" s="1362"/>
      <c r="EK631" s="1362"/>
      <c r="EL631" s="1363"/>
      <c r="EM631" s="1361" t="str">
        <f t="shared" si="19"/>
        <v xml:space="preserve"> </v>
      </c>
      <c r="EN631" s="1362"/>
      <c r="EO631" s="1362"/>
      <c r="EP631" s="1362"/>
      <c r="EQ631" s="1363"/>
      <c r="ER631" s="1361" t="str">
        <f t="shared" si="20"/>
        <v xml:space="preserve"> </v>
      </c>
      <c r="ES631" s="1362"/>
      <c r="ET631" s="1362"/>
      <c r="EU631" s="1362"/>
      <c r="EV631" s="1363"/>
      <c r="EW631" s="1361" t="str">
        <f t="shared" si="21"/>
        <v xml:space="preserve"> </v>
      </c>
      <c r="EX631" s="1362"/>
      <c r="EY631" s="1362"/>
      <c r="EZ631" s="1362"/>
      <c r="FA631" s="1363"/>
    </row>
    <row r="632" spans="1:157" ht="12.75">
      <c r="C632" s="2" t="s">
        <v>22</v>
      </c>
      <c r="AZ632" s="3"/>
      <c r="BA632" s="3"/>
      <c r="BB632" s="3"/>
      <c r="BC632" s="3"/>
      <c r="BD632" s="3"/>
      <c r="BE632" s="1361">
        <f t="shared" si="0"/>
        <v>0</v>
      </c>
      <c r="BF632" s="1363"/>
      <c r="BG632" s="1356">
        <f t="shared" si="1"/>
        <v>0</v>
      </c>
      <c r="BH632" s="1358"/>
      <c r="BI632" s="1361">
        <f t="shared" si="2"/>
        <v>0</v>
      </c>
      <c r="BJ632" s="1363"/>
      <c r="BK632" s="1356">
        <f t="shared" si="3"/>
        <v>0</v>
      </c>
      <c r="BL632" s="1358"/>
      <c r="BM632" s="3"/>
      <c r="BN632" s="1339">
        <f t="shared" si="4"/>
        <v>0</v>
      </c>
      <c r="BO632" s="1340"/>
      <c r="BP632" s="1340"/>
      <c r="BQ632" s="1340"/>
      <c r="BR632" s="1341"/>
      <c r="BS632" s="1346">
        <f t="shared" si="5"/>
        <v>0</v>
      </c>
      <c r="BT632" s="1346"/>
      <c r="BU632" s="1346"/>
      <c r="BV632" s="1346"/>
      <c r="BW632" s="1346"/>
      <c r="BX632" s="1346">
        <f t="shared" si="6"/>
        <v>0</v>
      </c>
      <c r="BY632" s="1346"/>
      <c r="BZ632" s="1346"/>
      <c r="CA632" s="1346"/>
      <c r="CB632" s="1346"/>
      <c r="CC632" s="1346">
        <f t="shared" si="7"/>
        <v>0</v>
      </c>
      <c r="CD632" s="1346"/>
      <c r="CE632" s="1346"/>
      <c r="CF632" s="1346"/>
      <c r="CG632" s="1346"/>
      <c r="CH632" s="1346">
        <f t="shared" si="8"/>
        <v>0</v>
      </c>
      <c r="CI632" s="1346"/>
      <c r="CJ632" s="1346"/>
      <c r="CK632" s="1346"/>
      <c r="CL632" s="1346"/>
      <c r="CM632" s="1346">
        <f t="shared" si="9"/>
        <v>0</v>
      </c>
      <c r="CN632" s="1346"/>
      <c r="CO632" s="1346"/>
      <c r="CP632" s="1346"/>
      <c r="CQ632" s="1346"/>
      <c r="CR632" s="6"/>
      <c r="CS632" s="1364">
        <f t="shared" si="10"/>
        <v>0</v>
      </c>
      <c r="CT632" s="1364"/>
      <c r="CU632" s="1364"/>
      <c r="CV632" s="1364"/>
      <c r="CW632" s="1364"/>
      <c r="CX632" s="1364">
        <f t="shared" si="11"/>
        <v>0</v>
      </c>
      <c r="CY632" s="1364"/>
      <c r="CZ632" s="1364"/>
      <c r="DA632" s="1364"/>
      <c r="DB632" s="1364"/>
      <c r="DC632" s="1364">
        <f t="shared" si="12"/>
        <v>0</v>
      </c>
      <c r="DD632" s="1364"/>
      <c r="DE632" s="1364"/>
      <c r="DF632" s="1364"/>
      <c r="DG632" s="1364"/>
      <c r="DH632" s="1364">
        <f t="shared" si="13"/>
        <v>0</v>
      </c>
      <c r="DI632" s="1364"/>
      <c r="DJ632" s="1364"/>
      <c r="DK632" s="1364"/>
      <c r="DL632" s="1364"/>
      <c r="DM632" s="1364">
        <f t="shared" si="14"/>
        <v>0</v>
      </c>
      <c r="DN632" s="1364"/>
      <c r="DO632" s="1364"/>
      <c r="DP632" s="1364"/>
      <c r="DQ632" s="1364"/>
      <c r="DR632" s="1364">
        <f t="shared" si="15"/>
        <v>0</v>
      </c>
      <c r="DS632" s="1364"/>
      <c r="DT632" s="1364"/>
      <c r="DU632" s="1364"/>
      <c r="DV632" s="1364"/>
      <c r="DX632" s="1361" t="str">
        <f t="shared" si="16"/>
        <v xml:space="preserve"> </v>
      </c>
      <c r="DY632" s="1362"/>
      <c r="DZ632" s="1362"/>
      <c r="EA632" s="1362"/>
      <c r="EB632" s="1363"/>
      <c r="EC632" s="1361" t="str">
        <f t="shared" si="17"/>
        <v xml:space="preserve"> </v>
      </c>
      <c r="ED632" s="1362"/>
      <c r="EE632" s="1362"/>
      <c r="EF632" s="1362"/>
      <c r="EG632" s="1363"/>
      <c r="EH632" s="1361" t="str">
        <f t="shared" si="18"/>
        <v xml:space="preserve"> </v>
      </c>
      <c r="EI632" s="1362"/>
      <c r="EJ632" s="1362"/>
      <c r="EK632" s="1362"/>
      <c r="EL632" s="1363"/>
      <c r="EM632" s="1361" t="str">
        <f t="shared" si="19"/>
        <v xml:space="preserve"> </v>
      </c>
      <c r="EN632" s="1362"/>
      <c r="EO632" s="1362"/>
      <c r="EP632" s="1362"/>
      <c r="EQ632" s="1363"/>
      <c r="ER632" s="1361" t="str">
        <f t="shared" si="20"/>
        <v xml:space="preserve"> </v>
      </c>
      <c r="ES632" s="1362"/>
      <c r="ET632" s="1362"/>
      <c r="EU632" s="1362"/>
      <c r="EV632" s="1363"/>
      <c r="EW632" s="1361" t="str">
        <f t="shared" si="21"/>
        <v xml:space="preserve"> </v>
      </c>
      <c r="EX632" s="1362"/>
      <c r="EY632" s="1362"/>
      <c r="EZ632" s="1362"/>
      <c r="FA632" s="1363"/>
    </row>
    <row r="633" spans="1:157" ht="12.75">
      <c r="B633" s="550"/>
      <c r="C633" s="2"/>
      <c r="AZ633" s="3"/>
      <c r="BA633" s="3"/>
      <c r="BB633" s="3"/>
      <c r="BC633" s="3"/>
      <c r="BD633" s="3"/>
      <c r="BE633" s="1361">
        <f t="shared" si="0"/>
        <v>0</v>
      </c>
      <c r="BF633" s="1363"/>
      <c r="BG633" s="1356">
        <f t="shared" si="1"/>
        <v>0</v>
      </c>
      <c r="BH633" s="1358"/>
      <c r="BI633" s="1361">
        <f t="shared" si="2"/>
        <v>0</v>
      </c>
      <c r="BJ633" s="1363"/>
      <c r="BK633" s="1356">
        <f t="shared" si="3"/>
        <v>0</v>
      </c>
      <c r="BL633" s="1358"/>
      <c r="BM633" s="3"/>
      <c r="BN633" s="1339">
        <f t="shared" si="4"/>
        <v>0</v>
      </c>
      <c r="BO633" s="1340"/>
      <c r="BP633" s="1340"/>
      <c r="BQ633" s="1340"/>
      <c r="BR633" s="1341"/>
      <c r="BS633" s="1346">
        <f t="shared" si="5"/>
        <v>0</v>
      </c>
      <c r="BT633" s="1346"/>
      <c r="BU633" s="1346"/>
      <c r="BV633" s="1346"/>
      <c r="BW633" s="1346"/>
      <c r="BX633" s="1346">
        <f t="shared" si="6"/>
        <v>0</v>
      </c>
      <c r="BY633" s="1346"/>
      <c r="BZ633" s="1346"/>
      <c r="CA633" s="1346"/>
      <c r="CB633" s="1346"/>
      <c r="CC633" s="1346">
        <f t="shared" si="7"/>
        <v>0</v>
      </c>
      <c r="CD633" s="1346"/>
      <c r="CE633" s="1346"/>
      <c r="CF633" s="1346"/>
      <c r="CG633" s="1346"/>
      <c r="CH633" s="1346">
        <f t="shared" si="8"/>
        <v>0</v>
      </c>
      <c r="CI633" s="1346"/>
      <c r="CJ633" s="1346"/>
      <c r="CK633" s="1346"/>
      <c r="CL633" s="1346"/>
      <c r="CM633" s="1346">
        <f t="shared" si="9"/>
        <v>0</v>
      </c>
      <c r="CN633" s="1346"/>
      <c r="CO633" s="1346"/>
      <c r="CP633" s="1346"/>
      <c r="CQ633" s="1346"/>
      <c r="CR633" s="6"/>
      <c r="CS633" s="1364">
        <f t="shared" si="10"/>
        <v>0</v>
      </c>
      <c r="CT633" s="1364"/>
      <c r="CU633" s="1364"/>
      <c r="CV633" s="1364"/>
      <c r="CW633" s="1364"/>
      <c r="CX633" s="1364">
        <f t="shared" si="11"/>
        <v>0</v>
      </c>
      <c r="CY633" s="1364"/>
      <c r="CZ633" s="1364"/>
      <c r="DA633" s="1364"/>
      <c r="DB633" s="1364"/>
      <c r="DC633" s="1364">
        <f t="shared" si="12"/>
        <v>0</v>
      </c>
      <c r="DD633" s="1364"/>
      <c r="DE633" s="1364"/>
      <c r="DF633" s="1364"/>
      <c r="DG633" s="1364"/>
      <c r="DH633" s="1364">
        <f t="shared" si="13"/>
        <v>0</v>
      </c>
      <c r="DI633" s="1364"/>
      <c r="DJ633" s="1364"/>
      <c r="DK633" s="1364"/>
      <c r="DL633" s="1364"/>
      <c r="DM633" s="1364">
        <f t="shared" si="14"/>
        <v>0</v>
      </c>
      <c r="DN633" s="1364"/>
      <c r="DO633" s="1364"/>
      <c r="DP633" s="1364"/>
      <c r="DQ633" s="1364"/>
      <c r="DR633" s="1364">
        <f t="shared" si="15"/>
        <v>0</v>
      </c>
      <c r="DS633" s="1364"/>
      <c r="DT633" s="1364"/>
      <c r="DU633" s="1364"/>
      <c r="DV633" s="1364"/>
      <c r="DX633" s="1361" t="str">
        <f t="shared" si="16"/>
        <v xml:space="preserve"> </v>
      </c>
      <c r="DY633" s="1362"/>
      <c r="DZ633" s="1362"/>
      <c r="EA633" s="1362"/>
      <c r="EB633" s="1363"/>
      <c r="EC633" s="1361" t="str">
        <f t="shared" si="17"/>
        <v xml:space="preserve"> </v>
      </c>
      <c r="ED633" s="1362"/>
      <c r="EE633" s="1362"/>
      <c r="EF633" s="1362"/>
      <c r="EG633" s="1363"/>
      <c r="EH633" s="1361" t="str">
        <f t="shared" si="18"/>
        <v xml:space="preserve"> </v>
      </c>
      <c r="EI633" s="1362"/>
      <c r="EJ633" s="1362"/>
      <c r="EK633" s="1362"/>
      <c r="EL633" s="1363"/>
      <c r="EM633" s="1361" t="str">
        <f t="shared" si="19"/>
        <v xml:space="preserve"> </v>
      </c>
      <c r="EN633" s="1362"/>
      <c r="EO633" s="1362"/>
      <c r="EP633" s="1362"/>
      <c r="EQ633" s="1363"/>
      <c r="ER633" s="1361" t="str">
        <f t="shared" si="20"/>
        <v xml:space="preserve"> </v>
      </c>
      <c r="ES633" s="1362"/>
      <c r="ET633" s="1362"/>
      <c r="EU633" s="1362"/>
      <c r="EV633" s="1363"/>
      <c r="EW633" s="1361" t="str">
        <f t="shared" si="21"/>
        <v xml:space="preserve"> </v>
      </c>
      <c r="EX633" s="1362"/>
      <c r="EY633" s="1362"/>
      <c r="EZ633" s="1362"/>
      <c r="FA633" s="1363"/>
    </row>
    <row r="634" spans="1:157" ht="12.75" customHeight="1">
      <c r="B634" s="1534" t="s">
        <v>478</v>
      </c>
      <c r="C634" s="1535"/>
      <c r="D634" s="1535"/>
      <c r="E634" s="1535"/>
      <c r="F634" s="1535"/>
      <c r="G634" s="1535"/>
      <c r="H634" s="1535"/>
      <c r="I634" s="1535"/>
      <c r="J634" s="1535"/>
      <c r="K634" s="1535"/>
      <c r="L634" s="1535"/>
      <c r="M634" s="1535"/>
      <c r="N634" s="1536"/>
      <c r="O634" s="1395" t="s">
        <v>2171</v>
      </c>
      <c r="P634" s="1396"/>
      <c r="Q634" s="1397"/>
      <c r="R634" s="1395" t="s">
        <v>2169</v>
      </c>
      <c r="S634" s="1396"/>
      <c r="T634" s="1397"/>
      <c r="U634" s="1386" t="s">
        <v>479</v>
      </c>
      <c r="V634" s="1386"/>
      <c r="W634" s="1387"/>
      <c r="X634" s="1395" t="s">
        <v>1990</v>
      </c>
      <c r="Y634" s="1396"/>
      <c r="Z634" s="1396"/>
      <c r="AA634" s="1396"/>
      <c r="AB634" s="1397"/>
      <c r="AC634" s="1630" t="s">
        <v>1988</v>
      </c>
      <c r="AD634" s="1631"/>
      <c r="AE634" s="1632"/>
      <c r="AF634" s="1395" t="s">
        <v>2382</v>
      </c>
      <c r="AG634" s="1396"/>
      <c r="AH634" s="1396"/>
      <c r="AI634" s="1396"/>
      <c r="AJ634" s="1397"/>
      <c r="AK634" s="1618" t="s">
        <v>2383</v>
      </c>
      <c r="AL634" s="1619"/>
      <c r="AM634" s="1619"/>
      <c r="AN634" s="1620"/>
      <c r="AO634" s="1676" t="s">
        <v>480</v>
      </c>
      <c r="AP634" s="1676"/>
      <c r="AQ634" s="1676"/>
      <c r="AR634" s="1676"/>
      <c r="AS634" s="1676"/>
      <c r="AZ634" s="3"/>
      <c r="BA634" s="3"/>
      <c r="BB634" s="3"/>
      <c r="BC634" s="3"/>
      <c r="BD634" s="3"/>
      <c r="BE634" s="1361">
        <f t="shared" si="0"/>
        <v>0</v>
      </c>
      <c r="BF634" s="1363"/>
      <c r="BG634" s="1356">
        <f t="shared" si="1"/>
        <v>0</v>
      </c>
      <c r="BH634" s="1358"/>
      <c r="BI634" s="1361">
        <f t="shared" si="2"/>
        <v>0</v>
      </c>
      <c r="BJ634" s="1363"/>
      <c r="BK634" s="1356">
        <f t="shared" si="3"/>
        <v>0</v>
      </c>
      <c r="BL634" s="1358"/>
      <c r="BM634" s="3"/>
      <c r="BN634" s="1339">
        <f t="shared" si="4"/>
        <v>0</v>
      </c>
      <c r="BO634" s="1340"/>
      <c r="BP634" s="1340"/>
      <c r="BQ634" s="1340"/>
      <c r="BR634" s="1341"/>
      <c r="BS634" s="1346">
        <f t="shared" si="5"/>
        <v>0</v>
      </c>
      <c r="BT634" s="1346"/>
      <c r="BU634" s="1346"/>
      <c r="BV634" s="1346"/>
      <c r="BW634" s="1346"/>
      <c r="BX634" s="1346">
        <f t="shared" si="6"/>
        <v>0</v>
      </c>
      <c r="BY634" s="1346"/>
      <c r="BZ634" s="1346"/>
      <c r="CA634" s="1346"/>
      <c r="CB634" s="1346"/>
      <c r="CC634" s="1346">
        <f t="shared" si="7"/>
        <v>0</v>
      </c>
      <c r="CD634" s="1346"/>
      <c r="CE634" s="1346"/>
      <c r="CF634" s="1346"/>
      <c r="CG634" s="1346"/>
      <c r="CH634" s="1346">
        <f t="shared" si="8"/>
        <v>0</v>
      </c>
      <c r="CI634" s="1346"/>
      <c r="CJ634" s="1346"/>
      <c r="CK634" s="1346"/>
      <c r="CL634" s="1346"/>
      <c r="CM634" s="1346">
        <f t="shared" si="9"/>
        <v>0</v>
      </c>
      <c r="CN634" s="1346"/>
      <c r="CO634" s="1346"/>
      <c r="CP634" s="1346"/>
      <c r="CQ634" s="1346"/>
      <c r="CR634" s="6"/>
      <c r="CS634" s="1364">
        <f t="shared" si="10"/>
        <v>0</v>
      </c>
      <c r="CT634" s="1364"/>
      <c r="CU634" s="1364"/>
      <c r="CV634" s="1364"/>
      <c r="CW634" s="1364"/>
      <c r="CX634" s="1364">
        <f t="shared" si="11"/>
        <v>0</v>
      </c>
      <c r="CY634" s="1364"/>
      <c r="CZ634" s="1364"/>
      <c r="DA634" s="1364"/>
      <c r="DB634" s="1364"/>
      <c r="DC634" s="1364">
        <f t="shared" si="12"/>
        <v>0</v>
      </c>
      <c r="DD634" s="1364"/>
      <c r="DE634" s="1364"/>
      <c r="DF634" s="1364"/>
      <c r="DG634" s="1364"/>
      <c r="DH634" s="1364">
        <f t="shared" si="13"/>
        <v>0</v>
      </c>
      <c r="DI634" s="1364"/>
      <c r="DJ634" s="1364"/>
      <c r="DK634" s="1364"/>
      <c r="DL634" s="1364"/>
      <c r="DM634" s="1364">
        <f t="shared" si="14"/>
        <v>0</v>
      </c>
      <c r="DN634" s="1364"/>
      <c r="DO634" s="1364"/>
      <c r="DP634" s="1364"/>
      <c r="DQ634" s="1364"/>
      <c r="DR634" s="1364">
        <f t="shared" si="15"/>
        <v>0</v>
      </c>
      <c r="DS634" s="1364"/>
      <c r="DT634" s="1364"/>
      <c r="DU634" s="1364"/>
      <c r="DV634" s="1364"/>
      <c r="DX634" s="1361" t="str">
        <f t="shared" si="16"/>
        <v xml:space="preserve"> </v>
      </c>
      <c r="DY634" s="1362"/>
      <c r="DZ634" s="1362"/>
      <c r="EA634" s="1362"/>
      <c r="EB634" s="1363"/>
      <c r="EC634" s="1361" t="str">
        <f t="shared" si="17"/>
        <v xml:space="preserve"> </v>
      </c>
      <c r="ED634" s="1362"/>
      <c r="EE634" s="1362"/>
      <c r="EF634" s="1362"/>
      <c r="EG634" s="1363"/>
      <c r="EH634" s="1361" t="str">
        <f t="shared" si="18"/>
        <v xml:space="preserve"> </v>
      </c>
      <c r="EI634" s="1362"/>
      <c r="EJ634" s="1362"/>
      <c r="EK634" s="1362"/>
      <c r="EL634" s="1363"/>
      <c r="EM634" s="1361" t="str">
        <f t="shared" si="19"/>
        <v xml:space="preserve"> </v>
      </c>
      <c r="EN634" s="1362"/>
      <c r="EO634" s="1362"/>
      <c r="EP634" s="1362"/>
      <c r="EQ634" s="1363"/>
      <c r="ER634" s="1361" t="str">
        <f t="shared" si="20"/>
        <v xml:space="preserve"> </v>
      </c>
      <c r="ES634" s="1362"/>
      <c r="ET634" s="1362"/>
      <c r="EU634" s="1362"/>
      <c r="EV634" s="1363"/>
      <c r="EW634" s="1361" t="str">
        <f t="shared" si="21"/>
        <v xml:space="preserve"> </v>
      </c>
      <c r="EX634" s="1362"/>
      <c r="EY634" s="1362"/>
      <c r="EZ634" s="1362"/>
      <c r="FA634" s="1363"/>
    </row>
    <row r="635" spans="1:157" ht="12.75">
      <c r="B635" s="1673"/>
      <c r="C635" s="1282"/>
      <c r="D635" s="1282"/>
      <c r="E635" s="1282"/>
      <c r="F635" s="1282"/>
      <c r="G635" s="1282"/>
      <c r="H635" s="1282"/>
      <c r="I635" s="1282"/>
      <c r="J635" s="1282"/>
      <c r="K635" s="1282"/>
      <c r="L635" s="1282"/>
      <c r="M635" s="1282"/>
      <c r="N635" s="1674"/>
      <c r="O635" s="1398"/>
      <c r="P635" s="1399"/>
      <c r="Q635" s="1400"/>
      <c r="R635" s="1398"/>
      <c r="S635" s="1399"/>
      <c r="T635" s="1400"/>
      <c r="U635" s="1388"/>
      <c r="V635" s="1388"/>
      <c r="W635" s="1389"/>
      <c r="X635" s="1398"/>
      <c r="Y635" s="1399"/>
      <c r="Z635" s="1399"/>
      <c r="AA635" s="1399"/>
      <c r="AB635" s="1400"/>
      <c r="AC635" s="1633"/>
      <c r="AD635" s="1634"/>
      <c r="AE635" s="1635"/>
      <c r="AF635" s="1398"/>
      <c r="AG635" s="1399"/>
      <c r="AH635" s="1399"/>
      <c r="AI635" s="1399"/>
      <c r="AJ635" s="1400"/>
      <c r="AK635" s="1621"/>
      <c r="AL635" s="1622"/>
      <c r="AM635" s="1622"/>
      <c r="AN635" s="1623"/>
      <c r="AO635" s="1676"/>
      <c r="AP635" s="1676"/>
      <c r="AQ635" s="1676"/>
      <c r="AR635" s="1676"/>
      <c r="AS635" s="1676"/>
      <c r="AZ635" s="3"/>
      <c r="BA635" s="3"/>
      <c r="BB635" s="3"/>
      <c r="BC635" s="3"/>
      <c r="BD635" s="3"/>
      <c r="BE635" s="3"/>
      <c r="BF635" s="3"/>
      <c r="BG635" s="1361">
        <f>SUM(BG610:BH634)</f>
        <v>49</v>
      </c>
      <c r="BH635" s="1363"/>
      <c r="BI635" s="3"/>
      <c r="BJ635" s="3"/>
      <c r="BK635" s="1361">
        <f>SUM(BK610:BL634)</f>
        <v>21</v>
      </c>
      <c r="BL635" s="1363"/>
      <c r="BM635" s="3"/>
      <c r="BN635" s="1361">
        <f>SUM(BN610:BR634)</f>
        <v>0</v>
      </c>
      <c r="BO635" s="1362"/>
      <c r="BP635" s="1362"/>
      <c r="BQ635" s="1362"/>
      <c r="BR635" s="1363"/>
      <c r="BS635" s="1365">
        <f>SUM(BS610:BW634)</f>
        <v>8</v>
      </c>
      <c r="BT635" s="1365"/>
      <c r="BU635" s="1365"/>
      <c r="BV635" s="1365"/>
      <c r="BW635" s="1365"/>
      <c r="BX635" s="1365">
        <f>SUM(BX610:CB634)</f>
        <v>24</v>
      </c>
      <c r="BY635" s="1365"/>
      <c r="BZ635" s="1365"/>
      <c r="CA635" s="1365"/>
      <c r="CB635" s="1365"/>
      <c r="CC635" s="1365">
        <f>SUM(CC610:CG634)</f>
        <v>32</v>
      </c>
      <c r="CD635" s="1365"/>
      <c r="CE635" s="1365"/>
      <c r="CF635" s="1365"/>
      <c r="CG635" s="1365"/>
      <c r="CH635" s="1365">
        <f>SUM(CH610:CL634)</f>
        <v>10</v>
      </c>
      <c r="CI635" s="1365"/>
      <c r="CJ635" s="1365"/>
      <c r="CK635" s="1365"/>
      <c r="CL635" s="1365"/>
      <c r="CM635" s="1365">
        <f>SUM(CM610:CQ634)</f>
        <v>0</v>
      </c>
      <c r="CN635" s="1365"/>
      <c r="CO635" s="1365"/>
      <c r="CP635" s="1365"/>
      <c r="CQ635" s="1365"/>
      <c r="CR635" s="388"/>
      <c r="CS635" s="1365">
        <f>SUM(CS610:CW634)</f>
        <v>0</v>
      </c>
      <c r="CT635" s="1365"/>
      <c r="CU635" s="1365"/>
      <c r="CV635" s="1365"/>
      <c r="CW635" s="1365"/>
      <c r="CX635" s="1365">
        <f>SUM(CX610:DB634)</f>
        <v>3</v>
      </c>
      <c r="CY635" s="1365"/>
      <c r="CZ635" s="1365"/>
      <c r="DA635" s="1365"/>
      <c r="DB635" s="1365"/>
      <c r="DC635" s="1365">
        <f>SUM(DC610:DG634)</f>
        <v>9</v>
      </c>
      <c r="DD635" s="1365"/>
      <c r="DE635" s="1365"/>
      <c r="DF635" s="1365"/>
      <c r="DG635" s="1365"/>
      <c r="DH635" s="1365">
        <f>SUM(DH610:DL634)</f>
        <v>7</v>
      </c>
      <c r="DI635" s="1365"/>
      <c r="DJ635" s="1365"/>
      <c r="DK635" s="1365"/>
      <c r="DL635" s="1365"/>
      <c r="DM635" s="1365">
        <f>SUM(DM610:DQ634)</f>
        <v>2</v>
      </c>
      <c r="DN635" s="1365"/>
      <c r="DO635" s="1365"/>
      <c r="DP635" s="1365"/>
      <c r="DQ635" s="1365"/>
      <c r="DR635" s="1365">
        <f>SUM(DR610:DV634)</f>
        <v>0</v>
      </c>
      <c r="DS635" s="1365"/>
      <c r="DT635" s="1365"/>
      <c r="DU635" s="1365"/>
      <c r="DV635" s="1365"/>
      <c r="DX635" s="1365">
        <f>SUM(DX610:EB634)</f>
        <v>0</v>
      </c>
      <c r="DY635" s="1365"/>
      <c r="DZ635" s="1365"/>
      <c r="EA635" s="1365"/>
      <c r="EB635" s="1365"/>
      <c r="EC635" s="1365">
        <f>SUM(EC610:EG634)</f>
        <v>2611</v>
      </c>
      <c r="ED635" s="1365"/>
      <c r="EE635" s="1365"/>
      <c r="EF635" s="1365"/>
      <c r="EG635" s="1365"/>
      <c r="EH635" s="1365">
        <f>SUM(EH610:EL634)</f>
        <v>3138</v>
      </c>
      <c r="EI635" s="1365"/>
      <c r="EJ635" s="1365"/>
      <c r="EK635" s="1365"/>
      <c r="EL635" s="1365"/>
      <c r="EM635" s="1365">
        <f>SUM(EM610:EQ634)</f>
        <v>3625</v>
      </c>
      <c r="EN635" s="1365"/>
      <c r="EO635" s="1365"/>
      <c r="EP635" s="1365"/>
      <c r="EQ635" s="1365"/>
      <c r="ER635" s="1365">
        <f>SUM(ER610:EV634)</f>
        <v>4048</v>
      </c>
      <c r="ES635" s="1365"/>
      <c r="ET635" s="1365"/>
      <c r="EU635" s="1365"/>
      <c r="EV635" s="1365"/>
      <c r="EW635" s="1365">
        <f>SUM(EW610:FA634)</f>
        <v>0</v>
      </c>
      <c r="EX635" s="1365"/>
      <c r="EY635" s="1365"/>
      <c r="EZ635" s="1365"/>
      <c r="FA635" s="1365"/>
    </row>
    <row r="636" spans="1:157" ht="12.75">
      <c r="B636" s="1675"/>
      <c r="C636" s="1282"/>
      <c r="D636" s="1282"/>
      <c r="E636" s="1282"/>
      <c r="F636" s="1282"/>
      <c r="G636" s="1282"/>
      <c r="H636" s="1282"/>
      <c r="I636" s="1282"/>
      <c r="J636" s="1282"/>
      <c r="K636" s="1282"/>
      <c r="L636" s="1282"/>
      <c r="M636" s="1282"/>
      <c r="N636" s="1674"/>
      <c r="O636" s="1401"/>
      <c r="P636" s="1402"/>
      <c r="Q636" s="1403"/>
      <c r="R636" s="1401"/>
      <c r="S636" s="1402"/>
      <c r="T636" s="1403"/>
      <c r="U636" s="1390"/>
      <c r="V636" s="1390"/>
      <c r="W636" s="1391"/>
      <c r="X636" s="1401"/>
      <c r="Y636" s="1402"/>
      <c r="Z636" s="1402"/>
      <c r="AA636" s="1402"/>
      <c r="AB636" s="1403"/>
      <c r="AC636" s="1636"/>
      <c r="AD636" s="1637"/>
      <c r="AE636" s="1638"/>
      <c r="AF636" s="1401"/>
      <c r="AG636" s="1402"/>
      <c r="AH636" s="1402"/>
      <c r="AI636" s="1402"/>
      <c r="AJ636" s="1403"/>
      <c r="AK636" s="1624"/>
      <c r="AL636" s="1625"/>
      <c r="AM636" s="1625"/>
      <c r="AN636" s="1626"/>
      <c r="AO636" s="1676"/>
      <c r="AP636" s="1676"/>
      <c r="AQ636" s="1676"/>
      <c r="AR636" s="1676"/>
      <c r="AS636" s="1676"/>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2179</v>
      </c>
      <c r="CM636" s="1361">
        <f>BN635+BS635+BX635+CC635+CH635+CM635</f>
        <v>74</v>
      </c>
      <c r="CN636" s="1362"/>
      <c r="CO636" s="1362"/>
      <c r="CP636" s="1362"/>
      <c r="CQ636" s="1363"/>
      <c r="CR636" s="388"/>
      <c r="CS636" s="3"/>
      <c r="CT636" s="3"/>
      <c r="CU636" s="3"/>
      <c r="CV636" s="3"/>
      <c r="CW636" s="3"/>
      <c r="CX636" s="3"/>
      <c r="CY636" s="3"/>
      <c r="CZ636" s="3"/>
      <c r="DA636" s="3"/>
      <c r="DB636" s="3"/>
      <c r="DC636" s="3"/>
      <c r="DD636" s="3"/>
      <c r="DE636" s="3"/>
      <c r="DF636" s="3"/>
    </row>
    <row r="637" spans="1:157" ht="12.75">
      <c r="B637" s="51" t="s">
        <v>117</v>
      </c>
      <c r="C637" s="1413" t="s">
        <v>2701</v>
      </c>
      <c r="D637" s="1413"/>
      <c r="E637" s="1413"/>
      <c r="F637" s="1413"/>
      <c r="G637" s="1413"/>
      <c r="H637" s="1413"/>
      <c r="I637" s="1413"/>
      <c r="J637" s="1413"/>
      <c r="K637" s="1413"/>
      <c r="L637" s="1413"/>
      <c r="M637" s="1413"/>
      <c r="N637" s="1414"/>
      <c r="O637" s="1383">
        <f>40*12</f>
        <v>480</v>
      </c>
      <c r="P637" s="1384"/>
      <c r="Q637" s="1385"/>
      <c r="R637" s="1366">
        <f>35*12</f>
        <v>420</v>
      </c>
      <c r="S637" s="1367"/>
      <c r="T637" s="1368"/>
      <c r="U637" s="1373">
        <v>4.8500000000000001E-2</v>
      </c>
      <c r="V637" s="1374"/>
      <c r="W637" s="1375"/>
      <c r="X637" s="1369" t="s">
        <v>1989</v>
      </c>
      <c r="Y637" s="1370"/>
      <c r="Z637" s="1370"/>
      <c r="AA637" s="1370"/>
      <c r="AB637" s="1371"/>
      <c r="AC637" s="1392">
        <v>1</v>
      </c>
      <c r="AD637" s="1393"/>
      <c r="AE637" s="1394"/>
      <c r="AF637" s="1376">
        <v>204885</v>
      </c>
      <c r="AG637" s="1377"/>
      <c r="AH637" s="1377"/>
      <c r="AI637" s="1377"/>
      <c r="AJ637" s="1378"/>
      <c r="AK637" s="1404" t="s">
        <v>618</v>
      </c>
      <c r="AL637" s="1405"/>
      <c r="AM637" s="1405"/>
      <c r="AN637" s="1406"/>
      <c r="AO637" s="1372">
        <v>3601874</v>
      </c>
      <c r="AP637" s="1372"/>
      <c r="AQ637" s="1372"/>
      <c r="AR637" s="1372"/>
      <c r="AS637" s="1372"/>
      <c r="AT637" s="3"/>
      <c r="AU637" s="3"/>
      <c r="AV637" s="3"/>
      <c r="AW637" s="3"/>
      <c r="AX637" s="3"/>
      <c r="AY637" s="3"/>
      <c r="AZ637" s="3"/>
      <c r="BA637" s="3" t="s">
        <v>1349</v>
      </c>
      <c r="BB637" s="3"/>
      <c r="BC637" s="3"/>
      <c r="BD637" s="3"/>
      <c r="BE637" s="3"/>
      <c r="BF637" s="3"/>
      <c r="BG637" s="3"/>
      <c r="BH637" s="3"/>
      <c r="BI637" s="3"/>
      <c r="BJ637" s="3"/>
      <c r="BK637" s="3"/>
      <c r="BL637" s="3"/>
      <c r="BM637" s="3"/>
      <c r="BR637" s="900">
        <f>BN635*1</f>
        <v>0</v>
      </c>
      <c r="BS637" s="3"/>
      <c r="BT637" s="3"/>
      <c r="BU637" s="3"/>
      <c r="BV637" s="3"/>
      <c r="BW637" s="900">
        <f>BS635*1</f>
        <v>8</v>
      </c>
      <c r="BX637" s="3"/>
      <c r="BY637" s="3"/>
      <c r="BZ637" s="3"/>
      <c r="CA637" s="3"/>
      <c r="CB637" s="900">
        <f>BX635*2</f>
        <v>48</v>
      </c>
      <c r="CC637" s="3"/>
      <c r="CD637" s="3"/>
      <c r="CE637" s="3"/>
      <c r="CF637" s="3"/>
      <c r="CG637" s="900">
        <f>CC635*3</f>
        <v>96</v>
      </c>
      <c r="CH637" s="3"/>
      <c r="CI637" s="3"/>
      <c r="CJ637" s="3"/>
      <c r="CK637" s="3"/>
      <c r="CL637" s="900">
        <f>CH635*4</f>
        <v>40</v>
      </c>
      <c r="CM637" s="3"/>
      <c r="CN637" s="3"/>
      <c r="CO637" s="3"/>
      <c r="CP637" s="3"/>
      <c r="CQ637" s="900">
        <f>CM635*5</f>
        <v>0</v>
      </c>
      <c r="CS637" s="900">
        <f>BR637+BW637+CB637+CG637+CL637+CQ637</f>
        <v>192</v>
      </c>
      <c r="CT637" s="57" t="s">
        <v>2181</v>
      </c>
      <c r="CU637" s="3"/>
      <c r="CV637" s="3"/>
      <c r="CW637" s="3"/>
      <c r="CX637" s="3"/>
      <c r="CY637" s="3"/>
      <c r="CZ637" s="3"/>
      <c r="DA637" s="3"/>
      <c r="DB637" s="3"/>
      <c r="DC637" s="3"/>
      <c r="DD637" s="3"/>
      <c r="DE637" s="3"/>
      <c r="DF637" s="3"/>
    </row>
    <row r="638" spans="1:157" ht="12.75" customHeight="1">
      <c r="B638" s="52" t="s">
        <v>118</v>
      </c>
      <c r="C638" s="1413" t="s">
        <v>2685</v>
      </c>
      <c r="D638" s="1413"/>
      <c r="E638" s="1413"/>
      <c r="F638" s="1413"/>
      <c r="G638" s="1413"/>
      <c r="H638" s="1413"/>
      <c r="I638" s="1413"/>
      <c r="J638" s="1413"/>
      <c r="K638" s="1413"/>
      <c r="L638" s="1413"/>
      <c r="M638" s="1413"/>
      <c r="N638" s="1414"/>
      <c r="O638" s="1383">
        <f>30*12</f>
        <v>360</v>
      </c>
      <c r="P638" s="1384"/>
      <c r="Q638" s="1385"/>
      <c r="R638" s="1366">
        <f>30*12</f>
        <v>360</v>
      </c>
      <c r="S638" s="1367"/>
      <c r="T638" s="1368"/>
      <c r="U638" s="1373">
        <v>0</v>
      </c>
      <c r="V638" s="1374"/>
      <c r="W638" s="1375"/>
      <c r="X638" s="1369" t="s">
        <v>483</v>
      </c>
      <c r="Y638" s="1370"/>
      <c r="Z638" s="1370"/>
      <c r="AA638" s="1370"/>
      <c r="AB638" s="1371"/>
      <c r="AC638" s="1392">
        <v>2</v>
      </c>
      <c r="AD638" s="1393"/>
      <c r="AE638" s="1394"/>
      <c r="AF638" s="1376">
        <v>0</v>
      </c>
      <c r="AG638" s="1377"/>
      <c r="AH638" s="1377"/>
      <c r="AI638" s="1377"/>
      <c r="AJ638" s="1378"/>
      <c r="AK638" s="1404" t="s">
        <v>618</v>
      </c>
      <c r="AL638" s="1405"/>
      <c r="AM638" s="1405"/>
      <c r="AN638" s="1406"/>
      <c r="AO638" s="1372">
        <v>10720918</v>
      </c>
      <c r="AP638" s="1372"/>
      <c r="AQ638" s="1372"/>
      <c r="AR638" s="1372"/>
      <c r="AS638" s="1372"/>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50" t="e">
        <f t="shared" ref="DX638:DX662" si="22">DX610*(BN610/$BN$635)</f>
        <v>#VALUE!</v>
      </c>
      <c r="DY638" s="1350"/>
      <c r="DZ638" s="1350"/>
      <c r="EA638" s="1350"/>
      <c r="EB638" s="1350"/>
      <c r="EC638" s="1350">
        <f t="shared" ref="EC638:EC662" si="23">EC610*(BS610/$BS$635)</f>
        <v>162.375</v>
      </c>
      <c r="ED638" s="1350"/>
      <c r="EE638" s="1350"/>
      <c r="EF638" s="1350"/>
      <c r="EG638" s="1350"/>
      <c r="EH638" s="1350" t="e">
        <f t="shared" ref="EH638:EH662" si="24">EH610*(BX610/$BX$635)</f>
        <v>#VALUE!</v>
      </c>
      <c r="EI638" s="1350"/>
      <c r="EJ638" s="1350"/>
      <c r="EK638" s="1350"/>
      <c r="EL638" s="1350"/>
      <c r="EM638" s="1350" t="e">
        <f t="shared" ref="EM638:EM662" si="25">EM610*(CC610/$CC$635)</f>
        <v>#VALUE!</v>
      </c>
      <c r="EN638" s="1350"/>
      <c r="EO638" s="1350"/>
      <c r="EP638" s="1350"/>
      <c r="EQ638" s="1350"/>
      <c r="ER638" s="1350" t="e">
        <f t="shared" ref="ER638:ER662" si="26">ER610*(CH610/$CH$635)</f>
        <v>#VALUE!</v>
      </c>
      <c r="ES638" s="1350"/>
      <c r="ET638" s="1350"/>
      <c r="EU638" s="1350"/>
      <c r="EV638" s="1350"/>
      <c r="EW638" s="1350" t="e">
        <f t="shared" ref="EW638:EW662" si="27">EW610*(CM610/$CM$635)</f>
        <v>#VALUE!</v>
      </c>
      <c r="EX638" s="1350"/>
      <c r="EY638" s="1350"/>
      <c r="EZ638" s="1350"/>
      <c r="FA638" s="1350"/>
    </row>
    <row r="639" spans="1:157" ht="12.75" customHeight="1">
      <c r="B639" s="52" t="s">
        <v>124</v>
      </c>
      <c r="C639" s="1352" t="s">
        <v>2702</v>
      </c>
      <c r="D639" s="1413"/>
      <c r="E639" s="1413"/>
      <c r="F639" s="1413"/>
      <c r="G639" s="1413"/>
      <c r="H639" s="1413"/>
      <c r="I639" s="1413"/>
      <c r="J639" s="1413"/>
      <c r="K639" s="1413"/>
      <c r="L639" s="1413"/>
      <c r="M639" s="1413"/>
      <c r="N639" s="1414"/>
      <c r="O639" s="1383"/>
      <c r="P639" s="1384"/>
      <c r="Q639" s="1385"/>
      <c r="R639" s="1366"/>
      <c r="S639" s="1367"/>
      <c r="T639" s="1368"/>
      <c r="U639" s="1373"/>
      <c r="V639" s="1374"/>
      <c r="W639" s="1375"/>
      <c r="X639" s="1369" t="s">
        <v>306</v>
      </c>
      <c r="Y639" s="1370"/>
      <c r="Z639" s="1370"/>
      <c r="AA639" s="1370"/>
      <c r="AB639" s="1371"/>
      <c r="AC639" s="1392" t="s">
        <v>618</v>
      </c>
      <c r="AD639" s="1393"/>
      <c r="AE639" s="1394"/>
      <c r="AF639" s="1376" t="s">
        <v>618</v>
      </c>
      <c r="AG639" s="1377"/>
      <c r="AH639" s="1377"/>
      <c r="AI639" s="1377"/>
      <c r="AJ639" s="1378"/>
      <c r="AK639" s="1404" t="s">
        <v>618</v>
      </c>
      <c r="AL639" s="1405"/>
      <c r="AM639" s="1405"/>
      <c r="AN639" s="1406"/>
      <c r="AO639" s="1372">
        <v>291455</v>
      </c>
      <c r="AP639" s="1372"/>
      <c r="AQ639" s="1372"/>
      <c r="AR639" s="1372"/>
      <c r="AS639" s="1372"/>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50" t="e">
        <f t="shared" si="22"/>
        <v>#VALUE!</v>
      </c>
      <c r="DY639" s="1350"/>
      <c r="DZ639" s="1350"/>
      <c r="EA639" s="1350"/>
      <c r="EB639" s="1350"/>
      <c r="EC639" s="1350">
        <f t="shared" si="23"/>
        <v>217.5</v>
      </c>
      <c r="ED639" s="1350"/>
      <c r="EE639" s="1350"/>
      <c r="EF639" s="1350"/>
      <c r="EG639" s="1350"/>
      <c r="EH639" s="1350" t="e">
        <f t="shared" si="24"/>
        <v>#VALUE!</v>
      </c>
      <c r="EI639" s="1350"/>
      <c r="EJ639" s="1350"/>
      <c r="EK639" s="1350"/>
      <c r="EL639" s="1350"/>
      <c r="EM639" s="1350" t="e">
        <f t="shared" si="25"/>
        <v>#VALUE!</v>
      </c>
      <c r="EN639" s="1350"/>
      <c r="EO639" s="1350"/>
      <c r="EP639" s="1350"/>
      <c r="EQ639" s="1350"/>
      <c r="ER639" s="1350" t="e">
        <f t="shared" si="26"/>
        <v>#VALUE!</v>
      </c>
      <c r="ES639" s="1350"/>
      <c r="ET639" s="1350"/>
      <c r="EU639" s="1350"/>
      <c r="EV639" s="1350"/>
      <c r="EW639" s="1350" t="e">
        <f t="shared" si="27"/>
        <v>#VALUE!</v>
      </c>
      <c r="EX639" s="1350"/>
      <c r="EY639" s="1350"/>
      <c r="EZ639" s="1350"/>
      <c r="FA639" s="1350"/>
    </row>
    <row r="640" spans="1:157" ht="12.75">
      <c r="B640" s="52" t="s">
        <v>608</v>
      </c>
      <c r="C640" s="1413" t="s">
        <v>2682</v>
      </c>
      <c r="D640" s="1413"/>
      <c r="E640" s="1413"/>
      <c r="F640" s="1413"/>
      <c r="G640" s="1413"/>
      <c r="H640" s="1413"/>
      <c r="I640" s="1413"/>
      <c r="J640" s="1413"/>
      <c r="K640" s="1413"/>
      <c r="L640" s="1413"/>
      <c r="M640" s="1413"/>
      <c r="N640" s="1414"/>
      <c r="O640" s="1383"/>
      <c r="P640" s="1384"/>
      <c r="Q640" s="1385"/>
      <c r="R640" s="1366"/>
      <c r="S640" s="1367"/>
      <c r="T640" s="1368"/>
      <c r="U640" s="1373">
        <v>0</v>
      </c>
      <c r="V640" s="1374"/>
      <c r="W640" s="1375"/>
      <c r="X640" s="1369" t="s">
        <v>484</v>
      </c>
      <c r="Y640" s="1370"/>
      <c r="Z640" s="1370"/>
      <c r="AA640" s="1370"/>
      <c r="AB640" s="1371"/>
      <c r="AC640" s="1392" t="s">
        <v>618</v>
      </c>
      <c r="AD640" s="1393"/>
      <c r="AE640" s="1394"/>
      <c r="AF640" s="1376" t="s">
        <v>618</v>
      </c>
      <c r="AG640" s="1377"/>
      <c r="AH640" s="1377"/>
      <c r="AI640" s="1377"/>
      <c r="AJ640" s="1378"/>
      <c r="AK640" s="1404" t="s">
        <v>618</v>
      </c>
      <c r="AL640" s="1405"/>
      <c r="AM640" s="1405"/>
      <c r="AN640" s="1406"/>
      <c r="AO640" s="1379">
        <v>615207</v>
      </c>
      <c r="AP640" s="1380"/>
      <c r="AQ640" s="1380"/>
      <c r="AR640" s="1380"/>
      <c r="AS640" s="1381"/>
      <c r="AT640" s="3"/>
      <c r="AU640" s="3"/>
      <c r="AV640" s="3"/>
      <c r="AW640" s="3"/>
      <c r="AX640" s="3"/>
      <c r="AY640" s="3"/>
      <c r="AZ640" s="34"/>
      <c r="BA640" s="3" t="s">
        <v>1989</v>
      </c>
      <c r="BB640" s="34"/>
      <c r="BC640" s="34"/>
      <c r="BD640" s="34"/>
      <c r="BE640" s="34"/>
      <c r="BF640" s="34"/>
      <c r="BG640" s="34"/>
      <c r="BH640" s="34"/>
      <c r="BI640" s="34"/>
      <c r="BJ640" s="34"/>
      <c r="BK640" s="34"/>
      <c r="BL640" s="34"/>
      <c r="BM640" s="34"/>
      <c r="BN640" s="1339">
        <f>IF(J772="SRO/Studio",O772,0)</f>
        <v>0</v>
      </c>
      <c r="BO640" s="1340"/>
      <c r="BP640" s="1340"/>
      <c r="BQ640" s="1340"/>
      <c r="BR640" s="1341"/>
      <c r="BS640" s="1346">
        <f>IF(J772="1 Bedroom",O772,0)</f>
        <v>0</v>
      </c>
      <c r="BT640" s="1346"/>
      <c r="BU640" s="1346"/>
      <c r="BV640" s="1346"/>
      <c r="BW640" s="1346"/>
      <c r="BX640" s="1346">
        <f>IF(J772="2 Bedrooms",O772,0)</f>
        <v>0</v>
      </c>
      <c r="BY640" s="1346"/>
      <c r="BZ640" s="1346"/>
      <c r="CA640" s="1346"/>
      <c r="CB640" s="1346"/>
      <c r="CC640" s="1346">
        <f>IF(J772="3 Bedrooms",O772,0)</f>
        <v>1</v>
      </c>
      <c r="CD640" s="1346"/>
      <c r="CE640" s="1346"/>
      <c r="CF640" s="1346"/>
      <c r="CG640" s="1346"/>
      <c r="CH640" s="1346">
        <f>IF(J772="4 Bedrooms",O772,0)</f>
        <v>0</v>
      </c>
      <c r="CI640" s="1346"/>
      <c r="CJ640" s="1346"/>
      <c r="CK640" s="1346"/>
      <c r="CL640" s="1346"/>
      <c r="CM640" s="1346">
        <f>IF(J772="5 Bedrooms",O772,0)</f>
        <v>0</v>
      </c>
      <c r="CN640" s="1346"/>
      <c r="CO640" s="1346"/>
      <c r="CP640" s="1346"/>
      <c r="CQ640" s="1346"/>
      <c r="CR640" s="6"/>
      <c r="CS640" s="3"/>
      <c r="CT640" s="3"/>
      <c r="CU640" s="3"/>
      <c r="CV640" s="3"/>
      <c r="CW640" s="3"/>
      <c r="CX640" s="3"/>
      <c r="CY640" s="3"/>
      <c r="CZ640" s="3"/>
      <c r="DA640" s="3"/>
      <c r="DB640" s="3"/>
      <c r="DC640" s="3"/>
      <c r="DD640" s="3"/>
      <c r="DE640" s="3"/>
      <c r="DF640" s="3"/>
      <c r="DX640" s="1350" t="e">
        <f t="shared" si="22"/>
        <v>#VALUE!</v>
      </c>
      <c r="DY640" s="1350"/>
      <c r="DZ640" s="1350"/>
      <c r="EA640" s="1350"/>
      <c r="EB640" s="1350"/>
      <c r="EC640" s="1350">
        <f t="shared" si="23"/>
        <v>90.75</v>
      </c>
      <c r="ED640" s="1350"/>
      <c r="EE640" s="1350"/>
      <c r="EF640" s="1350"/>
      <c r="EG640" s="1350"/>
      <c r="EH640" s="1350" t="e">
        <f t="shared" si="24"/>
        <v>#VALUE!</v>
      </c>
      <c r="EI640" s="1350"/>
      <c r="EJ640" s="1350"/>
      <c r="EK640" s="1350"/>
      <c r="EL640" s="1350"/>
      <c r="EM640" s="1350" t="e">
        <f t="shared" si="25"/>
        <v>#VALUE!</v>
      </c>
      <c r="EN640" s="1350"/>
      <c r="EO640" s="1350"/>
      <c r="EP640" s="1350"/>
      <c r="EQ640" s="1350"/>
      <c r="ER640" s="1350" t="e">
        <f t="shared" si="26"/>
        <v>#VALUE!</v>
      </c>
      <c r="ES640" s="1350"/>
      <c r="ET640" s="1350"/>
      <c r="EU640" s="1350"/>
      <c r="EV640" s="1350"/>
      <c r="EW640" s="1350" t="e">
        <f t="shared" si="27"/>
        <v>#VALUE!</v>
      </c>
      <c r="EX640" s="1350"/>
      <c r="EY640" s="1350"/>
      <c r="EZ640" s="1350"/>
      <c r="FA640" s="1350"/>
    </row>
    <row r="641" spans="1:157" ht="12.75">
      <c r="B641" s="52" t="s">
        <v>806</v>
      </c>
      <c r="C641" s="1413" t="s">
        <v>2687</v>
      </c>
      <c r="D641" s="1413"/>
      <c r="E641" s="1413"/>
      <c r="F641" s="1413"/>
      <c r="G641" s="1413"/>
      <c r="H641" s="1413"/>
      <c r="I641" s="1413"/>
      <c r="J641" s="1413"/>
      <c r="K641" s="1413"/>
      <c r="L641" s="1413"/>
      <c r="M641" s="1413"/>
      <c r="N641" s="1414"/>
      <c r="O641" s="1383">
        <v>360</v>
      </c>
      <c r="P641" s="1384"/>
      <c r="Q641" s="1385"/>
      <c r="R641" s="1366">
        <v>360</v>
      </c>
      <c r="S641" s="1367"/>
      <c r="T641" s="1368"/>
      <c r="U641" s="1373"/>
      <c r="V641" s="1374"/>
      <c r="W641" s="1375"/>
      <c r="X641" s="1369" t="s">
        <v>1349</v>
      </c>
      <c r="Y641" s="1370"/>
      <c r="Z641" s="1370"/>
      <c r="AA641" s="1370"/>
      <c r="AB641" s="1371"/>
      <c r="AC641" s="1392">
        <v>2</v>
      </c>
      <c r="AD641" s="1393"/>
      <c r="AE641" s="1394"/>
      <c r="AF641" s="1376"/>
      <c r="AG641" s="1377"/>
      <c r="AH641" s="1377"/>
      <c r="AI641" s="1377"/>
      <c r="AJ641" s="1378"/>
      <c r="AK641" s="1404" t="s">
        <v>618</v>
      </c>
      <c r="AL641" s="1405"/>
      <c r="AM641" s="1405"/>
      <c r="AN641" s="1406"/>
      <c r="AO641" s="1372">
        <v>5209091</v>
      </c>
      <c r="AP641" s="1372"/>
      <c r="AQ641" s="1372"/>
      <c r="AR641" s="1372"/>
      <c r="AS641" s="1372"/>
      <c r="AT641" s="3"/>
      <c r="AU641" s="3"/>
      <c r="AV641" s="3"/>
      <c r="AW641" s="3"/>
      <c r="AX641" s="3"/>
      <c r="AY641" s="3"/>
      <c r="AZ641" s="34"/>
      <c r="BA641" s="3" t="s">
        <v>306</v>
      </c>
      <c r="BB641" s="34"/>
      <c r="BC641" s="34"/>
      <c r="BD641" s="34"/>
      <c r="BE641" s="34"/>
      <c r="BF641" s="34"/>
      <c r="BG641" s="34"/>
      <c r="BH641" s="34"/>
      <c r="BI641" s="34"/>
      <c r="BJ641" s="34"/>
      <c r="BK641" s="34"/>
      <c r="BL641" s="34"/>
      <c r="BM641" s="34"/>
      <c r="BN641" s="1339">
        <f>IF(J773="SRO/Studio",O773,0)</f>
        <v>0</v>
      </c>
      <c r="BO641" s="1340"/>
      <c r="BP641" s="1340"/>
      <c r="BQ641" s="1340"/>
      <c r="BR641" s="1341"/>
      <c r="BS641" s="1346">
        <f>IF(J773="1 Bedroom",O773,0)</f>
        <v>0</v>
      </c>
      <c r="BT641" s="1346"/>
      <c r="BU641" s="1346"/>
      <c r="BV641" s="1346"/>
      <c r="BW641" s="1346"/>
      <c r="BX641" s="1346">
        <f>IF(J773="2 Bedrooms",O773,0)</f>
        <v>0</v>
      </c>
      <c r="BY641" s="1346"/>
      <c r="BZ641" s="1346"/>
      <c r="CA641" s="1346"/>
      <c r="CB641" s="1346"/>
      <c r="CC641" s="1346">
        <f>IF(J773="3 Bedrooms",O773,0)</f>
        <v>0</v>
      </c>
      <c r="CD641" s="1346"/>
      <c r="CE641" s="1346"/>
      <c r="CF641" s="1346"/>
      <c r="CG641" s="1346"/>
      <c r="CH641" s="1346">
        <f>IF(J773="4 Bedrooms",O773,0)</f>
        <v>0</v>
      </c>
      <c r="CI641" s="1346"/>
      <c r="CJ641" s="1346"/>
      <c r="CK641" s="1346"/>
      <c r="CL641" s="1346"/>
      <c r="CM641" s="1346">
        <f>IF(J773="5 Bedrooms",O773,0)</f>
        <v>0</v>
      </c>
      <c r="CN641" s="1346"/>
      <c r="CO641" s="1346"/>
      <c r="CP641" s="1346"/>
      <c r="CQ641" s="1346"/>
      <c r="CR641" s="6"/>
      <c r="CS641" s="3"/>
      <c r="CT641" s="3"/>
      <c r="CU641" s="3"/>
      <c r="CV641" s="3"/>
      <c r="CW641" s="3"/>
      <c r="CX641" s="3"/>
      <c r="CY641" s="3"/>
      <c r="CZ641" s="3"/>
      <c r="DA641" s="3"/>
      <c r="DB641" s="3"/>
      <c r="DC641" s="3"/>
      <c r="DD641" s="3"/>
      <c r="DE641" s="3"/>
      <c r="DF641" s="3"/>
      <c r="DX641" s="1350" t="e">
        <f t="shared" si="22"/>
        <v>#VALUE!</v>
      </c>
      <c r="DY641" s="1350"/>
      <c r="DZ641" s="1350"/>
      <c r="EA641" s="1350"/>
      <c r="EB641" s="1350"/>
      <c r="EC641" s="1350">
        <f t="shared" si="23"/>
        <v>109</v>
      </c>
      <c r="ED641" s="1350"/>
      <c r="EE641" s="1350"/>
      <c r="EF641" s="1350"/>
      <c r="EG641" s="1350"/>
      <c r="EH641" s="1350" t="e">
        <f t="shared" si="24"/>
        <v>#VALUE!</v>
      </c>
      <c r="EI641" s="1350"/>
      <c r="EJ641" s="1350"/>
      <c r="EK641" s="1350"/>
      <c r="EL641" s="1350"/>
      <c r="EM641" s="1350" t="e">
        <f t="shared" si="25"/>
        <v>#VALUE!</v>
      </c>
      <c r="EN641" s="1350"/>
      <c r="EO641" s="1350"/>
      <c r="EP641" s="1350"/>
      <c r="EQ641" s="1350"/>
      <c r="ER641" s="1350" t="e">
        <f t="shared" si="26"/>
        <v>#VALUE!</v>
      </c>
      <c r="ES641" s="1350"/>
      <c r="ET641" s="1350"/>
      <c r="EU641" s="1350"/>
      <c r="EV641" s="1350"/>
      <c r="EW641" s="1350" t="e">
        <f t="shared" si="27"/>
        <v>#VALUE!</v>
      </c>
      <c r="EX641" s="1350"/>
      <c r="EY641" s="1350"/>
      <c r="EZ641" s="1350"/>
      <c r="FA641" s="1350"/>
    </row>
    <row r="642" spans="1:157" ht="12.75">
      <c r="B642" s="52" t="s">
        <v>611</v>
      </c>
      <c r="C642" s="1351"/>
      <c r="D642" s="1351"/>
      <c r="E642" s="1351"/>
      <c r="F642" s="1351"/>
      <c r="G642" s="1351"/>
      <c r="H642" s="1351"/>
      <c r="I642" s="1351"/>
      <c r="J642" s="1351"/>
      <c r="K642" s="1351"/>
      <c r="L642" s="1351"/>
      <c r="M642" s="1351"/>
      <c r="N642" s="1628"/>
      <c r="O642" s="1383"/>
      <c r="P642" s="1384"/>
      <c r="Q642" s="1385"/>
      <c r="R642" s="1366"/>
      <c r="S642" s="1367"/>
      <c r="T642" s="1368"/>
      <c r="U642" s="1373"/>
      <c r="V642" s="1374"/>
      <c r="W642" s="1375"/>
      <c r="X642" s="1369" t="s">
        <v>1349</v>
      </c>
      <c r="Y642" s="1370"/>
      <c r="Z642" s="1370"/>
      <c r="AA642" s="1370"/>
      <c r="AB642" s="1371"/>
      <c r="AC642" s="1392"/>
      <c r="AD642" s="1393"/>
      <c r="AE642" s="1394"/>
      <c r="AF642" s="1376"/>
      <c r="AG642" s="1377"/>
      <c r="AH642" s="1377"/>
      <c r="AI642" s="1377"/>
      <c r="AJ642" s="1378"/>
      <c r="AK642" s="1404"/>
      <c r="AL642" s="1405"/>
      <c r="AM642" s="1405"/>
      <c r="AN642" s="1406"/>
      <c r="AO642" s="1372"/>
      <c r="AP642" s="1372"/>
      <c r="AQ642" s="1372"/>
      <c r="AR642" s="1372"/>
      <c r="AS642" s="1372"/>
      <c r="AT642" s="3"/>
      <c r="AU642" s="3"/>
      <c r="AV642" s="3"/>
      <c r="AW642" s="3"/>
      <c r="AX642" s="3"/>
      <c r="AY642" s="3"/>
      <c r="AZ642" s="34"/>
      <c r="BA642" s="34"/>
      <c r="BB642" s="34"/>
      <c r="BC642" s="34"/>
      <c r="BD642" s="34"/>
      <c r="BE642" s="34"/>
      <c r="BF642" s="34"/>
      <c r="BG642" s="34"/>
      <c r="BH642" s="34"/>
      <c r="BI642" s="34"/>
      <c r="BJ642" s="34"/>
      <c r="BK642" s="34"/>
      <c r="BL642" s="34"/>
      <c r="BM642" s="34"/>
      <c r="BN642" s="1339">
        <f>IF(J774="SRO/Studio",O774,0)</f>
        <v>0</v>
      </c>
      <c r="BO642" s="1340"/>
      <c r="BP642" s="1340"/>
      <c r="BQ642" s="1340"/>
      <c r="BR642" s="1341"/>
      <c r="BS642" s="1346">
        <f>IF(J774="1 Bedroom",O774,0)</f>
        <v>0</v>
      </c>
      <c r="BT642" s="1346"/>
      <c r="BU642" s="1346"/>
      <c r="BV642" s="1346"/>
      <c r="BW642" s="1346"/>
      <c r="BX642" s="1346">
        <f>IF(J774="2 Bedrooms",O774,0)</f>
        <v>0</v>
      </c>
      <c r="BY642" s="1346"/>
      <c r="BZ642" s="1346"/>
      <c r="CA642" s="1346"/>
      <c r="CB642" s="1346"/>
      <c r="CC642" s="1346">
        <f>IF(J774="3 Bedrooms",O774,0)</f>
        <v>0</v>
      </c>
      <c r="CD642" s="1346"/>
      <c r="CE642" s="1346"/>
      <c r="CF642" s="1346"/>
      <c r="CG642" s="1346"/>
      <c r="CH642" s="1346">
        <f>IF(J774="4 Bedrooms",O774,0)</f>
        <v>0</v>
      </c>
      <c r="CI642" s="1346"/>
      <c r="CJ642" s="1346"/>
      <c r="CK642" s="1346"/>
      <c r="CL642" s="1346"/>
      <c r="CM642" s="1346">
        <f>IF(J774="5 Bedrooms",O774,0)</f>
        <v>0</v>
      </c>
      <c r="CN642" s="1346"/>
      <c r="CO642" s="1346"/>
      <c r="CP642" s="1346"/>
      <c r="CQ642" s="1346"/>
      <c r="CR642" s="1052"/>
      <c r="CV642" s="3"/>
      <c r="CW642" s="3"/>
      <c r="CX642" s="3"/>
      <c r="CY642" s="3"/>
      <c r="CZ642" s="3"/>
      <c r="DA642" s="3"/>
      <c r="DB642" s="3"/>
      <c r="DC642" s="3"/>
      <c r="DD642" s="3"/>
      <c r="DE642" s="3"/>
      <c r="DF642" s="3"/>
      <c r="DX642" s="1350" t="e">
        <f t="shared" si="22"/>
        <v>#VALUE!</v>
      </c>
      <c r="DY642" s="1350"/>
      <c r="DZ642" s="1350"/>
      <c r="EA642" s="1350"/>
      <c r="EB642" s="1350"/>
      <c r="EC642" s="1350" t="e">
        <f t="shared" si="23"/>
        <v>#VALUE!</v>
      </c>
      <c r="ED642" s="1350"/>
      <c r="EE642" s="1350"/>
      <c r="EF642" s="1350"/>
      <c r="EG642" s="1350"/>
      <c r="EH642" s="1350">
        <f t="shared" si="24"/>
        <v>195.375</v>
      </c>
      <c r="EI642" s="1350"/>
      <c r="EJ642" s="1350"/>
      <c r="EK642" s="1350"/>
      <c r="EL642" s="1350"/>
      <c r="EM642" s="1350" t="e">
        <f t="shared" si="25"/>
        <v>#VALUE!</v>
      </c>
      <c r="EN642" s="1350"/>
      <c r="EO642" s="1350"/>
      <c r="EP642" s="1350"/>
      <c r="EQ642" s="1350"/>
      <c r="ER642" s="1350" t="e">
        <f t="shared" si="26"/>
        <v>#VALUE!</v>
      </c>
      <c r="ES642" s="1350"/>
      <c r="ET642" s="1350"/>
      <c r="EU642" s="1350"/>
      <c r="EV642" s="1350"/>
      <c r="EW642" s="1350" t="e">
        <f t="shared" si="27"/>
        <v>#VALUE!</v>
      </c>
      <c r="EX642" s="1350"/>
      <c r="EY642" s="1350"/>
      <c r="EZ642" s="1350"/>
      <c r="FA642" s="1350"/>
    </row>
    <row r="643" spans="1:157" ht="12.75">
      <c r="B643" s="52" t="s">
        <v>481</v>
      </c>
      <c r="C643" s="1351"/>
      <c r="D643" s="1351"/>
      <c r="E643" s="1351"/>
      <c r="F643" s="1351"/>
      <c r="G643" s="1351"/>
      <c r="H643" s="1351"/>
      <c r="I643" s="1351"/>
      <c r="J643" s="1351"/>
      <c r="K643" s="1351"/>
      <c r="L643" s="1351"/>
      <c r="M643" s="1351"/>
      <c r="N643" s="1628"/>
      <c r="O643" s="1383"/>
      <c r="P643" s="1384"/>
      <c r="Q643" s="1385"/>
      <c r="R643" s="1366"/>
      <c r="S643" s="1367"/>
      <c r="T643" s="1368"/>
      <c r="U643" s="1373"/>
      <c r="V643" s="1374"/>
      <c r="W643" s="1375"/>
      <c r="X643" s="1369" t="s">
        <v>1349</v>
      </c>
      <c r="Y643" s="1370"/>
      <c r="Z643" s="1370"/>
      <c r="AA643" s="1370"/>
      <c r="AB643" s="1371"/>
      <c r="AC643" s="1392"/>
      <c r="AD643" s="1393"/>
      <c r="AE643" s="1394"/>
      <c r="AF643" s="1376"/>
      <c r="AG643" s="1377"/>
      <c r="AH643" s="1377"/>
      <c r="AI643" s="1377"/>
      <c r="AJ643" s="1378"/>
      <c r="AK643" s="1404"/>
      <c r="AL643" s="1405"/>
      <c r="AM643" s="1405"/>
      <c r="AN643" s="1406"/>
      <c r="AO643" s="1372"/>
      <c r="AP643" s="1372"/>
      <c r="AQ643" s="1372"/>
      <c r="AR643" s="1372"/>
      <c r="AS643" s="1372"/>
      <c r="AT643" s="3"/>
      <c r="AU643" s="3"/>
      <c r="AV643" s="3"/>
      <c r="AW643" s="3"/>
      <c r="AX643" s="3"/>
      <c r="AY643" s="3"/>
      <c r="AZ643" s="34"/>
      <c r="BA643" s="34"/>
      <c r="BB643" s="34"/>
      <c r="BC643" s="34"/>
      <c r="BD643" s="34"/>
      <c r="BE643" s="34"/>
      <c r="BF643" s="34"/>
      <c r="BG643" s="34"/>
      <c r="BH643" s="34"/>
      <c r="BI643" s="34"/>
      <c r="BJ643" s="34"/>
      <c r="BK643" s="34"/>
      <c r="BL643" s="34"/>
      <c r="BM643" s="34"/>
      <c r="BN643" s="1339">
        <f>IF(J775="SRO/Studio",O775,0)</f>
        <v>0</v>
      </c>
      <c r="BO643" s="1340"/>
      <c r="BP643" s="1340"/>
      <c r="BQ643" s="1340"/>
      <c r="BR643" s="1341"/>
      <c r="BS643" s="1346">
        <f>IF(J775="1 Bedroom",O775,0)</f>
        <v>0</v>
      </c>
      <c r="BT643" s="1346"/>
      <c r="BU643" s="1346"/>
      <c r="BV643" s="1346"/>
      <c r="BW643" s="1346"/>
      <c r="BX643" s="1346">
        <f>IF(J775="2 Bedrooms",O775,0)</f>
        <v>0</v>
      </c>
      <c r="BY643" s="1346"/>
      <c r="BZ643" s="1346"/>
      <c r="CA643" s="1346"/>
      <c r="CB643" s="1346"/>
      <c r="CC643" s="1346">
        <f>IF(J775="3 Bedrooms",O775,0)</f>
        <v>0</v>
      </c>
      <c r="CD643" s="1346"/>
      <c r="CE643" s="1346"/>
      <c r="CF643" s="1346"/>
      <c r="CG643" s="1346"/>
      <c r="CH643" s="1346">
        <f>IF(J775="4 Bedrooms",O775,0)</f>
        <v>0</v>
      </c>
      <c r="CI643" s="1346"/>
      <c r="CJ643" s="1346"/>
      <c r="CK643" s="1346"/>
      <c r="CL643" s="1346"/>
      <c r="CM643" s="1346">
        <f>IF(J775="5 Bedrooms",O775,0)</f>
        <v>0</v>
      </c>
      <c r="CN643" s="1346"/>
      <c r="CO643" s="1346"/>
      <c r="CP643" s="1346"/>
      <c r="CQ643" s="1346"/>
      <c r="CV643" s="3"/>
      <c r="CW643" s="3"/>
      <c r="CX643" s="3"/>
      <c r="CY643" s="3"/>
      <c r="CZ643" s="3"/>
      <c r="DA643" s="3"/>
      <c r="DB643" s="3"/>
      <c r="DC643" s="3"/>
      <c r="DD643" s="3"/>
      <c r="DE643" s="3"/>
      <c r="DF643" s="3"/>
      <c r="DX643" s="1350" t="e">
        <f t="shared" si="22"/>
        <v>#VALUE!</v>
      </c>
      <c r="DY643" s="1350"/>
      <c r="DZ643" s="1350"/>
      <c r="EA643" s="1350"/>
      <c r="EB643" s="1350"/>
      <c r="EC643" s="1350" t="e">
        <f t="shared" si="23"/>
        <v>#VALUE!</v>
      </c>
      <c r="ED643" s="1350"/>
      <c r="EE643" s="1350"/>
      <c r="EF643" s="1350"/>
      <c r="EG643" s="1350"/>
      <c r="EH643" s="1350">
        <f t="shared" si="24"/>
        <v>290.41666666666669</v>
      </c>
      <c r="EI643" s="1350"/>
      <c r="EJ643" s="1350"/>
      <c r="EK643" s="1350"/>
      <c r="EL643" s="1350"/>
      <c r="EM643" s="1350" t="e">
        <f t="shared" si="25"/>
        <v>#VALUE!</v>
      </c>
      <c r="EN643" s="1350"/>
      <c r="EO643" s="1350"/>
      <c r="EP643" s="1350"/>
      <c r="EQ643" s="1350"/>
      <c r="ER643" s="1350" t="e">
        <f t="shared" si="26"/>
        <v>#VALUE!</v>
      </c>
      <c r="ES643" s="1350"/>
      <c r="ET643" s="1350"/>
      <c r="EU643" s="1350"/>
      <c r="EV643" s="1350"/>
      <c r="EW643" s="1350" t="e">
        <f t="shared" si="27"/>
        <v>#VALUE!</v>
      </c>
      <c r="EX643" s="1350"/>
      <c r="EY643" s="1350"/>
      <c r="EZ643" s="1350"/>
      <c r="FA643" s="1350"/>
    </row>
    <row r="644" spans="1:157" ht="12.75">
      <c r="B644" s="52" t="s">
        <v>482</v>
      </c>
      <c r="C644" s="1351"/>
      <c r="D644" s="1351"/>
      <c r="E644" s="1351"/>
      <c r="F644" s="1351"/>
      <c r="G644" s="1351"/>
      <c r="H644" s="1351"/>
      <c r="I644" s="1351"/>
      <c r="J644" s="1351"/>
      <c r="K644" s="1351"/>
      <c r="L644" s="1351"/>
      <c r="M644" s="1351"/>
      <c r="N644" s="1628"/>
      <c r="O644" s="1383"/>
      <c r="P644" s="1384"/>
      <c r="Q644" s="1385"/>
      <c r="R644" s="1366"/>
      <c r="S644" s="1367"/>
      <c r="T644" s="1368"/>
      <c r="U644" s="1373"/>
      <c r="V644" s="1374"/>
      <c r="W644" s="1375"/>
      <c r="X644" s="1369" t="s">
        <v>1349</v>
      </c>
      <c r="Y644" s="1370"/>
      <c r="Z644" s="1370"/>
      <c r="AA644" s="1370"/>
      <c r="AB644" s="1371"/>
      <c r="AC644" s="1392"/>
      <c r="AD644" s="1393"/>
      <c r="AE644" s="1394"/>
      <c r="AF644" s="1376"/>
      <c r="AG644" s="1377"/>
      <c r="AH644" s="1377"/>
      <c r="AI644" s="1377"/>
      <c r="AJ644" s="1378"/>
      <c r="AK644" s="1404"/>
      <c r="AL644" s="1405"/>
      <c r="AM644" s="1405"/>
      <c r="AN644" s="1406"/>
      <c r="AO644" s="1372"/>
      <c r="AP644" s="1372"/>
      <c r="AQ644" s="1372"/>
      <c r="AR644" s="1372"/>
      <c r="AS644" s="1372"/>
      <c r="AT644" s="3"/>
      <c r="AU644" s="3"/>
      <c r="AV644" s="3"/>
      <c r="AW644" s="3"/>
      <c r="AX644" s="3"/>
      <c r="AY644" s="3"/>
      <c r="AZ644" s="34"/>
      <c r="BA644" s="34"/>
      <c r="BB644" s="34"/>
      <c r="BC644" s="34"/>
      <c r="BD644" s="34"/>
      <c r="BE644" s="34"/>
      <c r="BF644" s="34"/>
      <c r="BG644" s="34"/>
      <c r="BH644" s="34"/>
      <c r="BI644" s="34"/>
      <c r="BJ644" s="34"/>
      <c r="BK644" s="34"/>
      <c r="BL644" s="34"/>
      <c r="BM644" s="34"/>
      <c r="BN644" s="1356">
        <f>SUM(BN640:BR643)</f>
        <v>0</v>
      </c>
      <c r="BO644" s="1357"/>
      <c r="BP644" s="1357"/>
      <c r="BQ644" s="1357"/>
      <c r="BR644" s="1358"/>
      <c r="BS644" s="1353">
        <f>SUM(BS640:BW643)</f>
        <v>0</v>
      </c>
      <c r="BT644" s="1354"/>
      <c r="BU644" s="1354"/>
      <c r="BV644" s="1354"/>
      <c r="BW644" s="1355"/>
      <c r="BX644" s="1353">
        <f>SUM(BX640:CB643)</f>
        <v>0</v>
      </c>
      <c r="BY644" s="1354"/>
      <c r="BZ644" s="1354"/>
      <c r="CA644" s="1354"/>
      <c r="CB644" s="1355"/>
      <c r="CC644" s="1353">
        <f>SUM(CC640:CG643)</f>
        <v>1</v>
      </c>
      <c r="CD644" s="1354"/>
      <c r="CE644" s="1354"/>
      <c r="CF644" s="1354"/>
      <c r="CG644" s="1355"/>
      <c r="CH644" s="1353">
        <f>SUM(CH640:CL643)</f>
        <v>0</v>
      </c>
      <c r="CI644" s="1354"/>
      <c r="CJ644" s="1354"/>
      <c r="CK644" s="1354"/>
      <c r="CL644" s="1355"/>
      <c r="CM644" s="1353">
        <f>SUM(CM640:CQ643)</f>
        <v>0</v>
      </c>
      <c r="CN644" s="1354"/>
      <c r="CO644" s="1354"/>
      <c r="CP644" s="1354"/>
      <c r="CQ644" s="1355"/>
      <c r="CS644" s="900">
        <f>BN644+BS644+BX644+CC644+CH644+CM644</f>
        <v>1</v>
      </c>
      <c r="CT644" s="57" t="s">
        <v>2178</v>
      </c>
      <c r="CU644" s="3"/>
      <c r="CV644" s="3"/>
      <c r="CW644" s="3"/>
      <c r="CX644" s="3"/>
      <c r="CY644" s="3"/>
      <c r="CZ644" s="3"/>
      <c r="DA644" s="3"/>
      <c r="DB644" s="3"/>
      <c r="DC644" s="3"/>
      <c r="DD644" s="3"/>
      <c r="DE644" s="3"/>
      <c r="DF644" s="3"/>
      <c r="DX644" s="1350" t="e">
        <f t="shared" si="22"/>
        <v>#VALUE!</v>
      </c>
      <c r="DY644" s="1350"/>
      <c r="DZ644" s="1350"/>
      <c r="EA644" s="1350"/>
      <c r="EB644" s="1350"/>
      <c r="EC644" s="1350" t="e">
        <f t="shared" si="23"/>
        <v>#VALUE!</v>
      </c>
      <c r="ED644" s="1350"/>
      <c r="EE644" s="1350"/>
      <c r="EF644" s="1350"/>
      <c r="EG644" s="1350"/>
      <c r="EH644" s="1350">
        <f t="shared" si="24"/>
        <v>145.33333333333331</v>
      </c>
      <c r="EI644" s="1350"/>
      <c r="EJ644" s="1350"/>
      <c r="EK644" s="1350"/>
      <c r="EL644" s="1350"/>
      <c r="EM644" s="1350" t="e">
        <f t="shared" si="25"/>
        <v>#VALUE!</v>
      </c>
      <c r="EN644" s="1350"/>
      <c r="EO644" s="1350"/>
      <c r="EP644" s="1350"/>
      <c r="EQ644" s="1350"/>
      <c r="ER644" s="1350" t="e">
        <f t="shared" si="26"/>
        <v>#VALUE!</v>
      </c>
      <c r="ES644" s="1350"/>
      <c r="ET644" s="1350"/>
      <c r="EU644" s="1350"/>
      <c r="EV644" s="1350"/>
      <c r="EW644" s="1350" t="e">
        <f t="shared" si="27"/>
        <v>#VALUE!</v>
      </c>
      <c r="EX644" s="1350"/>
      <c r="EY644" s="1350"/>
      <c r="EZ644" s="1350"/>
      <c r="FA644" s="1350"/>
    </row>
    <row r="645" spans="1:157" ht="12.75">
      <c r="B645" s="52" t="s">
        <v>487</v>
      </c>
      <c r="C645" s="1351"/>
      <c r="D645" s="1351"/>
      <c r="E645" s="1351"/>
      <c r="F645" s="1351"/>
      <c r="G645" s="1351"/>
      <c r="H645" s="1351"/>
      <c r="I645" s="1351"/>
      <c r="J645" s="1351"/>
      <c r="K645" s="1351"/>
      <c r="L645" s="1351"/>
      <c r="M645" s="1351"/>
      <c r="N645" s="1628"/>
      <c r="O645" s="1383"/>
      <c r="P645" s="1384"/>
      <c r="Q645" s="1385"/>
      <c r="R645" s="1366"/>
      <c r="S645" s="1367"/>
      <c r="T645" s="1368"/>
      <c r="U645" s="1373"/>
      <c r="V645" s="1374"/>
      <c r="W645" s="1375"/>
      <c r="X645" s="1369" t="s">
        <v>1349</v>
      </c>
      <c r="Y645" s="1370"/>
      <c r="Z645" s="1370"/>
      <c r="AA645" s="1370"/>
      <c r="AB645" s="1371"/>
      <c r="AC645" s="1392"/>
      <c r="AD645" s="1393"/>
      <c r="AE645" s="1394"/>
      <c r="AF645" s="1376"/>
      <c r="AG645" s="1377"/>
      <c r="AH645" s="1377"/>
      <c r="AI645" s="1377"/>
      <c r="AJ645" s="1378"/>
      <c r="AK645" s="1404"/>
      <c r="AL645" s="1405"/>
      <c r="AM645" s="1405"/>
      <c r="AN645" s="1406"/>
      <c r="AO645" s="1372"/>
      <c r="AP645" s="1372"/>
      <c r="AQ645" s="1372"/>
      <c r="AR645" s="1372"/>
      <c r="AS645" s="1372"/>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0</v>
      </c>
      <c r="CC645" s="3"/>
      <c r="CD645" s="3"/>
      <c r="CE645" s="3"/>
      <c r="CF645" s="3"/>
      <c r="CG645" s="900">
        <f>CC644*3</f>
        <v>3</v>
      </c>
      <c r="CH645" s="3"/>
      <c r="CI645" s="3"/>
      <c r="CJ645" s="3"/>
      <c r="CK645" s="3"/>
      <c r="CL645" s="900">
        <f>CH644*4</f>
        <v>0</v>
      </c>
      <c r="CM645" s="3"/>
      <c r="CN645" s="3"/>
      <c r="CO645" s="3"/>
      <c r="CP645" s="3"/>
      <c r="CQ645" s="900">
        <f>CM644*5</f>
        <v>0</v>
      </c>
      <c r="CS645" s="900">
        <f>BR645+BW645+CB645+CG645+CL645+CQ645</f>
        <v>3</v>
      </c>
      <c r="CT645" s="57" t="s">
        <v>2180</v>
      </c>
      <c r="CU645" s="3"/>
      <c r="CV645" s="3"/>
      <c r="CW645" s="3"/>
      <c r="CX645" s="3"/>
      <c r="CY645" s="3"/>
      <c r="CZ645" s="3"/>
      <c r="DA645" s="3"/>
      <c r="DB645" s="3"/>
      <c r="DC645" s="3"/>
      <c r="DD645" s="3"/>
      <c r="DE645" s="3"/>
      <c r="DF645" s="3"/>
      <c r="DX645" s="1350" t="e">
        <f t="shared" si="22"/>
        <v>#VALUE!</v>
      </c>
      <c r="DY645" s="1350"/>
      <c r="DZ645" s="1350"/>
      <c r="EA645" s="1350"/>
      <c r="EB645" s="1350"/>
      <c r="EC645" s="1350" t="e">
        <f t="shared" si="23"/>
        <v>#VALUE!</v>
      </c>
      <c r="ED645" s="1350"/>
      <c r="EE645" s="1350"/>
      <c r="EF645" s="1350"/>
      <c r="EG645" s="1350"/>
      <c r="EH645" s="1350">
        <f t="shared" si="24"/>
        <v>43.666666666666664</v>
      </c>
      <c r="EI645" s="1350"/>
      <c r="EJ645" s="1350"/>
      <c r="EK645" s="1350"/>
      <c r="EL645" s="1350"/>
      <c r="EM645" s="1350" t="e">
        <f t="shared" si="25"/>
        <v>#VALUE!</v>
      </c>
      <c r="EN645" s="1350"/>
      <c r="EO645" s="1350"/>
      <c r="EP645" s="1350"/>
      <c r="EQ645" s="1350"/>
      <c r="ER645" s="1350" t="e">
        <f t="shared" si="26"/>
        <v>#VALUE!</v>
      </c>
      <c r="ES645" s="1350"/>
      <c r="ET645" s="1350"/>
      <c r="EU645" s="1350"/>
      <c r="EV645" s="1350"/>
      <c r="EW645" s="1350" t="e">
        <f t="shared" si="27"/>
        <v>#VALUE!</v>
      </c>
      <c r="EX645" s="1350"/>
      <c r="EY645" s="1350"/>
      <c r="EZ645" s="1350"/>
      <c r="FA645" s="1350"/>
    </row>
    <row r="646" spans="1:157" ht="12.75">
      <c r="B646" s="52" t="s">
        <v>673</v>
      </c>
      <c r="C646" s="1351"/>
      <c r="D646" s="1351"/>
      <c r="E646" s="1351"/>
      <c r="F646" s="1351"/>
      <c r="G646" s="1351"/>
      <c r="H646" s="1351"/>
      <c r="I646" s="1351"/>
      <c r="J646" s="1351"/>
      <c r="K646" s="1351"/>
      <c r="L646" s="1351"/>
      <c r="M646" s="1351"/>
      <c r="N646" s="1628"/>
      <c r="O646" s="1383"/>
      <c r="P646" s="1384"/>
      <c r="Q646" s="1385"/>
      <c r="R646" s="1366"/>
      <c r="S646" s="1367"/>
      <c r="T646" s="1368"/>
      <c r="U646" s="1373"/>
      <c r="V646" s="1374"/>
      <c r="W646" s="1375"/>
      <c r="X646" s="1369" t="s">
        <v>1349</v>
      </c>
      <c r="Y646" s="1370"/>
      <c r="Z646" s="1370"/>
      <c r="AA646" s="1370"/>
      <c r="AB646" s="1371"/>
      <c r="AC646" s="1392"/>
      <c r="AD646" s="1393"/>
      <c r="AE646" s="1394"/>
      <c r="AF646" s="1376"/>
      <c r="AG646" s="1377"/>
      <c r="AH646" s="1377"/>
      <c r="AI646" s="1377"/>
      <c r="AJ646" s="1378"/>
      <c r="AK646" s="1404"/>
      <c r="AL646" s="1405"/>
      <c r="AM646" s="1405"/>
      <c r="AN646" s="1406"/>
      <c r="AO646" s="1372"/>
      <c r="AP646" s="1372"/>
      <c r="AQ646" s="1372"/>
      <c r="AR646" s="1372"/>
      <c r="AS646" s="1372"/>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50" t="e">
        <f t="shared" si="22"/>
        <v>#VALUE!</v>
      </c>
      <c r="DY646" s="1350"/>
      <c r="DZ646" s="1350"/>
      <c r="EA646" s="1350"/>
      <c r="EB646" s="1350"/>
      <c r="EC646" s="1350" t="e">
        <f t="shared" si="23"/>
        <v>#VALUE!</v>
      </c>
      <c r="ED646" s="1350"/>
      <c r="EE646" s="1350"/>
      <c r="EF646" s="1350"/>
      <c r="EG646" s="1350"/>
      <c r="EH646" s="1350" t="e">
        <f t="shared" si="24"/>
        <v>#VALUE!</v>
      </c>
      <c r="EI646" s="1350"/>
      <c r="EJ646" s="1350"/>
      <c r="EK646" s="1350"/>
      <c r="EL646" s="1350"/>
      <c r="EM646" s="1350">
        <f t="shared" si="25"/>
        <v>131.6875</v>
      </c>
      <c r="EN646" s="1350"/>
      <c r="EO646" s="1350"/>
      <c r="EP646" s="1350"/>
      <c r="EQ646" s="1350"/>
      <c r="ER646" s="1350" t="e">
        <f t="shared" si="26"/>
        <v>#VALUE!</v>
      </c>
      <c r="ES646" s="1350"/>
      <c r="ET646" s="1350"/>
      <c r="EU646" s="1350"/>
      <c r="EV646" s="1350"/>
      <c r="EW646" s="1350" t="e">
        <f t="shared" si="27"/>
        <v>#VALUE!</v>
      </c>
      <c r="EX646" s="1350"/>
      <c r="EY646" s="1350"/>
      <c r="EZ646" s="1350"/>
      <c r="FA646" s="1350"/>
    </row>
    <row r="647" spans="1:157" ht="12.75">
      <c r="B647" s="52" t="s">
        <v>369</v>
      </c>
      <c r="C647" s="1351"/>
      <c r="D647" s="1351"/>
      <c r="E647" s="1351"/>
      <c r="F647" s="1351"/>
      <c r="G647" s="1351"/>
      <c r="H647" s="1351"/>
      <c r="I647" s="1351"/>
      <c r="J647" s="1351"/>
      <c r="K647" s="1351"/>
      <c r="L647" s="1351"/>
      <c r="M647" s="1351"/>
      <c r="N647" s="1628"/>
      <c r="O647" s="1383"/>
      <c r="P647" s="1384"/>
      <c r="Q647" s="1385"/>
      <c r="R647" s="1366"/>
      <c r="S647" s="1367"/>
      <c r="T647" s="1368"/>
      <c r="U647" s="1373"/>
      <c r="V647" s="1374"/>
      <c r="W647" s="1375"/>
      <c r="X647" s="1369" t="s">
        <v>1349</v>
      </c>
      <c r="Y647" s="1370"/>
      <c r="Z647" s="1370"/>
      <c r="AA647" s="1370"/>
      <c r="AB647" s="1371"/>
      <c r="AC647" s="1392"/>
      <c r="AD647" s="1393"/>
      <c r="AE647" s="1394"/>
      <c r="AF647" s="1376"/>
      <c r="AG647" s="1377"/>
      <c r="AH647" s="1377"/>
      <c r="AI647" s="1377"/>
      <c r="AJ647" s="1378"/>
      <c r="AK647" s="1404"/>
      <c r="AL647" s="1405"/>
      <c r="AM647" s="1405"/>
      <c r="AN647" s="1406"/>
      <c r="AO647" s="1372"/>
      <c r="AP647" s="1372"/>
      <c r="AQ647" s="1372"/>
      <c r="AR647" s="1372"/>
      <c r="AS647" s="1372"/>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2188</v>
      </c>
      <c r="CT647" s="3"/>
      <c r="CU647" s="3"/>
      <c r="CV647" s="3"/>
      <c r="CW647" s="3"/>
      <c r="CX647" s="3"/>
      <c r="CY647" s="3"/>
      <c r="CZ647" s="3"/>
      <c r="DA647" s="3"/>
      <c r="DB647" s="3"/>
      <c r="DC647" s="3"/>
      <c r="DD647" s="3"/>
      <c r="DE647" s="3"/>
      <c r="DF647" s="3"/>
      <c r="DX647" s="1350" t="e">
        <f t="shared" si="22"/>
        <v>#VALUE!</v>
      </c>
      <c r="DY647" s="1350"/>
      <c r="DZ647" s="1350"/>
      <c r="EA647" s="1350"/>
      <c r="EB647" s="1350"/>
      <c r="EC647" s="1350" t="e">
        <f t="shared" si="23"/>
        <v>#VALUE!</v>
      </c>
      <c r="ED647" s="1350"/>
      <c r="EE647" s="1350"/>
      <c r="EF647" s="1350"/>
      <c r="EG647" s="1350"/>
      <c r="EH647" s="1350" t="e">
        <f t="shared" si="24"/>
        <v>#VALUE!</v>
      </c>
      <c r="EI647" s="1350"/>
      <c r="EJ647" s="1350"/>
      <c r="EK647" s="1350"/>
      <c r="EL647" s="1350"/>
      <c r="EM647" s="1350">
        <f t="shared" si="25"/>
        <v>402.5</v>
      </c>
      <c r="EN647" s="1350"/>
      <c r="EO647" s="1350"/>
      <c r="EP647" s="1350"/>
      <c r="EQ647" s="1350"/>
      <c r="ER647" s="1350" t="e">
        <f t="shared" si="26"/>
        <v>#VALUE!</v>
      </c>
      <c r="ES647" s="1350"/>
      <c r="ET647" s="1350"/>
      <c r="EU647" s="1350"/>
      <c r="EV647" s="1350"/>
      <c r="EW647" s="1350" t="e">
        <f t="shared" si="27"/>
        <v>#VALUE!</v>
      </c>
      <c r="EX647" s="1350"/>
      <c r="EY647" s="1350"/>
      <c r="EZ647" s="1350"/>
      <c r="FA647" s="1350"/>
    </row>
    <row r="648" spans="1:157" ht="12.75">
      <c r="B648" s="52" t="s">
        <v>370</v>
      </c>
      <c r="C648" s="1351"/>
      <c r="D648" s="1351"/>
      <c r="E648" s="1351"/>
      <c r="F648" s="1351"/>
      <c r="G648" s="1351"/>
      <c r="H648" s="1351"/>
      <c r="I648" s="1351"/>
      <c r="J648" s="1351"/>
      <c r="K648" s="1351"/>
      <c r="L648" s="1351"/>
      <c r="M648" s="1351"/>
      <c r="N648" s="1628"/>
      <c r="O648" s="1383"/>
      <c r="P648" s="1384"/>
      <c r="Q648" s="1385"/>
      <c r="R648" s="1366"/>
      <c r="S648" s="1367"/>
      <c r="T648" s="1368"/>
      <c r="U648" s="1373"/>
      <c r="V648" s="1374"/>
      <c r="W648" s="1375"/>
      <c r="X648" s="1369" t="s">
        <v>1349</v>
      </c>
      <c r="Y648" s="1370"/>
      <c r="Z648" s="1370"/>
      <c r="AA648" s="1370"/>
      <c r="AB648" s="1371"/>
      <c r="AC648" s="1392"/>
      <c r="AD648" s="1393"/>
      <c r="AE648" s="1394"/>
      <c r="AF648" s="1376"/>
      <c r="AG648" s="1377"/>
      <c r="AH648" s="1377"/>
      <c r="AI648" s="1377"/>
      <c r="AJ648" s="1378"/>
      <c r="AK648" s="1404"/>
      <c r="AL648" s="1405"/>
      <c r="AM648" s="1405"/>
      <c r="AN648" s="1406"/>
      <c r="AO648" s="1372"/>
      <c r="AP648" s="1372"/>
      <c r="AQ648" s="1372"/>
      <c r="AR648" s="1372"/>
      <c r="AS648" s="1372"/>
      <c r="AT648" s="3"/>
      <c r="AU648" s="3"/>
      <c r="AV648" s="3"/>
      <c r="AW648" s="3"/>
      <c r="AX648" s="3"/>
      <c r="AY648" s="3"/>
      <c r="AZ648" s="3"/>
      <c r="BA648" s="3"/>
      <c r="BB648" s="3"/>
      <c r="BC648" s="3"/>
      <c r="BD648" s="3"/>
      <c r="BE648" s="3"/>
      <c r="BF648" s="3"/>
      <c r="BG648" s="3"/>
      <c r="BH648" s="3"/>
      <c r="BI648" s="3"/>
      <c r="BJ648" s="3"/>
      <c r="BK648" s="3"/>
      <c r="BL648" s="3"/>
      <c r="BM648" s="3"/>
      <c r="BN648" s="1339">
        <f t="shared" ref="BN648:BN657" si="28">IF(J786="SRO/Studio",O786,0)</f>
        <v>0</v>
      </c>
      <c r="BO648" s="1340"/>
      <c r="BP648" s="1340"/>
      <c r="BQ648" s="1340"/>
      <c r="BR648" s="1341"/>
      <c r="BS648" s="1346">
        <f t="shared" ref="BS648:BS657" si="29">IF(J786="1 Bedroom",O786,0)</f>
        <v>0</v>
      </c>
      <c r="BT648" s="1346"/>
      <c r="BU648" s="1346"/>
      <c r="BV648" s="1346"/>
      <c r="BW648" s="1346"/>
      <c r="BX648" s="1346">
        <f t="shared" ref="BX648:BX657" si="30">IF(J786="2 Bedrooms",O786,0)</f>
        <v>0</v>
      </c>
      <c r="BY648" s="1346"/>
      <c r="BZ648" s="1346"/>
      <c r="CA648" s="1346"/>
      <c r="CB648" s="1346"/>
      <c r="CC648" s="1346">
        <f t="shared" ref="CC648:CC657" si="31">IF(J786="3 Bedrooms",O786,0)</f>
        <v>0</v>
      </c>
      <c r="CD648" s="1346"/>
      <c r="CE648" s="1346"/>
      <c r="CF648" s="1346"/>
      <c r="CG648" s="1346"/>
      <c r="CH648" s="1346">
        <f t="shared" ref="CH648:CH657" si="32">IF(J786="4 Bedrooms",O786,0)</f>
        <v>0</v>
      </c>
      <c r="CI648" s="1346"/>
      <c r="CJ648" s="1346"/>
      <c r="CK648" s="1346"/>
      <c r="CL648" s="1346"/>
      <c r="CM648" s="1346">
        <f t="shared" ref="CM648:CM657" si="33">IF(J786="5 Bedrooms",O786,0)</f>
        <v>0</v>
      </c>
      <c r="CN648" s="1346"/>
      <c r="CO648" s="1346"/>
      <c r="CP648" s="1346"/>
      <c r="CQ648" s="1346"/>
      <c r="CR648" s="6"/>
      <c r="CS648" s="1339">
        <f>IF(AND(BN648&gt;=1,AH786&gt;=0.1,AH786&lt;=1),O786,0)</f>
        <v>0</v>
      </c>
      <c r="CT648" s="1340"/>
      <c r="CU648" s="1340"/>
      <c r="CV648" s="1340"/>
      <c r="CW648" s="1341"/>
      <c r="CX648" s="1339">
        <f>IF(AND(BS648&gt;=1,AH786&gt;=0.1,AH786&lt;=1),O786,0)</f>
        <v>0</v>
      </c>
      <c r="CY648" s="1340"/>
      <c r="CZ648" s="1340"/>
      <c r="DA648" s="1340"/>
      <c r="DB648" s="1341"/>
      <c r="DC648" s="1339">
        <f>IF(AND(BX648&gt;=1,AH786&gt;=0.1,AH786&lt;=1),O786,0)</f>
        <v>0</v>
      </c>
      <c r="DD648" s="1340"/>
      <c r="DE648" s="1340"/>
      <c r="DF648" s="1340"/>
      <c r="DG648" s="1341"/>
      <c r="DH648" s="1339">
        <f>IF(AND(CC648&gt;=1,AH786&gt;=0.1,AH786&lt;=1),O786,0)</f>
        <v>0</v>
      </c>
      <c r="DI648" s="1340"/>
      <c r="DJ648" s="1340"/>
      <c r="DK648" s="1340"/>
      <c r="DL648" s="1341"/>
      <c r="DM648" s="1339">
        <f>IF(AND(CH648&gt;=1,AH786&gt;=0.1,AH786&lt;=1),O786,0)</f>
        <v>0</v>
      </c>
      <c r="DN648" s="1340"/>
      <c r="DO648" s="1340"/>
      <c r="DP648" s="1340"/>
      <c r="DQ648" s="1341"/>
      <c r="DR648" s="1339">
        <f>IF(AND(CM648&gt;=1,AH786&gt;=0.1,AH786&lt;=1),O786,0)</f>
        <v>0</v>
      </c>
      <c r="DS648" s="1340"/>
      <c r="DT648" s="1340"/>
      <c r="DU648" s="1340"/>
      <c r="DV648" s="1341"/>
      <c r="DX648" s="1350" t="e">
        <f t="shared" si="22"/>
        <v>#VALUE!</v>
      </c>
      <c r="DY648" s="1350"/>
      <c r="DZ648" s="1350"/>
      <c r="EA648" s="1350"/>
      <c r="EB648" s="1350"/>
      <c r="EC648" s="1350" t="e">
        <f t="shared" si="23"/>
        <v>#VALUE!</v>
      </c>
      <c r="ED648" s="1350"/>
      <c r="EE648" s="1350"/>
      <c r="EF648" s="1350"/>
      <c r="EG648" s="1350"/>
      <c r="EH648" s="1350" t="e">
        <f t="shared" si="24"/>
        <v>#VALUE!</v>
      </c>
      <c r="EI648" s="1350"/>
      <c r="EJ648" s="1350"/>
      <c r="EK648" s="1350"/>
      <c r="EL648" s="1350"/>
      <c r="EM648" s="1350">
        <f t="shared" si="25"/>
        <v>252</v>
      </c>
      <c r="EN648" s="1350"/>
      <c r="EO648" s="1350"/>
      <c r="EP648" s="1350"/>
      <c r="EQ648" s="1350"/>
      <c r="ER648" s="1350" t="e">
        <f t="shared" si="26"/>
        <v>#VALUE!</v>
      </c>
      <c r="ES648" s="1350"/>
      <c r="ET648" s="1350"/>
      <c r="EU648" s="1350"/>
      <c r="EV648" s="1350"/>
      <c r="EW648" s="1350" t="e">
        <f t="shared" si="27"/>
        <v>#VALUE!</v>
      </c>
      <c r="EX648" s="1350"/>
      <c r="EY648" s="1350"/>
      <c r="EZ648" s="1350"/>
      <c r="FA648" s="1350"/>
    </row>
    <row r="649" spans="1:157" ht="12.75">
      <c r="B649" s="1578" t="s">
        <v>133</v>
      </c>
      <c r="C649" s="1579"/>
      <c r="D649" s="1579"/>
      <c r="E649" s="1579"/>
      <c r="F649" s="1579"/>
      <c r="G649" s="1579"/>
      <c r="H649" s="1579"/>
      <c r="I649" s="1579"/>
      <c r="J649" s="1579"/>
      <c r="K649" s="1579"/>
      <c r="L649" s="1579"/>
      <c r="M649" s="1579"/>
      <c r="N649" s="1579"/>
      <c r="O649" s="1579"/>
      <c r="P649" s="1579"/>
      <c r="Q649" s="1579"/>
      <c r="R649" s="1579"/>
      <c r="S649" s="1579"/>
      <c r="T649" s="1579"/>
      <c r="U649" s="1579"/>
      <c r="V649" s="1579"/>
      <c r="W649" s="1579"/>
      <c r="X649" s="1579"/>
      <c r="Y649" s="1579"/>
      <c r="Z649" s="1579"/>
      <c r="AA649" s="1579"/>
      <c r="AB649" s="1579"/>
      <c r="AC649" s="1579"/>
      <c r="AD649" s="1579"/>
      <c r="AE649" s="1579"/>
      <c r="AF649" s="1579"/>
      <c r="AG649" s="1579"/>
      <c r="AH649" s="1579"/>
      <c r="AI649" s="1579"/>
      <c r="AJ649" s="1579"/>
      <c r="AK649" s="1579"/>
      <c r="AL649" s="1579"/>
      <c r="AM649" s="1579"/>
      <c r="AN649" s="1580"/>
      <c r="AO649" s="1653">
        <f>SUM(AO637:AR648)</f>
        <v>20438545</v>
      </c>
      <c r="AP649" s="1654"/>
      <c r="AQ649" s="1654"/>
      <c r="AR649" s="1654"/>
      <c r="AS649" s="1655"/>
      <c r="AZ649" s="3"/>
      <c r="BA649" s="3"/>
      <c r="BB649" s="3"/>
      <c r="BC649" s="3"/>
      <c r="BD649" s="3"/>
      <c r="BE649" s="3"/>
      <c r="BF649" s="3"/>
      <c r="BG649" s="3"/>
      <c r="BH649" s="3"/>
      <c r="BI649" s="3"/>
      <c r="BJ649" s="3"/>
      <c r="BK649" s="3"/>
      <c r="BL649" s="3"/>
      <c r="BM649" s="3"/>
      <c r="BN649" s="1339">
        <f t="shared" si="28"/>
        <v>0</v>
      </c>
      <c r="BO649" s="1340"/>
      <c r="BP649" s="1340"/>
      <c r="BQ649" s="1340"/>
      <c r="BR649" s="1341"/>
      <c r="BS649" s="1346">
        <f t="shared" si="29"/>
        <v>0</v>
      </c>
      <c r="BT649" s="1346"/>
      <c r="BU649" s="1346"/>
      <c r="BV649" s="1346"/>
      <c r="BW649" s="1346"/>
      <c r="BX649" s="1346">
        <f t="shared" si="30"/>
        <v>0</v>
      </c>
      <c r="BY649" s="1346"/>
      <c r="BZ649" s="1346"/>
      <c r="CA649" s="1346"/>
      <c r="CB649" s="1346"/>
      <c r="CC649" s="1346">
        <f t="shared" si="31"/>
        <v>0</v>
      </c>
      <c r="CD649" s="1346"/>
      <c r="CE649" s="1346"/>
      <c r="CF649" s="1346"/>
      <c r="CG649" s="1346"/>
      <c r="CH649" s="1346">
        <f t="shared" si="32"/>
        <v>0</v>
      </c>
      <c r="CI649" s="1346"/>
      <c r="CJ649" s="1346"/>
      <c r="CK649" s="1346"/>
      <c r="CL649" s="1346"/>
      <c r="CM649" s="1346">
        <f t="shared" si="33"/>
        <v>0</v>
      </c>
      <c r="CN649" s="1346"/>
      <c r="CO649" s="1346"/>
      <c r="CP649" s="1346"/>
      <c r="CQ649" s="1346"/>
      <c r="CR649" s="6"/>
      <c r="CS649" s="1339">
        <f t="shared" ref="CS649:CS657" si="34">IF(AND(BN649&gt;=1,AH787&gt;=0.1,AH787&lt;=1),O787,0)</f>
        <v>0</v>
      </c>
      <c r="CT649" s="1340"/>
      <c r="CU649" s="1340"/>
      <c r="CV649" s="1340"/>
      <c r="CW649" s="1341"/>
      <c r="CX649" s="1339">
        <f t="shared" ref="CX649:CX657" si="35">IF(AND(BS649&gt;=1,AH787&gt;=0.1,AH787&lt;=1),O787,0)</f>
        <v>0</v>
      </c>
      <c r="CY649" s="1340"/>
      <c r="CZ649" s="1340"/>
      <c r="DA649" s="1340"/>
      <c r="DB649" s="1341"/>
      <c r="DC649" s="1339">
        <f t="shared" ref="DC649:DC657" si="36">IF(AND(BX649&gt;=1,AH787&gt;=0.1,AH787&lt;=1),O787,0)</f>
        <v>0</v>
      </c>
      <c r="DD649" s="1340"/>
      <c r="DE649" s="1340"/>
      <c r="DF649" s="1340"/>
      <c r="DG649" s="1341"/>
      <c r="DH649" s="1339">
        <f t="shared" ref="DH649:DH657" si="37">IF(AND(CC649&gt;=1,AH787&gt;=0.1,AH787&lt;=1),O787,0)</f>
        <v>0</v>
      </c>
      <c r="DI649" s="1340"/>
      <c r="DJ649" s="1340"/>
      <c r="DK649" s="1340"/>
      <c r="DL649" s="1341"/>
      <c r="DM649" s="1339">
        <f t="shared" ref="DM649:DM657" si="38">IF(AND(CH649&gt;=1,AH787&gt;=0.1,AH787&lt;=1),O787,0)</f>
        <v>0</v>
      </c>
      <c r="DN649" s="1340"/>
      <c r="DO649" s="1340"/>
      <c r="DP649" s="1340"/>
      <c r="DQ649" s="1341"/>
      <c r="DR649" s="1339">
        <f t="shared" ref="DR649:DR657" si="39">IF(AND(CM649&gt;=1,AH787&gt;=0.1,AH787&lt;=1),O787,0)</f>
        <v>0</v>
      </c>
      <c r="DS649" s="1340"/>
      <c r="DT649" s="1340"/>
      <c r="DU649" s="1340"/>
      <c r="DV649" s="1341"/>
      <c r="DX649" s="1350" t="e">
        <f t="shared" si="22"/>
        <v>#VALUE!</v>
      </c>
      <c r="DY649" s="1350"/>
      <c r="DZ649" s="1350"/>
      <c r="EA649" s="1350"/>
      <c r="EB649" s="1350"/>
      <c r="EC649" s="1350" t="e">
        <f t="shared" si="23"/>
        <v>#VALUE!</v>
      </c>
      <c r="ED649" s="1350"/>
      <c r="EE649" s="1350"/>
      <c r="EF649" s="1350"/>
      <c r="EG649" s="1350"/>
      <c r="EH649" s="1350" t="e">
        <f t="shared" si="24"/>
        <v>#VALUE!</v>
      </c>
      <c r="EI649" s="1350"/>
      <c r="EJ649" s="1350"/>
      <c r="EK649" s="1350"/>
      <c r="EL649" s="1350"/>
      <c r="EM649" s="1350">
        <f t="shared" si="25"/>
        <v>37.8125</v>
      </c>
      <c r="EN649" s="1350"/>
      <c r="EO649" s="1350"/>
      <c r="EP649" s="1350"/>
      <c r="EQ649" s="1350"/>
      <c r="ER649" s="1350" t="e">
        <f t="shared" si="26"/>
        <v>#VALUE!</v>
      </c>
      <c r="ES649" s="1350"/>
      <c r="ET649" s="1350"/>
      <c r="EU649" s="1350"/>
      <c r="EV649" s="1350"/>
      <c r="EW649" s="1350" t="e">
        <f t="shared" si="27"/>
        <v>#VALUE!</v>
      </c>
      <c r="EX649" s="1350"/>
      <c r="EY649" s="1350"/>
      <c r="EZ649" s="1350"/>
      <c r="FA649" s="1350"/>
    </row>
    <row r="650" spans="1:157" ht="12.75" customHeight="1">
      <c r="B650" s="1578" t="s">
        <v>273</v>
      </c>
      <c r="C650" s="1579"/>
      <c r="D650" s="1579"/>
      <c r="E650" s="1579"/>
      <c r="F650" s="1579"/>
      <c r="G650" s="1579"/>
      <c r="H650" s="1579"/>
      <c r="I650" s="1579"/>
      <c r="J650" s="1579"/>
      <c r="K650" s="1579"/>
      <c r="L650" s="1579"/>
      <c r="M650" s="1579"/>
      <c r="N650" s="1579"/>
      <c r="O650" s="1579"/>
      <c r="P650" s="1579"/>
      <c r="Q650" s="1579"/>
      <c r="R650" s="1579"/>
      <c r="S650" s="1579"/>
      <c r="T650" s="1579"/>
      <c r="U650" s="1579"/>
      <c r="V650" s="1579"/>
      <c r="W650" s="1579"/>
      <c r="X650" s="1579"/>
      <c r="Y650" s="1579"/>
      <c r="Z650" s="1579"/>
      <c r="AA650" s="1579"/>
      <c r="AB650" s="1579"/>
      <c r="AC650" s="1579"/>
      <c r="AD650" s="1579"/>
      <c r="AE650" s="1579"/>
      <c r="AF650" s="1579"/>
      <c r="AG650" s="1579"/>
      <c r="AH650" s="1579"/>
      <c r="AI650" s="1579"/>
      <c r="AJ650" s="1579"/>
      <c r="AK650" s="1579"/>
      <c r="AL650" s="1579"/>
      <c r="AM650" s="1579"/>
      <c r="AN650" s="1580"/>
      <c r="AO650" s="1379">
        <f>19523273+8431439</f>
        <v>27954712</v>
      </c>
      <c r="AP650" s="1380"/>
      <c r="AQ650" s="1380"/>
      <c r="AR650" s="1380"/>
      <c r="AS650" s="1381"/>
      <c r="AZ650" s="34"/>
      <c r="BA650" s="34"/>
      <c r="BB650" s="34"/>
      <c r="BC650" s="34"/>
      <c r="BD650" s="34"/>
      <c r="BE650" s="34"/>
      <c r="BF650" s="34"/>
      <c r="BG650" s="34"/>
      <c r="BH650" s="34"/>
      <c r="BI650" s="34"/>
      <c r="BJ650" s="34"/>
      <c r="BK650" s="34"/>
      <c r="BL650" s="34"/>
      <c r="BM650" s="34"/>
      <c r="BN650" s="1339">
        <f t="shared" si="28"/>
        <v>0</v>
      </c>
      <c r="BO650" s="1340"/>
      <c r="BP650" s="1340"/>
      <c r="BQ650" s="1340"/>
      <c r="BR650" s="1341"/>
      <c r="BS650" s="1346">
        <f t="shared" si="29"/>
        <v>0</v>
      </c>
      <c r="BT650" s="1346"/>
      <c r="BU650" s="1346"/>
      <c r="BV650" s="1346"/>
      <c r="BW650" s="1346"/>
      <c r="BX650" s="1346">
        <f t="shared" si="30"/>
        <v>0</v>
      </c>
      <c r="BY650" s="1346"/>
      <c r="BZ650" s="1346"/>
      <c r="CA650" s="1346"/>
      <c r="CB650" s="1346"/>
      <c r="CC650" s="1346">
        <f t="shared" si="31"/>
        <v>0</v>
      </c>
      <c r="CD650" s="1346"/>
      <c r="CE650" s="1346"/>
      <c r="CF650" s="1346"/>
      <c r="CG650" s="1346"/>
      <c r="CH650" s="1346">
        <f t="shared" si="32"/>
        <v>0</v>
      </c>
      <c r="CI650" s="1346"/>
      <c r="CJ650" s="1346"/>
      <c r="CK650" s="1346"/>
      <c r="CL650" s="1346"/>
      <c r="CM650" s="1346">
        <f t="shared" si="33"/>
        <v>0</v>
      </c>
      <c r="CN650" s="1346"/>
      <c r="CO650" s="1346"/>
      <c r="CP650" s="1346"/>
      <c r="CQ650" s="1346"/>
      <c r="CR650" s="6"/>
      <c r="CS650" s="1339">
        <f t="shared" si="34"/>
        <v>0</v>
      </c>
      <c r="CT650" s="1340"/>
      <c r="CU650" s="1340"/>
      <c r="CV650" s="1340"/>
      <c r="CW650" s="1341"/>
      <c r="CX650" s="1339">
        <f t="shared" si="35"/>
        <v>0</v>
      </c>
      <c r="CY650" s="1340"/>
      <c r="CZ650" s="1340"/>
      <c r="DA650" s="1340"/>
      <c r="DB650" s="1341"/>
      <c r="DC650" s="1339">
        <f t="shared" si="36"/>
        <v>0</v>
      </c>
      <c r="DD650" s="1340"/>
      <c r="DE650" s="1340"/>
      <c r="DF650" s="1340"/>
      <c r="DG650" s="1341"/>
      <c r="DH650" s="1339">
        <f t="shared" si="37"/>
        <v>0</v>
      </c>
      <c r="DI650" s="1340"/>
      <c r="DJ650" s="1340"/>
      <c r="DK650" s="1340"/>
      <c r="DL650" s="1341"/>
      <c r="DM650" s="1339">
        <f t="shared" si="38"/>
        <v>0</v>
      </c>
      <c r="DN650" s="1340"/>
      <c r="DO650" s="1340"/>
      <c r="DP650" s="1340"/>
      <c r="DQ650" s="1341"/>
      <c r="DR650" s="1339">
        <f t="shared" si="39"/>
        <v>0</v>
      </c>
      <c r="DS650" s="1340"/>
      <c r="DT650" s="1340"/>
      <c r="DU650" s="1340"/>
      <c r="DV650" s="1341"/>
      <c r="DX650" s="1350" t="e">
        <f t="shared" si="22"/>
        <v>#VALUE!</v>
      </c>
      <c r="DY650" s="1350"/>
      <c r="DZ650" s="1350"/>
      <c r="EA650" s="1350"/>
      <c r="EB650" s="1350"/>
      <c r="EC650" s="1350" t="e">
        <f t="shared" si="23"/>
        <v>#VALUE!</v>
      </c>
      <c r="ED650" s="1350"/>
      <c r="EE650" s="1350"/>
      <c r="EF650" s="1350"/>
      <c r="EG650" s="1350"/>
      <c r="EH650" s="1350" t="e">
        <f t="shared" si="24"/>
        <v>#VALUE!</v>
      </c>
      <c r="EI650" s="1350"/>
      <c r="EJ650" s="1350"/>
      <c r="EK650" s="1350"/>
      <c r="EL650" s="1350"/>
      <c r="EM650" s="1350" t="e">
        <f t="shared" si="25"/>
        <v>#VALUE!</v>
      </c>
      <c r="EN650" s="1350"/>
      <c r="EO650" s="1350"/>
      <c r="EP650" s="1350"/>
      <c r="EQ650" s="1350"/>
      <c r="ER650" s="1350">
        <f t="shared" si="26"/>
        <v>134.6</v>
      </c>
      <c r="ES650" s="1350"/>
      <c r="ET650" s="1350"/>
      <c r="EU650" s="1350"/>
      <c r="EV650" s="1350"/>
      <c r="EW650" s="1350" t="e">
        <f t="shared" si="27"/>
        <v>#VALUE!</v>
      </c>
      <c r="EX650" s="1350"/>
      <c r="EY650" s="1350"/>
      <c r="EZ650" s="1350"/>
      <c r="FA650" s="1350"/>
    </row>
    <row r="651" spans="1:157" ht="12.75" customHeight="1">
      <c r="B651" s="1734" t="s">
        <v>274</v>
      </c>
      <c r="C651" s="1735"/>
      <c r="D651" s="1735"/>
      <c r="E651" s="1735"/>
      <c r="F651" s="1735"/>
      <c r="G651" s="1735"/>
      <c r="H651" s="1735"/>
      <c r="I651" s="1735"/>
      <c r="J651" s="1735"/>
      <c r="K651" s="1735"/>
      <c r="L651" s="1735"/>
      <c r="M651" s="1735"/>
      <c r="N651" s="1735"/>
      <c r="O651" s="1735"/>
      <c r="P651" s="1735"/>
      <c r="Q651" s="1735"/>
      <c r="R651" s="1735"/>
      <c r="S651" s="1735"/>
      <c r="T651" s="1735"/>
      <c r="U651" s="1735"/>
      <c r="V651" s="1735"/>
      <c r="W651" s="1735"/>
      <c r="X651" s="1735"/>
      <c r="Y651" s="1735"/>
      <c r="Z651" s="1735"/>
      <c r="AA651" s="1735"/>
      <c r="AB651" s="1735"/>
      <c r="AC651" s="1735"/>
      <c r="AD651" s="1735"/>
      <c r="AE651" s="1735"/>
      <c r="AF651" s="1735"/>
      <c r="AG651" s="1735"/>
      <c r="AH651" s="1735"/>
      <c r="AI651" s="1735"/>
      <c r="AJ651" s="1735"/>
      <c r="AK651" s="1735"/>
      <c r="AL651" s="1735"/>
      <c r="AM651" s="1735"/>
      <c r="AN651" s="1736"/>
      <c r="AO651" s="1653">
        <f>AO649+AO650</f>
        <v>48393257</v>
      </c>
      <c r="AP651" s="1654"/>
      <c r="AQ651" s="1654"/>
      <c r="AR651" s="1654"/>
      <c r="AS651" s="1655"/>
      <c r="AZ651" s="34"/>
      <c r="BA651" s="34"/>
      <c r="BB651" s="34"/>
      <c r="BC651" s="34"/>
      <c r="BD651" s="34"/>
      <c r="BE651" s="34"/>
      <c r="BF651" s="34"/>
      <c r="BG651" s="34"/>
      <c r="BH651" s="34"/>
      <c r="BI651" s="34"/>
      <c r="BJ651" s="34"/>
      <c r="BK651" s="34"/>
      <c r="BL651" s="34"/>
      <c r="BM651" s="34"/>
      <c r="BN651" s="1339">
        <f t="shared" si="28"/>
        <v>0</v>
      </c>
      <c r="BO651" s="1340"/>
      <c r="BP651" s="1340"/>
      <c r="BQ651" s="1340"/>
      <c r="BR651" s="1341"/>
      <c r="BS651" s="1346">
        <f t="shared" si="29"/>
        <v>0</v>
      </c>
      <c r="BT651" s="1346"/>
      <c r="BU651" s="1346"/>
      <c r="BV651" s="1346"/>
      <c r="BW651" s="1346"/>
      <c r="BX651" s="1346">
        <f t="shared" si="30"/>
        <v>0</v>
      </c>
      <c r="BY651" s="1346"/>
      <c r="BZ651" s="1346"/>
      <c r="CA651" s="1346"/>
      <c r="CB651" s="1346"/>
      <c r="CC651" s="1346">
        <f t="shared" si="31"/>
        <v>0</v>
      </c>
      <c r="CD651" s="1346"/>
      <c r="CE651" s="1346"/>
      <c r="CF651" s="1346"/>
      <c r="CG651" s="1346"/>
      <c r="CH651" s="1346">
        <f t="shared" si="32"/>
        <v>0</v>
      </c>
      <c r="CI651" s="1346"/>
      <c r="CJ651" s="1346"/>
      <c r="CK651" s="1346"/>
      <c r="CL651" s="1346"/>
      <c r="CM651" s="1346">
        <f t="shared" si="33"/>
        <v>0</v>
      </c>
      <c r="CN651" s="1346"/>
      <c r="CO651" s="1346"/>
      <c r="CP651" s="1346"/>
      <c r="CQ651" s="1346"/>
      <c r="CR651" s="6"/>
      <c r="CS651" s="1339">
        <f t="shared" si="34"/>
        <v>0</v>
      </c>
      <c r="CT651" s="1340"/>
      <c r="CU651" s="1340"/>
      <c r="CV651" s="1340"/>
      <c r="CW651" s="1341"/>
      <c r="CX651" s="1339">
        <f t="shared" si="35"/>
        <v>0</v>
      </c>
      <c r="CY651" s="1340"/>
      <c r="CZ651" s="1340"/>
      <c r="DA651" s="1340"/>
      <c r="DB651" s="1341"/>
      <c r="DC651" s="1339">
        <f t="shared" si="36"/>
        <v>0</v>
      </c>
      <c r="DD651" s="1340"/>
      <c r="DE651" s="1340"/>
      <c r="DF651" s="1340"/>
      <c r="DG651" s="1341"/>
      <c r="DH651" s="1339">
        <f t="shared" si="37"/>
        <v>0</v>
      </c>
      <c r="DI651" s="1340"/>
      <c r="DJ651" s="1340"/>
      <c r="DK651" s="1340"/>
      <c r="DL651" s="1341"/>
      <c r="DM651" s="1339">
        <f t="shared" si="38"/>
        <v>0</v>
      </c>
      <c r="DN651" s="1340"/>
      <c r="DO651" s="1340"/>
      <c r="DP651" s="1340"/>
      <c r="DQ651" s="1341"/>
      <c r="DR651" s="1339">
        <f t="shared" si="39"/>
        <v>0</v>
      </c>
      <c r="DS651" s="1340"/>
      <c r="DT651" s="1340"/>
      <c r="DU651" s="1340"/>
      <c r="DV651" s="1341"/>
      <c r="DX651" s="1350" t="e">
        <f t="shared" si="22"/>
        <v>#VALUE!</v>
      </c>
      <c r="DY651" s="1350"/>
      <c r="DZ651" s="1350"/>
      <c r="EA651" s="1350"/>
      <c r="EB651" s="1350"/>
      <c r="EC651" s="1350" t="e">
        <f t="shared" si="23"/>
        <v>#VALUE!</v>
      </c>
      <c r="ED651" s="1350"/>
      <c r="EE651" s="1350"/>
      <c r="EF651" s="1350"/>
      <c r="EG651" s="1350"/>
      <c r="EH651" s="1350" t="e">
        <f t="shared" si="24"/>
        <v>#VALUE!</v>
      </c>
      <c r="EI651" s="1350"/>
      <c r="EJ651" s="1350"/>
      <c r="EK651" s="1350"/>
      <c r="EL651" s="1350"/>
      <c r="EM651" s="1350" t="e">
        <f t="shared" si="25"/>
        <v>#VALUE!</v>
      </c>
      <c r="EN651" s="1350"/>
      <c r="EO651" s="1350"/>
      <c r="EP651" s="1350"/>
      <c r="EQ651" s="1350"/>
      <c r="ER651" s="1350">
        <f t="shared" si="26"/>
        <v>539.4</v>
      </c>
      <c r="ES651" s="1350"/>
      <c r="ET651" s="1350"/>
      <c r="EU651" s="1350"/>
      <c r="EV651" s="1350"/>
      <c r="EW651" s="1350" t="e">
        <f t="shared" si="27"/>
        <v>#VALUE!</v>
      </c>
      <c r="EX651" s="1350"/>
      <c r="EY651" s="1350"/>
      <c r="EZ651" s="1350"/>
      <c r="FA651" s="1350"/>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9">
        <f t="shared" si="28"/>
        <v>0</v>
      </c>
      <c r="BO652" s="1340"/>
      <c r="BP652" s="1340"/>
      <c r="BQ652" s="1340"/>
      <c r="BR652" s="1341"/>
      <c r="BS652" s="1346">
        <f t="shared" si="29"/>
        <v>0</v>
      </c>
      <c r="BT652" s="1346"/>
      <c r="BU652" s="1346"/>
      <c r="BV652" s="1346"/>
      <c r="BW652" s="1346"/>
      <c r="BX652" s="1346">
        <f t="shared" si="30"/>
        <v>0</v>
      </c>
      <c r="BY652" s="1346"/>
      <c r="BZ652" s="1346"/>
      <c r="CA652" s="1346"/>
      <c r="CB652" s="1346"/>
      <c r="CC652" s="1346">
        <f t="shared" si="31"/>
        <v>0</v>
      </c>
      <c r="CD652" s="1346"/>
      <c r="CE652" s="1346"/>
      <c r="CF652" s="1346"/>
      <c r="CG652" s="1346"/>
      <c r="CH652" s="1346">
        <f t="shared" si="32"/>
        <v>0</v>
      </c>
      <c r="CI652" s="1346"/>
      <c r="CJ652" s="1346"/>
      <c r="CK652" s="1346"/>
      <c r="CL652" s="1346"/>
      <c r="CM652" s="1346">
        <f t="shared" si="33"/>
        <v>0</v>
      </c>
      <c r="CN652" s="1346"/>
      <c r="CO652" s="1346"/>
      <c r="CP652" s="1346"/>
      <c r="CQ652" s="1346"/>
      <c r="CR652" s="6"/>
      <c r="CS652" s="1339">
        <f t="shared" si="34"/>
        <v>0</v>
      </c>
      <c r="CT652" s="1340"/>
      <c r="CU652" s="1340"/>
      <c r="CV652" s="1340"/>
      <c r="CW652" s="1341"/>
      <c r="CX652" s="1339">
        <f t="shared" si="35"/>
        <v>0</v>
      </c>
      <c r="CY652" s="1340"/>
      <c r="CZ652" s="1340"/>
      <c r="DA652" s="1340"/>
      <c r="DB652" s="1341"/>
      <c r="DC652" s="1339">
        <f t="shared" si="36"/>
        <v>0</v>
      </c>
      <c r="DD652" s="1340"/>
      <c r="DE652" s="1340"/>
      <c r="DF652" s="1340"/>
      <c r="DG652" s="1341"/>
      <c r="DH652" s="1339">
        <f t="shared" si="37"/>
        <v>0</v>
      </c>
      <c r="DI652" s="1340"/>
      <c r="DJ652" s="1340"/>
      <c r="DK652" s="1340"/>
      <c r="DL652" s="1341"/>
      <c r="DM652" s="1339">
        <f t="shared" si="38"/>
        <v>0</v>
      </c>
      <c r="DN652" s="1340"/>
      <c r="DO652" s="1340"/>
      <c r="DP652" s="1340"/>
      <c r="DQ652" s="1341"/>
      <c r="DR652" s="1339">
        <f t="shared" si="39"/>
        <v>0</v>
      </c>
      <c r="DS652" s="1340"/>
      <c r="DT652" s="1340"/>
      <c r="DU652" s="1340"/>
      <c r="DV652" s="1341"/>
      <c r="DX652" s="1350" t="e">
        <f t="shared" si="22"/>
        <v>#VALUE!</v>
      </c>
      <c r="DY652" s="1350"/>
      <c r="DZ652" s="1350"/>
      <c r="EA652" s="1350"/>
      <c r="EB652" s="1350"/>
      <c r="EC652" s="1350" t="e">
        <f t="shared" si="23"/>
        <v>#VALUE!</v>
      </c>
      <c r="ED652" s="1350"/>
      <c r="EE652" s="1350"/>
      <c r="EF652" s="1350"/>
      <c r="EG652" s="1350"/>
      <c r="EH652" s="1350" t="e">
        <f t="shared" si="24"/>
        <v>#VALUE!</v>
      </c>
      <c r="EI652" s="1350"/>
      <c r="EJ652" s="1350"/>
      <c r="EK652" s="1350"/>
      <c r="EL652" s="1350"/>
      <c r="EM652" s="1350" t="e">
        <f t="shared" si="25"/>
        <v>#VALUE!</v>
      </c>
      <c r="EN652" s="1350"/>
      <c r="EO652" s="1350"/>
      <c r="EP652" s="1350"/>
      <c r="EQ652" s="1350"/>
      <c r="ER652" s="1350">
        <f t="shared" si="26"/>
        <v>112.5</v>
      </c>
      <c r="ES652" s="1350"/>
      <c r="ET652" s="1350"/>
      <c r="EU652" s="1350"/>
      <c r="EV652" s="1350"/>
      <c r="EW652" s="1350" t="e">
        <f t="shared" si="27"/>
        <v>#VALUE!</v>
      </c>
      <c r="EX652" s="1350"/>
      <c r="EY652" s="1350"/>
      <c r="EZ652" s="1350"/>
      <c r="FA652" s="1350"/>
    </row>
    <row r="653" spans="1:157" ht="12.75">
      <c r="A653" s="55" t="s">
        <v>117</v>
      </c>
      <c r="B653" t="s">
        <v>489</v>
      </c>
      <c r="G653" s="1342" t="str">
        <f>C637</f>
        <v>Pacific Western Bank Perm Loan</v>
      </c>
      <c r="H653" s="1342"/>
      <c r="I653" s="1342"/>
      <c r="J653" s="1342"/>
      <c r="K653" s="1342"/>
      <c r="L653" s="1342"/>
      <c r="M653" s="1342"/>
      <c r="N653" s="1342"/>
      <c r="O653" s="1342"/>
      <c r="P653" s="1342"/>
      <c r="Q653" s="1342"/>
      <c r="R653" s="1342"/>
      <c r="S653" s="8"/>
      <c r="T653" s="55" t="s">
        <v>118</v>
      </c>
      <c r="U653" t="s">
        <v>489</v>
      </c>
      <c r="Z653" s="1342" t="str">
        <f>C638</f>
        <v>City of Chico - CDBG-DR Funds</v>
      </c>
      <c r="AA653" s="1342"/>
      <c r="AB653" s="1342"/>
      <c r="AC653" s="1342"/>
      <c r="AD653" s="1342"/>
      <c r="AE653" s="1342"/>
      <c r="AF653" s="1342"/>
      <c r="AG653" s="1342"/>
      <c r="AH653" s="1342"/>
      <c r="AI653" s="1342"/>
      <c r="AJ653" s="1342"/>
      <c r="AK653" s="1342"/>
      <c r="AZ653" s="34"/>
      <c r="BA653" s="34"/>
      <c r="BB653" s="34"/>
      <c r="BC653" s="34"/>
      <c r="BD653" s="34"/>
      <c r="BE653" s="34"/>
      <c r="BF653" s="34"/>
      <c r="BG653" s="34"/>
      <c r="BH653" s="34"/>
      <c r="BI653" s="34"/>
      <c r="BJ653" s="34"/>
      <c r="BK653" s="34"/>
      <c r="BL653" s="34"/>
      <c r="BM653" s="34"/>
      <c r="BN653" s="1339">
        <f t="shared" si="28"/>
        <v>0</v>
      </c>
      <c r="BO653" s="1340"/>
      <c r="BP653" s="1340"/>
      <c r="BQ653" s="1340"/>
      <c r="BR653" s="1341"/>
      <c r="BS653" s="1346">
        <f t="shared" si="29"/>
        <v>0</v>
      </c>
      <c r="BT653" s="1346"/>
      <c r="BU653" s="1346"/>
      <c r="BV653" s="1346"/>
      <c r="BW653" s="1346"/>
      <c r="BX653" s="1346">
        <f t="shared" si="30"/>
        <v>0</v>
      </c>
      <c r="BY653" s="1346"/>
      <c r="BZ653" s="1346"/>
      <c r="CA653" s="1346"/>
      <c r="CB653" s="1346"/>
      <c r="CC653" s="1346">
        <f t="shared" si="31"/>
        <v>0</v>
      </c>
      <c r="CD653" s="1346"/>
      <c r="CE653" s="1346"/>
      <c r="CF653" s="1346"/>
      <c r="CG653" s="1346"/>
      <c r="CH653" s="1346">
        <f t="shared" si="32"/>
        <v>0</v>
      </c>
      <c r="CI653" s="1346"/>
      <c r="CJ653" s="1346"/>
      <c r="CK653" s="1346"/>
      <c r="CL653" s="1346"/>
      <c r="CM653" s="1346">
        <f t="shared" si="33"/>
        <v>0</v>
      </c>
      <c r="CN653" s="1346"/>
      <c r="CO653" s="1346"/>
      <c r="CP653" s="1346"/>
      <c r="CQ653" s="1346"/>
      <c r="CR653" s="6"/>
      <c r="CS653" s="1339">
        <f t="shared" si="34"/>
        <v>0</v>
      </c>
      <c r="CT653" s="1340"/>
      <c r="CU653" s="1340"/>
      <c r="CV653" s="1340"/>
      <c r="CW653" s="1341"/>
      <c r="CX653" s="1339">
        <f t="shared" si="35"/>
        <v>0</v>
      </c>
      <c r="CY653" s="1340"/>
      <c r="CZ653" s="1340"/>
      <c r="DA653" s="1340"/>
      <c r="DB653" s="1341"/>
      <c r="DC653" s="1339">
        <f t="shared" si="36"/>
        <v>0</v>
      </c>
      <c r="DD653" s="1340"/>
      <c r="DE653" s="1340"/>
      <c r="DF653" s="1340"/>
      <c r="DG653" s="1341"/>
      <c r="DH653" s="1339">
        <f t="shared" si="37"/>
        <v>0</v>
      </c>
      <c r="DI653" s="1340"/>
      <c r="DJ653" s="1340"/>
      <c r="DK653" s="1340"/>
      <c r="DL653" s="1341"/>
      <c r="DM653" s="1339">
        <f t="shared" si="38"/>
        <v>0</v>
      </c>
      <c r="DN653" s="1340"/>
      <c r="DO653" s="1340"/>
      <c r="DP653" s="1340"/>
      <c r="DQ653" s="1341"/>
      <c r="DR653" s="1339">
        <f t="shared" si="39"/>
        <v>0</v>
      </c>
      <c r="DS653" s="1340"/>
      <c r="DT653" s="1340"/>
      <c r="DU653" s="1340"/>
      <c r="DV653" s="1341"/>
      <c r="DX653" s="1350" t="e">
        <f t="shared" si="22"/>
        <v>#VALUE!</v>
      </c>
      <c r="DY653" s="1350"/>
      <c r="DZ653" s="1350"/>
      <c r="EA653" s="1350"/>
      <c r="EB653" s="1350"/>
      <c r="EC653" s="1350" t="e">
        <f t="shared" si="23"/>
        <v>#VALUE!</v>
      </c>
      <c r="ED653" s="1350"/>
      <c r="EE653" s="1350"/>
      <c r="EF653" s="1350"/>
      <c r="EG653" s="1350"/>
      <c r="EH653" s="1350" t="e">
        <f t="shared" si="24"/>
        <v>#VALUE!</v>
      </c>
      <c r="EI653" s="1350"/>
      <c r="EJ653" s="1350"/>
      <c r="EK653" s="1350"/>
      <c r="EL653" s="1350"/>
      <c r="EM653" s="1350" t="e">
        <f t="shared" si="25"/>
        <v>#VALUE!</v>
      </c>
      <c r="EN653" s="1350"/>
      <c r="EO653" s="1350"/>
      <c r="EP653" s="1350"/>
      <c r="EQ653" s="1350"/>
      <c r="ER653" s="1350">
        <f t="shared" si="26"/>
        <v>135.1</v>
      </c>
      <c r="ES653" s="1350"/>
      <c r="ET653" s="1350"/>
      <c r="EU653" s="1350"/>
      <c r="EV653" s="1350"/>
      <c r="EW653" s="1350" t="e">
        <f t="shared" si="27"/>
        <v>#VALUE!</v>
      </c>
      <c r="EX653" s="1350"/>
      <c r="EY653" s="1350"/>
      <c r="EZ653" s="1350"/>
      <c r="FA653" s="1350"/>
    </row>
    <row r="654" spans="1:157" ht="12.75">
      <c r="A654" s="22"/>
      <c r="B654" t="s">
        <v>90</v>
      </c>
      <c r="G654" s="1352" t="s">
        <v>2690</v>
      </c>
      <c r="H654" s="1352"/>
      <c r="I654" s="1352"/>
      <c r="J654" s="1352"/>
      <c r="K654" s="1352"/>
      <c r="L654" s="1352"/>
      <c r="M654" s="1352"/>
      <c r="N654" s="1352"/>
      <c r="O654" s="1352"/>
      <c r="P654" s="1352"/>
      <c r="Q654" s="1352"/>
      <c r="R654" s="1352"/>
      <c r="S654" s="8"/>
      <c r="T654" s="22"/>
      <c r="U654" t="s">
        <v>90</v>
      </c>
      <c r="Z654" s="1382" t="s">
        <v>2695</v>
      </c>
      <c r="AA654" s="1382"/>
      <c r="AB654" s="1382"/>
      <c r="AC654" s="1382"/>
      <c r="AD654" s="1382"/>
      <c r="AE654" s="1382"/>
      <c r="AF654" s="1382"/>
      <c r="AG654" s="1382"/>
      <c r="AH654" s="1382"/>
      <c r="AI654" s="1382"/>
      <c r="AJ654" s="1382"/>
      <c r="AK654" s="1382"/>
      <c r="AZ654" s="34"/>
      <c r="BA654" s="34"/>
      <c r="BB654" s="34"/>
      <c r="BC654" s="34"/>
      <c r="BD654" s="34"/>
      <c r="BE654" s="34"/>
      <c r="BF654" s="34"/>
      <c r="BG654" s="34"/>
      <c r="BH654" s="34"/>
      <c r="BI654" s="34"/>
      <c r="BJ654" s="34"/>
      <c r="BK654" s="34"/>
      <c r="BL654" s="34"/>
      <c r="BM654" s="34"/>
      <c r="BN654" s="1339">
        <f t="shared" si="28"/>
        <v>0</v>
      </c>
      <c r="BO654" s="1340"/>
      <c r="BP654" s="1340"/>
      <c r="BQ654" s="1340"/>
      <c r="BR654" s="1341"/>
      <c r="BS654" s="1346">
        <f t="shared" si="29"/>
        <v>0</v>
      </c>
      <c r="BT654" s="1346"/>
      <c r="BU654" s="1346"/>
      <c r="BV654" s="1346"/>
      <c r="BW654" s="1346"/>
      <c r="BX654" s="1346">
        <f t="shared" si="30"/>
        <v>0</v>
      </c>
      <c r="BY654" s="1346"/>
      <c r="BZ654" s="1346"/>
      <c r="CA654" s="1346"/>
      <c r="CB654" s="1346"/>
      <c r="CC654" s="1346">
        <f t="shared" si="31"/>
        <v>0</v>
      </c>
      <c r="CD654" s="1346"/>
      <c r="CE654" s="1346"/>
      <c r="CF654" s="1346"/>
      <c r="CG654" s="1346"/>
      <c r="CH654" s="1346">
        <f t="shared" si="32"/>
        <v>0</v>
      </c>
      <c r="CI654" s="1346"/>
      <c r="CJ654" s="1346"/>
      <c r="CK654" s="1346"/>
      <c r="CL654" s="1346"/>
      <c r="CM654" s="1346">
        <f t="shared" si="33"/>
        <v>0</v>
      </c>
      <c r="CN654" s="1346"/>
      <c r="CO654" s="1346"/>
      <c r="CP654" s="1346"/>
      <c r="CQ654" s="1346"/>
      <c r="CR654" s="6"/>
      <c r="CS654" s="1339">
        <f t="shared" si="34"/>
        <v>0</v>
      </c>
      <c r="CT654" s="1340"/>
      <c r="CU654" s="1340"/>
      <c r="CV654" s="1340"/>
      <c r="CW654" s="1341"/>
      <c r="CX654" s="1339">
        <f t="shared" si="35"/>
        <v>0</v>
      </c>
      <c r="CY654" s="1340"/>
      <c r="CZ654" s="1340"/>
      <c r="DA654" s="1340"/>
      <c r="DB654" s="1341"/>
      <c r="DC654" s="1339">
        <f t="shared" si="36"/>
        <v>0</v>
      </c>
      <c r="DD654" s="1340"/>
      <c r="DE654" s="1340"/>
      <c r="DF654" s="1340"/>
      <c r="DG654" s="1341"/>
      <c r="DH654" s="1339">
        <f t="shared" si="37"/>
        <v>0</v>
      </c>
      <c r="DI654" s="1340"/>
      <c r="DJ654" s="1340"/>
      <c r="DK654" s="1340"/>
      <c r="DL654" s="1341"/>
      <c r="DM654" s="1339">
        <f t="shared" si="38"/>
        <v>0</v>
      </c>
      <c r="DN654" s="1340"/>
      <c r="DO654" s="1340"/>
      <c r="DP654" s="1340"/>
      <c r="DQ654" s="1341"/>
      <c r="DR654" s="1339">
        <f t="shared" si="39"/>
        <v>0</v>
      </c>
      <c r="DS654" s="1340"/>
      <c r="DT654" s="1340"/>
      <c r="DU654" s="1340"/>
      <c r="DV654" s="1341"/>
      <c r="DX654" s="1350" t="e">
        <f t="shared" si="22"/>
        <v>#VALUE!</v>
      </c>
      <c r="DY654" s="1350"/>
      <c r="DZ654" s="1350"/>
      <c r="EA654" s="1350"/>
      <c r="EB654" s="1350"/>
      <c r="EC654" s="1350" t="e">
        <f t="shared" si="23"/>
        <v>#VALUE!</v>
      </c>
      <c r="ED654" s="1350"/>
      <c r="EE654" s="1350"/>
      <c r="EF654" s="1350"/>
      <c r="EG654" s="1350"/>
      <c r="EH654" s="1350" t="e">
        <f t="shared" si="24"/>
        <v>#VALUE!</v>
      </c>
      <c r="EI654" s="1350"/>
      <c r="EJ654" s="1350"/>
      <c r="EK654" s="1350"/>
      <c r="EL654" s="1350"/>
      <c r="EM654" s="1350" t="e">
        <f t="shared" si="25"/>
        <v>#VALUE!</v>
      </c>
      <c r="EN654" s="1350"/>
      <c r="EO654" s="1350"/>
      <c r="EP654" s="1350"/>
      <c r="EQ654" s="1350"/>
      <c r="ER654" s="1350" t="e">
        <f t="shared" si="26"/>
        <v>#VALUE!</v>
      </c>
      <c r="ES654" s="1350"/>
      <c r="ET654" s="1350"/>
      <c r="EU654" s="1350"/>
      <c r="EV654" s="1350"/>
      <c r="EW654" s="1350" t="e">
        <f t="shared" si="27"/>
        <v>#VALUE!</v>
      </c>
      <c r="EX654" s="1350"/>
      <c r="EY654" s="1350"/>
      <c r="EZ654" s="1350"/>
      <c r="FA654" s="1350"/>
    </row>
    <row r="655" spans="1:157" ht="12.75">
      <c r="A655" s="22"/>
      <c r="B655" t="s">
        <v>607</v>
      </c>
      <c r="G655" s="1352" t="s">
        <v>2691</v>
      </c>
      <c r="H655" s="1352"/>
      <c r="I655" s="1352"/>
      <c r="J655" s="1352"/>
      <c r="K655" s="1352"/>
      <c r="L655" s="1352"/>
      <c r="M655" s="1352"/>
      <c r="N655" s="1352"/>
      <c r="O655" s="1352"/>
      <c r="P655" s="1352"/>
      <c r="Q655" s="1352"/>
      <c r="R655" s="1352"/>
      <c r="T655" s="22"/>
      <c r="U655" t="s">
        <v>607</v>
      </c>
      <c r="Z655" s="1352" t="s">
        <v>2696</v>
      </c>
      <c r="AA655" s="1352"/>
      <c r="AB655" s="1352"/>
      <c r="AC655" s="1352"/>
      <c r="AD655" s="1352"/>
      <c r="AE655" s="1352"/>
      <c r="AF655" s="1352"/>
      <c r="AG655" s="1352"/>
      <c r="AH655" s="1352"/>
      <c r="AI655" s="1352"/>
      <c r="AJ655" s="1352"/>
      <c r="AK655" s="1352"/>
      <c r="AZ655" s="34"/>
      <c r="BA655" s="34"/>
      <c r="BB655" s="34"/>
      <c r="BC655" s="34"/>
      <c r="BD655" s="34"/>
      <c r="BE655" s="34"/>
      <c r="BF655" s="34"/>
      <c r="BG655" s="34"/>
      <c r="BH655" s="34"/>
      <c r="BI655" s="34"/>
      <c r="BJ655" s="34"/>
      <c r="BK655" s="34"/>
      <c r="BL655" s="34"/>
      <c r="BM655" s="34"/>
      <c r="BN655" s="1339">
        <f t="shared" si="28"/>
        <v>0</v>
      </c>
      <c r="BO655" s="1340"/>
      <c r="BP655" s="1340"/>
      <c r="BQ655" s="1340"/>
      <c r="BR655" s="1341"/>
      <c r="BS655" s="1346">
        <f t="shared" si="29"/>
        <v>0</v>
      </c>
      <c r="BT655" s="1346"/>
      <c r="BU655" s="1346"/>
      <c r="BV655" s="1346"/>
      <c r="BW655" s="1346"/>
      <c r="BX655" s="1346">
        <f t="shared" si="30"/>
        <v>0</v>
      </c>
      <c r="BY655" s="1346"/>
      <c r="BZ655" s="1346"/>
      <c r="CA655" s="1346"/>
      <c r="CB655" s="1346"/>
      <c r="CC655" s="1346">
        <f t="shared" si="31"/>
        <v>0</v>
      </c>
      <c r="CD655" s="1346"/>
      <c r="CE655" s="1346"/>
      <c r="CF655" s="1346"/>
      <c r="CG655" s="1346"/>
      <c r="CH655" s="1346">
        <f t="shared" si="32"/>
        <v>0</v>
      </c>
      <c r="CI655" s="1346"/>
      <c r="CJ655" s="1346"/>
      <c r="CK655" s="1346"/>
      <c r="CL655" s="1346"/>
      <c r="CM655" s="1346">
        <f t="shared" si="33"/>
        <v>0</v>
      </c>
      <c r="CN655" s="1346"/>
      <c r="CO655" s="1346"/>
      <c r="CP655" s="1346"/>
      <c r="CQ655" s="1346"/>
      <c r="CR655" s="6"/>
      <c r="CS655" s="1339">
        <f t="shared" si="34"/>
        <v>0</v>
      </c>
      <c r="CT655" s="1340"/>
      <c r="CU655" s="1340"/>
      <c r="CV655" s="1340"/>
      <c r="CW655" s="1341"/>
      <c r="CX655" s="1339">
        <f t="shared" si="35"/>
        <v>0</v>
      </c>
      <c r="CY655" s="1340"/>
      <c r="CZ655" s="1340"/>
      <c r="DA655" s="1340"/>
      <c r="DB655" s="1341"/>
      <c r="DC655" s="1339">
        <f t="shared" si="36"/>
        <v>0</v>
      </c>
      <c r="DD655" s="1340"/>
      <c r="DE655" s="1340"/>
      <c r="DF655" s="1340"/>
      <c r="DG655" s="1341"/>
      <c r="DH655" s="1339">
        <f t="shared" si="37"/>
        <v>0</v>
      </c>
      <c r="DI655" s="1340"/>
      <c r="DJ655" s="1340"/>
      <c r="DK655" s="1340"/>
      <c r="DL655" s="1341"/>
      <c r="DM655" s="1339">
        <f t="shared" si="38"/>
        <v>0</v>
      </c>
      <c r="DN655" s="1340"/>
      <c r="DO655" s="1340"/>
      <c r="DP655" s="1340"/>
      <c r="DQ655" s="1341"/>
      <c r="DR655" s="1339">
        <f t="shared" si="39"/>
        <v>0</v>
      </c>
      <c r="DS655" s="1340"/>
      <c r="DT655" s="1340"/>
      <c r="DU655" s="1340"/>
      <c r="DV655" s="1341"/>
      <c r="DX655" s="1350" t="e">
        <f t="shared" si="22"/>
        <v>#VALUE!</v>
      </c>
      <c r="DY655" s="1350"/>
      <c r="DZ655" s="1350"/>
      <c r="EA655" s="1350"/>
      <c r="EB655" s="1350"/>
      <c r="EC655" s="1350" t="e">
        <f t="shared" si="23"/>
        <v>#VALUE!</v>
      </c>
      <c r="ED655" s="1350"/>
      <c r="EE655" s="1350"/>
      <c r="EF655" s="1350"/>
      <c r="EG655" s="1350"/>
      <c r="EH655" s="1350" t="e">
        <f t="shared" si="24"/>
        <v>#VALUE!</v>
      </c>
      <c r="EI655" s="1350"/>
      <c r="EJ655" s="1350"/>
      <c r="EK655" s="1350"/>
      <c r="EL655" s="1350"/>
      <c r="EM655" s="1350" t="e">
        <f t="shared" si="25"/>
        <v>#VALUE!</v>
      </c>
      <c r="EN655" s="1350"/>
      <c r="EO655" s="1350"/>
      <c r="EP655" s="1350"/>
      <c r="EQ655" s="1350"/>
      <c r="ER655" s="1350" t="e">
        <f t="shared" si="26"/>
        <v>#VALUE!</v>
      </c>
      <c r="ES655" s="1350"/>
      <c r="ET655" s="1350"/>
      <c r="EU655" s="1350"/>
      <c r="EV655" s="1350"/>
      <c r="EW655" s="1350" t="e">
        <f t="shared" si="27"/>
        <v>#VALUE!</v>
      </c>
      <c r="EX655" s="1350"/>
      <c r="EY655" s="1350"/>
      <c r="EZ655" s="1350"/>
      <c r="FA655" s="1350"/>
    </row>
    <row r="656" spans="1:157" ht="12.75">
      <c r="A656" s="22"/>
      <c r="B656" t="s">
        <v>17</v>
      </c>
      <c r="G656" s="1352" t="s">
        <v>2692</v>
      </c>
      <c r="H656" s="1352"/>
      <c r="I656" s="1352"/>
      <c r="J656" s="1352"/>
      <c r="K656" s="1352"/>
      <c r="L656" s="1352"/>
      <c r="M656" s="1352"/>
      <c r="N656" s="1352"/>
      <c r="O656" s="1352"/>
      <c r="P656" s="1352"/>
      <c r="Q656" s="1352"/>
      <c r="R656" s="1352"/>
      <c r="S656" s="8"/>
      <c r="T656" s="22"/>
      <c r="U656" t="s">
        <v>17</v>
      </c>
      <c r="Z656" s="1352" t="s">
        <v>2697</v>
      </c>
      <c r="AA656" s="1352"/>
      <c r="AB656" s="1352"/>
      <c r="AC656" s="1352"/>
      <c r="AD656" s="1352"/>
      <c r="AE656" s="1352"/>
      <c r="AF656" s="1352"/>
      <c r="AG656" s="1352"/>
      <c r="AH656" s="1352"/>
      <c r="AI656" s="1352"/>
      <c r="AJ656" s="1352"/>
      <c r="AK656" s="1352"/>
      <c r="AZ656" s="34"/>
      <c r="BA656" s="34"/>
      <c r="BB656" s="34"/>
      <c r="BC656" s="34"/>
      <c r="BD656" s="34"/>
      <c r="BE656" s="34"/>
      <c r="BF656" s="34"/>
      <c r="BG656" s="34"/>
      <c r="BH656" s="34"/>
      <c r="BI656" s="34"/>
      <c r="BJ656" s="34"/>
      <c r="BK656" s="34"/>
      <c r="BL656" s="34"/>
      <c r="BM656" s="34"/>
      <c r="BN656" s="1339">
        <f t="shared" si="28"/>
        <v>0</v>
      </c>
      <c r="BO656" s="1340"/>
      <c r="BP656" s="1340"/>
      <c r="BQ656" s="1340"/>
      <c r="BR656" s="1341"/>
      <c r="BS656" s="1346">
        <f t="shared" si="29"/>
        <v>0</v>
      </c>
      <c r="BT656" s="1346"/>
      <c r="BU656" s="1346"/>
      <c r="BV656" s="1346"/>
      <c r="BW656" s="1346"/>
      <c r="BX656" s="1346">
        <f t="shared" si="30"/>
        <v>0</v>
      </c>
      <c r="BY656" s="1346"/>
      <c r="BZ656" s="1346"/>
      <c r="CA656" s="1346"/>
      <c r="CB656" s="1346"/>
      <c r="CC656" s="1346">
        <f t="shared" si="31"/>
        <v>0</v>
      </c>
      <c r="CD656" s="1346"/>
      <c r="CE656" s="1346"/>
      <c r="CF656" s="1346"/>
      <c r="CG656" s="1346"/>
      <c r="CH656" s="1346">
        <f t="shared" si="32"/>
        <v>0</v>
      </c>
      <c r="CI656" s="1346"/>
      <c r="CJ656" s="1346"/>
      <c r="CK656" s="1346"/>
      <c r="CL656" s="1346"/>
      <c r="CM656" s="1346">
        <f t="shared" si="33"/>
        <v>0</v>
      </c>
      <c r="CN656" s="1346"/>
      <c r="CO656" s="1346"/>
      <c r="CP656" s="1346"/>
      <c r="CQ656" s="1346"/>
      <c r="CR656" s="6"/>
      <c r="CS656" s="1339">
        <f t="shared" si="34"/>
        <v>0</v>
      </c>
      <c r="CT656" s="1340"/>
      <c r="CU656" s="1340"/>
      <c r="CV656" s="1340"/>
      <c r="CW656" s="1341"/>
      <c r="CX656" s="1339">
        <f t="shared" si="35"/>
        <v>0</v>
      </c>
      <c r="CY656" s="1340"/>
      <c r="CZ656" s="1340"/>
      <c r="DA656" s="1340"/>
      <c r="DB656" s="1341"/>
      <c r="DC656" s="1339">
        <f t="shared" si="36"/>
        <v>0</v>
      </c>
      <c r="DD656" s="1340"/>
      <c r="DE656" s="1340"/>
      <c r="DF656" s="1340"/>
      <c r="DG656" s="1341"/>
      <c r="DH656" s="1339">
        <f t="shared" si="37"/>
        <v>0</v>
      </c>
      <c r="DI656" s="1340"/>
      <c r="DJ656" s="1340"/>
      <c r="DK656" s="1340"/>
      <c r="DL656" s="1341"/>
      <c r="DM656" s="1339">
        <f t="shared" si="38"/>
        <v>0</v>
      </c>
      <c r="DN656" s="1340"/>
      <c r="DO656" s="1340"/>
      <c r="DP656" s="1340"/>
      <c r="DQ656" s="1341"/>
      <c r="DR656" s="1339">
        <f t="shared" si="39"/>
        <v>0</v>
      </c>
      <c r="DS656" s="1340"/>
      <c r="DT656" s="1340"/>
      <c r="DU656" s="1340"/>
      <c r="DV656" s="1341"/>
      <c r="DX656" s="1350" t="e">
        <f t="shared" si="22"/>
        <v>#VALUE!</v>
      </c>
      <c r="DY656" s="1350"/>
      <c r="DZ656" s="1350"/>
      <c r="EA656" s="1350"/>
      <c r="EB656" s="1350"/>
      <c r="EC656" s="1350" t="e">
        <f t="shared" si="23"/>
        <v>#VALUE!</v>
      </c>
      <c r="ED656" s="1350"/>
      <c r="EE656" s="1350"/>
      <c r="EF656" s="1350"/>
      <c r="EG656" s="1350"/>
      <c r="EH656" s="1350" t="e">
        <f t="shared" si="24"/>
        <v>#VALUE!</v>
      </c>
      <c r="EI656" s="1350"/>
      <c r="EJ656" s="1350"/>
      <c r="EK656" s="1350"/>
      <c r="EL656" s="1350"/>
      <c r="EM656" s="1350" t="e">
        <f t="shared" si="25"/>
        <v>#VALUE!</v>
      </c>
      <c r="EN656" s="1350"/>
      <c r="EO656" s="1350"/>
      <c r="EP656" s="1350"/>
      <c r="EQ656" s="1350"/>
      <c r="ER656" s="1350" t="e">
        <f t="shared" si="26"/>
        <v>#VALUE!</v>
      </c>
      <c r="ES656" s="1350"/>
      <c r="ET656" s="1350"/>
      <c r="EU656" s="1350"/>
      <c r="EV656" s="1350"/>
      <c r="EW656" s="1350" t="e">
        <f t="shared" si="27"/>
        <v>#VALUE!</v>
      </c>
      <c r="EX656" s="1350"/>
      <c r="EY656" s="1350"/>
      <c r="EZ656" s="1350"/>
      <c r="FA656" s="1350"/>
    </row>
    <row r="657" spans="1:157" ht="12.75">
      <c r="A657" s="22"/>
      <c r="B657" t="s">
        <v>322</v>
      </c>
      <c r="G657" s="1629" t="s">
        <v>2693</v>
      </c>
      <c r="H657" s="1629"/>
      <c r="I657" s="1629"/>
      <c r="J657" s="1629"/>
      <c r="K657" s="1629"/>
      <c r="L657" s="1629"/>
      <c r="O657" s="33" t="s">
        <v>212</v>
      </c>
      <c r="P657" s="1351"/>
      <c r="Q657" s="1351"/>
      <c r="R657" s="1351"/>
      <c r="S657" s="10"/>
      <c r="T657" s="22"/>
      <c r="U657" t="s">
        <v>322</v>
      </c>
      <c r="Z657" s="1644" t="s">
        <v>2703</v>
      </c>
      <c r="AA657" s="1629"/>
      <c r="AB657" s="1629"/>
      <c r="AC657" s="1629"/>
      <c r="AD657" s="1629"/>
      <c r="AE657" s="1629"/>
      <c r="AH657" s="33" t="s">
        <v>212</v>
      </c>
      <c r="AI657" s="1351"/>
      <c r="AJ657" s="1351"/>
      <c r="AK657" s="1351"/>
      <c r="AZ657" s="34"/>
      <c r="BA657" s="34"/>
      <c r="BB657" s="34"/>
      <c r="BC657" s="34"/>
      <c r="BD657" s="34"/>
      <c r="BE657" s="34"/>
      <c r="BF657" s="34"/>
      <c r="BG657" s="34"/>
      <c r="BH657" s="34"/>
      <c r="BI657" s="34"/>
      <c r="BJ657" s="34"/>
      <c r="BK657" s="34"/>
      <c r="BL657" s="34"/>
      <c r="BM657" s="34"/>
      <c r="BN657" s="1339">
        <f t="shared" si="28"/>
        <v>0</v>
      </c>
      <c r="BO657" s="1340"/>
      <c r="BP657" s="1340"/>
      <c r="BQ657" s="1340"/>
      <c r="BR657" s="1341"/>
      <c r="BS657" s="1346">
        <f t="shared" si="29"/>
        <v>0</v>
      </c>
      <c r="BT657" s="1346"/>
      <c r="BU657" s="1346"/>
      <c r="BV657" s="1346"/>
      <c r="BW657" s="1346"/>
      <c r="BX657" s="1346">
        <f t="shared" si="30"/>
        <v>0</v>
      </c>
      <c r="BY657" s="1346"/>
      <c r="BZ657" s="1346"/>
      <c r="CA657" s="1346"/>
      <c r="CB657" s="1346"/>
      <c r="CC657" s="1346">
        <f t="shared" si="31"/>
        <v>0</v>
      </c>
      <c r="CD657" s="1346"/>
      <c r="CE657" s="1346"/>
      <c r="CF657" s="1346"/>
      <c r="CG657" s="1346"/>
      <c r="CH657" s="1346">
        <f t="shared" si="32"/>
        <v>0</v>
      </c>
      <c r="CI657" s="1346"/>
      <c r="CJ657" s="1346"/>
      <c r="CK657" s="1346"/>
      <c r="CL657" s="1346"/>
      <c r="CM657" s="1346">
        <f t="shared" si="33"/>
        <v>0</v>
      </c>
      <c r="CN657" s="1346"/>
      <c r="CO657" s="1346"/>
      <c r="CP657" s="1346"/>
      <c r="CQ657" s="1346"/>
      <c r="CR657" s="6"/>
      <c r="CS657" s="1339">
        <f t="shared" si="34"/>
        <v>0</v>
      </c>
      <c r="CT657" s="1340"/>
      <c r="CU657" s="1340"/>
      <c r="CV657" s="1340"/>
      <c r="CW657" s="1341"/>
      <c r="CX657" s="1339">
        <f t="shared" si="35"/>
        <v>0</v>
      </c>
      <c r="CY657" s="1340"/>
      <c r="CZ657" s="1340"/>
      <c r="DA657" s="1340"/>
      <c r="DB657" s="1341"/>
      <c r="DC657" s="1339">
        <f t="shared" si="36"/>
        <v>0</v>
      </c>
      <c r="DD657" s="1340"/>
      <c r="DE657" s="1340"/>
      <c r="DF657" s="1340"/>
      <c r="DG657" s="1341"/>
      <c r="DH657" s="1339">
        <f t="shared" si="37"/>
        <v>0</v>
      </c>
      <c r="DI657" s="1340"/>
      <c r="DJ657" s="1340"/>
      <c r="DK657" s="1340"/>
      <c r="DL657" s="1341"/>
      <c r="DM657" s="1339">
        <f t="shared" si="38"/>
        <v>0</v>
      </c>
      <c r="DN657" s="1340"/>
      <c r="DO657" s="1340"/>
      <c r="DP657" s="1340"/>
      <c r="DQ657" s="1341"/>
      <c r="DR657" s="1339">
        <f t="shared" si="39"/>
        <v>0</v>
      </c>
      <c r="DS657" s="1340"/>
      <c r="DT657" s="1340"/>
      <c r="DU657" s="1340"/>
      <c r="DV657" s="1341"/>
      <c r="DX657" s="1350" t="e">
        <f t="shared" si="22"/>
        <v>#VALUE!</v>
      </c>
      <c r="DY657" s="1350"/>
      <c r="DZ657" s="1350"/>
      <c r="EA657" s="1350"/>
      <c r="EB657" s="1350"/>
      <c r="EC657" s="1350" t="e">
        <f t="shared" si="23"/>
        <v>#VALUE!</v>
      </c>
      <c r="ED657" s="1350"/>
      <c r="EE657" s="1350"/>
      <c r="EF657" s="1350"/>
      <c r="EG657" s="1350"/>
      <c r="EH657" s="1350" t="e">
        <f t="shared" si="24"/>
        <v>#VALUE!</v>
      </c>
      <c r="EI657" s="1350"/>
      <c r="EJ657" s="1350"/>
      <c r="EK657" s="1350"/>
      <c r="EL657" s="1350"/>
      <c r="EM657" s="1350" t="e">
        <f t="shared" si="25"/>
        <v>#VALUE!</v>
      </c>
      <c r="EN657" s="1350"/>
      <c r="EO657" s="1350"/>
      <c r="EP657" s="1350"/>
      <c r="EQ657" s="1350"/>
      <c r="ER657" s="1350" t="e">
        <f t="shared" si="26"/>
        <v>#VALUE!</v>
      </c>
      <c r="ES657" s="1350"/>
      <c r="ET657" s="1350"/>
      <c r="EU657" s="1350"/>
      <c r="EV657" s="1350"/>
      <c r="EW657" s="1350" t="e">
        <f t="shared" si="27"/>
        <v>#VALUE!</v>
      </c>
      <c r="EX657" s="1350"/>
      <c r="EY657" s="1350"/>
      <c r="EZ657" s="1350"/>
      <c r="FA657" s="1350"/>
    </row>
    <row r="658" spans="1:157" ht="12.75">
      <c r="A658" s="22"/>
      <c r="B658" t="s">
        <v>18</v>
      </c>
      <c r="H658" s="1382" t="s">
        <v>2694</v>
      </c>
      <c r="I658" s="1382"/>
      <c r="J658" s="1382"/>
      <c r="K658" s="1382"/>
      <c r="L658" s="1382"/>
      <c r="M658" s="1382"/>
      <c r="N658" s="1382"/>
      <c r="O658" s="1382"/>
      <c r="P658" s="1382"/>
      <c r="Q658" s="1382"/>
      <c r="R658" s="1382"/>
      <c r="S658" s="8"/>
      <c r="T658" s="22"/>
      <c r="U658" t="s">
        <v>18</v>
      </c>
      <c r="AA658" s="1382" t="s">
        <v>2698</v>
      </c>
      <c r="AB658" s="1382"/>
      <c r="AC658" s="1382"/>
      <c r="AD658" s="1382"/>
      <c r="AE658" s="1382"/>
      <c r="AF658" s="1382"/>
      <c r="AG658" s="1382"/>
      <c r="AH658" s="1382"/>
      <c r="AI658" s="1382"/>
      <c r="AJ658" s="1382"/>
      <c r="AK658" s="1382"/>
      <c r="AZ658" s="34"/>
      <c r="BA658" s="34"/>
      <c r="BB658" s="34"/>
      <c r="BC658" s="34"/>
      <c r="BD658" s="34"/>
      <c r="BE658" s="34"/>
      <c r="BF658" s="34"/>
      <c r="BG658" s="34"/>
      <c r="BH658" s="34"/>
      <c r="BI658" s="34"/>
      <c r="BJ658" s="34"/>
      <c r="BK658" s="34"/>
      <c r="BL658" s="34"/>
      <c r="BM658" s="34"/>
      <c r="BN658" s="1356">
        <f>SUM(BN648:BR657)</f>
        <v>0</v>
      </c>
      <c r="BO658" s="1357"/>
      <c r="BP658" s="1357"/>
      <c r="BQ658" s="1357"/>
      <c r="BR658" s="1358"/>
      <c r="BS658" s="1353">
        <f>SUM(BS648:BW657)</f>
        <v>0</v>
      </c>
      <c r="BT658" s="1354"/>
      <c r="BU658" s="1354"/>
      <c r="BV658" s="1354"/>
      <c r="BW658" s="1355"/>
      <c r="BX658" s="1353">
        <f>SUM(BX648:CB657)</f>
        <v>0</v>
      </c>
      <c r="BY658" s="1354"/>
      <c r="BZ658" s="1354"/>
      <c r="CA658" s="1354"/>
      <c r="CB658" s="1355"/>
      <c r="CC658" s="1353">
        <f>SUM(CC648:CG657)</f>
        <v>0</v>
      </c>
      <c r="CD658" s="1354"/>
      <c r="CE658" s="1354"/>
      <c r="CF658" s="1354"/>
      <c r="CG658" s="1355"/>
      <c r="CH658" s="1353">
        <f>SUM(CH648:CL657)</f>
        <v>0</v>
      </c>
      <c r="CI658" s="1354"/>
      <c r="CJ658" s="1354"/>
      <c r="CK658" s="1354"/>
      <c r="CL658" s="1355"/>
      <c r="CM658" s="1353">
        <f>SUM(CM648:CQ657)</f>
        <v>0</v>
      </c>
      <c r="CN658" s="1354"/>
      <c r="CO658" s="1354"/>
      <c r="CP658" s="1354"/>
      <c r="CQ658" s="1355"/>
      <c r="CR658" s="1052"/>
      <c r="CS658" s="1360">
        <f>SUM(CS648:CW657)</f>
        <v>0</v>
      </c>
      <c r="CT658" s="1360"/>
      <c r="CU658" s="1360"/>
      <c r="CV658" s="1360"/>
      <c r="CW658" s="1360"/>
      <c r="CX658" s="1360">
        <f>SUM(CX648:DB657)</f>
        <v>0</v>
      </c>
      <c r="CY658" s="1360"/>
      <c r="CZ658" s="1360"/>
      <c r="DA658" s="1360"/>
      <c r="DB658" s="1360"/>
      <c r="DC658" s="1360">
        <f>SUM(DC648:DG657)</f>
        <v>0</v>
      </c>
      <c r="DD658" s="1360"/>
      <c r="DE658" s="1360"/>
      <c r="DF658" s="1360"/>
      <c r="DG658" s="1360"/>
      <c r="DH658" s="1360">
        <f>SUM(DH648:DL657)</f>
        <v>0</v>
      </c>
      <c r="DI658" s="1360"/>
      <c r="DJ658" s="1360"/>
      <c r="DK658" s="1360"/>
      <c r="DL658" s="1360"/>
      <c r="DM658" s="1360">
        <f>SUM(DM648:DQ657)</f>
        <v>0</v>
      </c>
      <c r="DN658" s="1360"/>
      <c r="DO658" s="1360"/>
      <c r="DP658" s="1360"/>
      <c r="DQ658" s="1360"/>
      <c r="DR658" s="1360">
        <f>SUM(DR648:DV657)</f>
        <v>0</v>
      </c>
      <c r="DS658" s="1360"/>
      <c r="DT658" s="1360"/>
      <c r="DU658" s="1360"/>
      <c r="DV658" s="1360"/>
      <c r="DX658" s="1350" t="e">
        <f t="shared" si="22"/>
        <v>#VALUE!</v>
      </c>
      <c r="DY658" s="1350"/>
      <c r="DZ658" s="1350"/>
      <c r="EA658" s="1350"/>
      <c r="EB658" s="1350"/>
      <c r="EC658" s="1350" t="e">
        <f t="shared" si="23"/>
        <v>#VALUE!</v>
      </c>
      <c r="ED658" s="1350"/>
      <c r="EE658" s="1350"/>
      <c r="EF658" s="1350"/>
      <c r="EG658" s="1350"/>
      <c r="EH658" s="1350" t="e">
        <f t="shared" si="24"/>
        <v>#VALUE!</v>
      </c>
      <c r="EI658" s="1350"/>
      <c r="EJ658" s="1350"/>
      <c r="EK658" s="1350"/>
      <c r="EL658" s="1350"/>
      <c r="EM658" s="1350" t="e">
        <f t="shared" si="25"/>
        <v>#VALUE!</v>
      </c>
      <c r="EN658" s="1350"/>
      <c r="EO658" s="1350"/>
      <c r="EP658" s="1350"/>
      <c r="EQ658" s="1350"/>
      <c r="ER658" s="1350" t="e">
        <f t="shared" si="26"/>
        <v>#VALUE!</v>
      </c>
      <c r="ES658" s="1350"/>
      <c r="ET658" s="1350"/>
      <c r="EU658" s="1350"/>
      <c r="EV658" s="1350"/>
      <c r="EW658" s="1350" t="e">
        <f t="shared" si="27"/>
        <v>#VALUE!</v>
      </c>
      <c r="EX658" s="1350"/>
      <c r="EY658" s="1350"/>
      <c r="EZ658" s="1350"/>
      <c r="FA658" s="1350"/>
    </row>
    <row r="659" spans="1:157" ht="12.75">
      <c r="A659" s="22"/>
      <c r="B659" t="s">
        <v>20</v>
      </c>
      <c r="N659" s="1359" t="s">
        <v>571</v>
      </c>
      <c r="O659" s="1359"/>
      <c r="T659" s="22"/>
      <c r="U659" t="s">
        <v>20</v>
      </c>
      <c r="AG659" s="1359" t="s">
        <v>571</v>
      </c>
      <c r="AH659" s="1359"/>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50" t="e">
        <f t="shared" si="22"/>
        <v>#VALUE!</v>
      </c>
      <c r="DY659" s="1350"/>
      <c r="DZ659" s="1350"/>
      <c r="EA659" s="1350"/>
      <c r="EB659" s="1350"/>
      <c r="EC659" s="1350" t="e">
        <f t="shared" si="23"/>
        <v>#VALUE!</v>
      </c>
      <c r="ED659" s="1350"/>
      <c r="EE659" s="1350"/>
      <c r="EF659" s="1350"/>
      <c r="EG659" s="1350"/>
      <c r="EH659" s="1350" t="e">
        <f t="shared" si="24"/>
        <v>#VALUE!</v>
      </c>
      <c r="EI659" s="1350"/>
      <c r="EJ659" s="1350"/>
      <c r="EK659" s="1350"/>
      <c r="EL659" s="1350"/>
      <c r="EM659" s="1350" t="e">
        <f t="shared" si="25"/>
        <v>#VALUE!</v>
      </c>
      <c r="EN659" s="1350"/>
      <c r="EO659" s="1350"/>
      <c r="EP659" s="1350"/>
      <c r="EQ659" s="1350"/>
      <c r="ER659" s="1350" t="e">
        <f t="shared" si="26"/>
        <v>#VALUE!</v>
      </c>
      <c r="ES659" s="1350"/>
      <c r="ET659" s="1350"/>
      <c r="EU659" s="1350"/>
      <c r="EV659" s="1350"/>
      <c r="EW659" s="1350" t="e">
        <f t="shared" si="27"/>
        <v>#VALUE!</v>
      </c>
      <c r="EX659" s="1350"/>
      <c r="EY659" s="1350"/>
      <c r="EZ659" s="1350"/>
      <c r="FA659" s="1350"/>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2177</v>
      </c>
      <c r="CU660" s="3"/>
      <c r="CV660" s="3"/>
      <c r="CW660" s="3"/>
      <c r="CX660" s="3"/>
      <c r="CY660" s="3"/>
      <c r="CZ660" s="3"/>
      <c r="DA660" s="3"/>
      <c r="DB660" s="3"/>
      <c r="DC660" s="3"/>
      <c r="DD660" s="3"/>
      <c r="DE660" s="3"/>
      <c r="DF660" s="3"/>
      <c r="DQ660" s="56" t="s">
        <v>2189</v>
      </c>
      <c r="DR660" s="1350">
        <f>SUM(CS658:DV658)</f>
        <v>0</v>
      </c>
      <c r="DS660" s="1350"/>
      <c r="DT660" s="1350"/>
      <c r="DU660" s="1350"/>
      <c r="DV660" s="1350"/>
      <c r="DX660" s="1350" t="e">
        <f t="shared" si="22"/>
        <v>#VALUE!</v>
      </c>
      <c r="DY660" s="1350"/>
      <c r="DZ660" s="1350"/>
      <c r="EA660" s="1350"/>
      <c r="EB660" s="1350"/>
      <c r="EC660" s="1350" t="e">
        <f t="shared" si="23"/>
        <v>#VALUE!</v>
      </c>
      <c r="ED660" s="1350"/>
      <c r="EE660" s="1350"/>
      <c r="EF660" s="1350"/>
      <c r="EG660" s="1350"/>
      <c r="EH660" s="1350" t="e">
        <f t="shared" si="24"/>
        <v>#VALUE!</v>
      </c>
      <c r="EI660" s="1350"/>
      <c r="EJ660" s="1350"/>
      <c r="EK660" s="1350"/>
      <c r="EL660" s="1350"/>
      <c r="EM660" s="1350" t="e">
        <f t="shared" si="25"/>
        <v>#VALUE!</v>
      </c>
      <c r="EN660" s="1350"/>
      <c r="EO660" s="1350"/>
      <c r="EP660" s="1350"/>
      <c r="EQ660" s="1350"/>
      <c r="ER660" s="1350" t="e">
        <f t="shared" si="26"/>
        <v>#VALUE!</v>
      </c>
      <c r="ES660" s="1350"/>
      <c r="ET660" s="1350"/>
      <c r="EU660" s="1350"/>
      <c r="EV660" s="1350"/>
      <c r="EW660" s="1350" t="e">
        <f t="shared" si="27"/>
        <v>#VALUE!</v>
      </c>
      <c r="EX660" s="1350"/>
      <c r="EY660" s="1350"/>
      <c r="EZ660" s="1350"/>
      <c r="FA660" s="1350"/>
    </row>
    <row r="661" spans="1:157" ht="12.75">
      <c r="A661" s="55" t="s">
        <v>124</v>
      </c>
      <c r="B661" t="s">
        <v>489</v>
      </c>
      <c r="G661" s="1342" t="str">
        <f>C639</f>
        <v>Raymond James Solar Tax Credit Equity</v>
      </c>
      <c r="H661" s="1342"/>
      <c r="I661" s="1342"/>
      <c r="J661" s="1342"/>
      <c r="K661" s="1342"/>
      <c r="L661" s="1342"/>
      <c r="M661" s="1342"/>
      <c r="N661" s="1342"/>
      <c r="O661" s="1342"/>
      <c r="P661" s="1342"/>
      <c r="Q661" s="1342"/>
      <c r="R661" s="1342"/>
      <c r="T661" s="55" t="s">
        <v>608</v>
      </c>
      <c r="U661" t="s">
        <v>489</v>
      </c>
      <c r="Z661" s="1342" t="str">
        <f>C640</f>
        <v>Developer Note</v>
      </c>
      <c r="AA661" s="1342"/>
      <c r="AB661" s="1342"/>
      <c r="AC661" s="1342"/>
      <c r="AD661" s="1342"/>
      <c r="AE661" s="1342"/>
      <c r="AF661" s="1342"/>
      <c r="AG661" s="1342"/>
      <c r="AH661" s="1342"/>
      <c r="AI661" s="1342"/>
      <c r="AJ661" s="1342"/>
      <c r="AK661" s="1342"/>
      <c r="AZ661" s="34"/>
      <c r="BA661" s="34"/>
      <c r="BB661" s="34"/>
      <c r="BC661" s="34"/>
      <c r="BD661" s="34"/>
      <c r="BE661" s="34"/>
      <c r="BF661" s="34"/>
      <c r="BG661" s="34"/>
      <c r="BH661" s="34"/>
      <c r="BI661" s="34"/>
      <c r="BJ661" s="34"/>
      <c r="BK661" s="34"/>
      <c r="BL661" s="34"/>
      <c r="BM661" s="34"/>
      <c r="CR661" s="3"/>
      <c r="CS661" s="900">
        <f>BR659+BW659+CB659+CG659+CL659+CQ659</f>
        <v>0</v>
      </c>
      <c r="CT661" s="57" t="s">
        <v>1838</v>
      </c>
      <c r="CU661" s="3"/>
      <c r="CV661" s="3"/>
      <c r="CW661" s="3"/>
      <c r="CX661" s="3"/>
      <c r="CY661" s="3"/>
      <c r="CZ661" s="3"/>
      <c r="DA661" s="3"/>
      <c r="DB661" s="3"/>
      <c r="DC661" s="3"/>
      <c r="DD661" s="3"/>
      <c r="DE661" s="3"/>
      <c r="DF661" s="3"/>
      <c r="DX661" s="1350" t="e">
        <f t="shared" si="22"/>
        <v>#VALUE!</v>
      </c>
      <c r="DY661" s="1350"/>
      <c r="DZ661" s="1350"/>
      <c r="EA661" s="1350"/>
      <c r="EB661" s="1350"/>
      <c r="EC661" s="1350" t="e">
        <f t="shared" si="23"/>
        <v>#VALUE!</v>
      </c>
      <c r="ED661" s="1350"/>
      <c r="EE661" s="1350"/>
      <c r="EF661" s="1350"/>
      <c r="EG661" s="1350"/>
      <c r="EH661" s="1350" t="e">
        <f t="shared" si="24"/>
        <v>#VALUE!</v>
      </c>
      <c r="EI661" s="1350"/>
      <c r="EJ661" s="1350"/>
      <c r="EK661" s="1350"/>
      <c r="EL661" s="1350"/>
      <c r="EM661" s="1350" t="e">
        <f t="shared" si="25"/>
        <v>#VALUE!</v>
      </c>
      <c r="EN661" s="1350"/>
      <c r="EO661" s="1350"/>
      <c r="EP661" s="1350"/>
      <c r="EQ661" s="1350"/>
      <c r="ER661" s="1350" t="e">
        <f t="shared" si="26"/>
        <v>#VALUE!</v>
      </c>
      <c r="ES661" s="1350"/>
      <c r="ET661" s="1350"/>
      <c r="EU661" s="1350"/>
      <c r="EV661" s="1350"/>
      <c r="EW661" s="1350" t="e">
        <f t="shared" si="27"/>
        <v>#VALUE!</v>
      </c>
      <c r="EX661" s="1350"/>
      <c r="EY661" s="1350"/>
      <c r="EZ661" s="1350"/>
      <c r="FA661" s="1350"/>
    </row>
    <row r="662" spans="1:157" ht="12.75">
      <c r="A662" s="22"/>
      <c r="B662" t="s">
        <v>90</v>
      </c>
      <c r="G662" s="1382" t="s">
        <v>2648</v>
      </c>
      <c r="H662" s="1382"/>
      <c r="I662" s="1382"/>
      <c r="J662" s="1382"/>
      <c r="K662" s="1382"/>
      <c r="L662" s="1382"/>
      <c r="M662" s="1382"/>
      <c r="N662" s="1382"/>
      <c r="O662" s="1382"/>
      <c r="P662" s="1382"/>
      <c r="Q662" s="1382"/>
      <c r="R662" s="1382"/>
      <c r="T662" s="22"/>
      <c r="U662" t="s">
        <v>90</v>
      </c>
      <c r="Z662" s="1382" t="s">
        <v>2619</v>
      </c>
      <c r="AA662" s="1382"/>
      <c r="AB662" s="1382"/>
      <c r="AC662" s="1382"/>
      <c r="AD662" s="1382"/>
      <c r="AE662" s="1382"/>
      <c r="AF662" s="1382"/>
      <c r="AG662" s="1382"/>
      <c r="AH662" s="1382"/>
      <c r="AI662" s="1382"/>
      <c r="AJ662" s="1382"/>
      <c r="AK662" s="1382"/>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50" t="e">
        <f t="shared" si="22"/>
        <v>#VALUE!</v>
      </c>
      <c r="DY662" s="1350"/>
      <c r="DZ662" s="1350"/>
      <c r="EA662" s="1350"/>
      <c r="EB662" s="1350"/>
      <c r="EC662" s="1350" t="e">
        <f t="shared" si="23"/>
        <v>#VALUE!</v>
      </c>
      <c r="ED662" s="1350"/>
      <c r="EE662" s="1350"/>
      <c r="EF662" s="1350"/>
      <c r="EG662" s="1350"/>
      <c r="EH662" s="1350" t="e">
        <f t="shared" si="24"/>
        <v>#VALUE!</v>
      </c>
      <c r="EI662" s="1350"/>
      <c r="EJ662" s="1350"/>
      <c r="EK662" s="1350"/>
      <c r="EL662" s="1350"/>
      <c r="EM662" s="1350" t="e">
        <f t="shared" si="25"/>
        <v>#VALUE!</v>
      </c>
      <c r="EN662" s="1350"/>
      <c r="EO662" s="1350"/>
      <c r="EP662" s="1350"/>
      <c r="EQ662" s="1350"/>
      <c r="ER662" s="1350" t="e">
        <f t="shared" si="26"/>
        <v>#VALUE!</v>
      </c>
      <c r="ES662" s="1350"/>
      <c r="ET662" s="1350"/>
      <c r="EU662" s="1350"/>
      <c r="EV662" s="1350"/>
      <c r="EW662" s="1350" t="e">
        <f t="shared" si="27"/>
        <v>#VALUE!</v>
      </c>
      <c r="EX662" s="1350"/>
      <c r="EY662" s="1350"/>
      <c r="EZ662" s="1350"/>
      <c r="FA662" s="1350"/>
    </row>
    <row r="663" spans="1:157" ht="12.75">
      <c r="A663" s="22"/>
      <c r="B663" t="s">
        <v>607</v>
      </c>
      <c r="G663" s="1352" t="s">
        <v>2699</v>
      </c>
      <c r="H663" s="1352"/>
      <c r="I663" s="1352"/>
      <c r="J663" s="1352"/>
      <c r="K663" s="1352"/>
      <c r="L663" s="1352"/>
      <c r="M663" s="1352"/>
      <c r="N663" s="1352"/>
      <c r="O663" s="1352"/>
      <c r="P663" s="1352"/>
      <c r="Q663" s="1352"/>
      <c r="R663" s="1352"/>
      <c r="T663" s="22"/>
      <c r="U663" t="s">
        <v>607</v>
      </c>
      <c r="Z663" s="1352" t="s">
        <v>2627</v>
      </c>
      <c r="AA663" s="1352"/>
      <c r="AB663" s="1352"/>
      <c r="AC663" s="1352"/>
      <c r="AD663" s="1352"/>
      <c r="AE663" s="1352"/>
      <c r="AF663" s="1352"/>
      <c r="AG663" s="1352"/>
      <c r="AH663" s="1352"/>
      <c r="AI663" s="1352"/>
      <c r="AJ663" s="1352"/>
      <c r="AK663" s="1352"/>
      <c r="AZ663" s="34"/>
      <c r="BA663" s="34"/>
      <c r="BB663" s="34"/>
      <c r="BC663" s="34"/>
      <c r="BD663" s="34"/>
      <c r="BE663" s="34"/>
      <c r="BF663" s="34"/>
      <c r="BG663" s="34"/>
      <c r="BH663" s="34"/>
      <c r="BI663" s="34"/>
      <c r="BJ663" s="34"/>
      <c r="BK663" s="34"/>
      <c r="BL663" s="34"/>
      <c r="BM663" s="34"/>
      <c r="BN663" s="1353">
        <f>BN635+BN644+BN658</f>
        <v>0</v>
      </c>
      <c r="BO663" s="1354"/>
      <c r="BP663" s="1354"/>
      <c r="BQ663" s="1354"/>
      <c r="BR663" s="1355"/>
      <c r="BS663" s="1353">
        <f>BS635+BS644+BS658</f>
        <v>8</v>
      </c>
      <c r="BT663" s="1354"/>
      <c r="BU663" s="1354"/>
      <c r="BV663" s="1354"/>
      <c r="BW663" s="1355"/>
      <c r="BX663" s="1353">
        <f>BX635+BX644+BX658</f>
        <v>24</v>
      </c>
      <c r="BY663" s="1354"/>
      <c r="BZ663" s="1354"/>
      <c r="CA663" s="1354"/>
      <c r="CB663" s="1355"/>
      <c r="CC663" s="1353">
        <f>CC635+CC644+CC658</f>
        <v>33</v>
      </c>
      <c r="CD663" s="1354"/>
      <c r="CE663" s="1354"/>
      <c r="CF663" s="1354"/>
      <c r="CG663" s="1355"/>
      <c r="CH663" s="1353">
        <f>CH635+CH644+CH658</f>
        <v>10</v>
      </c>
      <c r="CI663" s="1354"/>
      <c r="CJ663" s="1354"/>
      <c r="CK663" s="1354"/>
      <c r="CL663" s="1355"/>
      <c r="CM663" s="1361">
        <f>CM658+CM644+CM635</f>
        <v>0</v>
      </c>
      <c r="CN663" s="1362"/>
      <c r="CO663" s="1362"/>
      <c r="CP663" s="1362"/>
      <c r="CQ663" s="1363"/>
      <c r="CR663" s="3"/>
      <c r="CS663" s="900">
        <f>CS637+CS661</f>
        <v>192</v>
      </c>
      <c r="CT663" s="57" t="s">
        <v>2182</v>
      </c>
      <c r="CU663" s="3"/>
      <c r="CV663" s="3"/>
      <c r="CW663" s="3"/>
      <c r="CX663" s="3"/>
      <c r="CY663" s="3"/>
      <c r="CZ663" s="3"/>
      <c r="DA663" s="3"/>
      <c r="DB663" s="3"/>
      <c r="DC663" s="3"/>
      <c r="DD663" s="3"/>
      <c r="DE663" s="3"/>
      <c r="DF663" s="3"/>
      <c r="DX663" s="1350">
        <f>SUMIF(DX638:EB662,"&gt;0")</f>
        <v>0</v>
      </c>
      <c r="DY663" s="1350"/>
      <c r="DZ663" s="1350"/>
      <c r="EA663" s="1350"/>
      <c r="EB663" s="1350"/>
      <c r="EC663" s="1350">
        <f>SUMIF(EC638:EG662,"&gt;0")</f>
        <v>579.625</v>
      </c>
      <c r="ED663" s="1350"/>
      <c r="EE663" s="1350"/>
      <c r="EF663" s="1350"/>
      <c r="EG663" s="1350"/>
      <c r="EH663" s="1350">
        <f>SUMIF(EH638:EL662,"&gt;0")</f>
        <v>674.79166666666663</v>
      </c>
      <c r="EI663" s="1350"/>
      <c r="EJ663" s="1350"/>
      <c r="EK663" s="1350"/>
      <c r="EL663" s="1350"/>
      <c r="EM663" s="1350">
        <f>SUMIF(EM638:EQ662,"&gt;0")</f>
        <v>824</v>
      </c>
      <c r="EN663" s="1350"/>
      <c r="EO663" s="1350"/>
      <c r="EP663" s="1350"/>
      <c r="EQ663" s="1350"/>
      <c r="ER663" s="1350">
        <f>SUMIF(ER638:EV662,"&gt;0")</f>
        <v>921.6</v>
      </c>
      <c r="ES663" s="1350"/>
      <c r="ET663" s="1350"/>
      <c r="EU663" s="1350"/>
      <c r="EV663" s="1350"/>
      <c r="EW663" s="1350">
        <f>SUMIF(EW638:FA662,"&gt;0")</f>
        <v>0</v>
      </c>
      <c r="EX663" s="1350"/>
      <c r="EY663" s="1350"/>
      <c r="EZ663" s="1350"/>
      <c r="FA663" s="1350"/>
    </row>
    <row r="664" spans="1:157" ht="12.75">
      <c r="A664" s="22"/>
      <c r="B664" t="s">
        <v>17</v>
      </c>
      <c r="G664" s="1352" t="s">
        <v>2650</v>
      </c>
      <c r="H664" s="1352"/>
      <c r="I664" s="1352"/>
      <c r="J664" s="1352"/>
      <c r="K664" s="1352"/>
      <c r="L664" s="1352"/>
      <c r="M664" s="1352"/>
      <c r="N664" s="1352"/>
      <c r="O664" s="1352"/>
      <c r="P664" s="1352"/>
      <c r="Q664" s="1352"/>
      <c r="R664" s="1352"/>
      <c r="T664" s="22"/>
      <c r="U664" t="s">
        <v>17</v>
      </c>
      <c r="Z664" s="1352" t="s">
        <v>2621</v>
      </c>
      <c r="AA664" s="1352"/>
      <c r="AB664" s="1352"/>
      <c r="AC664" s="1352"/>
      <c r="AD664" s="1352"/>
      <c r="AE664" s="1352"/>
      <c r="AF664" s="1352"/>
      <c r="AG664" s="1352"/>
      <c r="AH664" s="1352"/>
      <c r="AI664" s="1352"/>
      <c r="AJ664" s="1352"/>
      <c r="AK664" s="1352"/>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29" t="s">
        <v>2651</v>
      </c>
      <c r="H665" s="1629"/>
      <c r="I665" s="1629"/>
      <c r="J665" s="1629"/>
      <c r="K665" s="1629"/>
      <c r="L665" s="1629"/>
      <c r="O665" s="33" t="s">
        <v>212</v>
      </c>
      <c r="P665" s="1351"/>
      <c r="Q665" s="1351"/>
      <c r="R665" s="1351"/>
      <c r="T665" s="22"/>
      <c r="U665" t="s">
        <v>322</v>
      </c>
      <c r="Z665" s="1629">
        <v>7078229000</v>
      </c>
      <c r="AA665" s="1629"/>
      <c r="AB665" s="1629"/>
      <c r="AC665" s="1629"/>
      <c r="AD665" s="1629"/>
      <c r="AE665" s="1629"/>
      <c r="AH665" s="33" t="s">
        <v>212</v>
      </c>
      <c r="AI665" s="1351"/>
      <c r="AJ665" s="1351"/>
      <c r="AK665" s="135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82" t="s">
        <v>2700</v>
      </c>
      <c r="I666" s="1382"/>
      <c r="J666" s="1382"/>
      <c r="K666" s="1382"/>
      <c r="L666" s="1382"/>
      <c r="M666" s="1382"/>
      <c r="N666" s="1382"/>
      <c r="O666" s="1382"/>
      <c r="P666" s="1382"/>
      <c r="Q666" s="1382"/>
      <c r="R666" s="1382"/>
      <c r="T666" s="22"/>
      <c r="U666" t="s">
        <v>18</v>
      </c>
      <c r="AA666" s="1382" t="s">
        <v>2682</v>
      </c>
      <c r="AB666" s="1382"/>
      <c r="AC666" s="1382"/>
      <c r="AD666" s="1382"/>
      <c r="AE666" s="1382"/>
      <c r="AF666" s="1382"/>
      <c r="AG666" s="1382"/>
      <c r="AH666" s="1382"/>
      <c r="AI666" s="1382"/>
      <c r="AJ666" s="1382"/>
      <c r="AK666" s="1382"/>
      <c r="AZ666" s="3"/>
      <c r="BA666" s="3"/>
      <c r="BB666" s="3"/>
      <c r="BC666" s="3"/>
      <c r="BD666" s="3"/>
      <c r="BE666" s="3"/>
      <c r="BF666" s="3"/>
      <c r="BG666" s="3"/>
      <c r="BH666" s="3"/>
      <c r="BI666" s="3"/>
      <c r="BJ666" s="3"/>
      <c r="BK666" s="3"/>
      <c r="BL666" s="3"/>
      <c r="BM666" s="3"/>
      <c r="BN666" s="3"/>
      <c r="BO666" s="3"/>
      <c r="BP666" s="208" t="s">
        <v>2381</v>
      </c>
      <c r="BQ666" s="209"/>
      <c r="BR666" s="209"/>
      <c r="BS666" s="209"/>
      <c r="BT666" s="209"/>
      <c r="BU666" s="209"/>
      <c r="BV666" s="209"/>
      <c r="BW666" s="3"/>
      <c r="BX666" s="208" t="s">
        <v>2384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9" t="s">
        <v>571</v>
      </c>
      <c r="O667" s="1359"/>
      <c r="T667" s="22"/>
      <c r="U667" t="s">
        <v>20</v>
      </c>
      <c r="AG667" s="1359" t="s">
        <v>571</v>
      </c>
      <c r="AH667" s="1359"/>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42" t="str">
        <f>C641</f>
        <v>Butte County - CDBG-DR Funds</v>
      </c>
      <c r="H669" s="1342"/>
      <c r="I669" s="1342"/>
      <c r="J669" s="1342"/>
      <c r="K669" s="1342"/>
      <c r="L669" s="1342"/>
      <c r="M669" s="1342"/>
      <c r="N669" s="1342"/>
      <c r="O669" s="1342"/>
      <c r="P669" s="1342"/>
      <c r="Q669" s="1342"/>
      <c r="R669" s="1342"/>
      <c r="T669" s="55" t="s">
        <v>611</v>
      </c>
      <c r="U669" t="s">
        <v>489</v>
      </c>
      <c r="Z669" s="1342">
        <f>C642</f>
        <v>0</v>
      </c>
      <c r="AA669" s="1342"/>
      <c r="AB669" s="1342"/>
      <c r="AC669" s="1342"/>
      <c r="AD669" s="1342"/>
      <c r="AE669" s="1342"/>
      <c r="AF669" s="1342"/>
      <c r="AG669" s="1342"/>
      <c r="AH669" s="1342"/>
      <c r="AI669" s="1342"/>
      <c r="AJ669" s="1342"/>
      <c r="AK669" s="1342"/>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52" t="s">
        <v>2695</v>
      </c>
      <c r="H670" s="1352"/>
      <c r="I670" s="1352"/>
      <c r="J670" s="1352"/>
      <c r="K670" s="1352"/>
      <c r="L670" s="1352"/>
      <c r="M670" s="1352"/>
      <c r="N670" s="1352"/>
      <c r="O670" s="1352"/>
      <c r="P670" s="1352"/>
      <c r="Q670" s="1352"/>
      <c r="R670" s="1352"/>
      <c r="T670" s="22"/>
      <c r="U670" t="s">
        <v>90</v>
      </c>
      <c r="Z670" s="1382"/>
      <c r="AA670" s="1382"/>
      <c r="AB670" s="1382"/>
      <c r="AC670" s="1382"/>
      <c r="AD670" s="1382"/>
      <c r="AE670" s="1382"/>
      <c r="AF670" s="1382"/>
      <c r="AG670" s="1382"/>
      <c r="AH670" s="1382"/>
      <c r="AI670" s="1382"/>
      <c r="AJ670" s="1382"/>
      <c r="AK670" s="1382"/>
      <c r="AZ670" s="3"/>
      <c r="BA670" s="118">
        <f t="shared" ref="BA670:BA694" si="40">IF($G728=0,"N/A",VLOOKUP($T$189,TC_Rent,(MATCH($B728,bedrooms,FALSE))))</f>
        <v>1462</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52" t="s">
        <v>2696</v>
      </c>
      <c r="H671" s="1352"/>
      <c r="I671" s="1352"/>
      <c r="J671" s="1352"/>
      <c r="K671" s="1352"/>
      <c r="L671" s="1352"/>
      <c r="M671" s="1352"/>
      <c r="N671" s="1352"/>
      <c r="O671" s="1352"/>
      <c r="P671" s="1352"/>
      <c r="Q671" s="1352"/>
      <c r="R671" s="1352"/>
      <c r="T671" s="22"/>
      <c r="U671" t="s">
        <v>607</v>
      </c>
      <c r="Z671" s="1352"/>
      <c r="AA671" s="1352"/>
      <c r="AB671" s="1352"/>
      <c r="AC671" s="1352"/>
      <c r="AD671" s="1352"/>
      <c r="AE671" s="1352"/>
      <c r="AF671" s="1352"/>
      <c r="AG671" s="1352"/>
      <c r="AH671" s="1352"/>
      <c r="AI671" s="1352"/>
      <c r="AJ671" s="1352"/>
      <c r="AK671" s="1352"/>
      <c r="AZ671" s="3"/>
      <c r="BA671" s="118">
        <f t="shared" si="40"/>
        <v>1462</v>
      </c>
      <c r="BB671" s="3"/>
      <c r="BC671" s="3"/>
      <c r="BD671" s="3"/>
      <c r="BE671" s="3"/>
      <c r="BF671" s="219"/>
      <c r="BG671" s="317">
        <f t="shared" ref="BG671:BG695" si="41">G728</f>
        <v>3</v>
      </c>
      <c r="BH671" s="321">
        <f>BG671/$BG$696</f>
        <v>4.0540540540540543E-2</v>
      </c>
      <c r="BI671" s="322">
        <f t="shared" ref="BI671:BI695" si="42">IF(BH671=0," ",BH671*AC728)</f>
        <v>1.2162162162162163E-2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52" t="s">
        <v>2697</v>
      </c>
      <c r="H672" s="1352"/>
      <c r="I672" s="1352"/>
      <c r="J672" s="1352"/>
      <c r="K672" s="1352"/>
      <c r="L672" s="1352"/>
      <c r="M672" s="1352"/>
      <c r="N672" s="1352"/>
      <c r="O672" s="1352"/>
      <c r="P672" s="1352"/>
      <c r="Q672" s="1352"/>
      <c r="R672" s="1352"/>
      <c r="T672" s="22"/>
      <c r="U672" t="s">
        <v>17</v>
      </c>
      <c r="Z672" s="1352"/>
      <c r="AA672" s="1352"/>
      <c r="AB672" s="1352"/>
      <c r="AC672" s="1352"/>
      <c r="AD672" s="1352"/>
      <c r="AE672" s="1352"/>
      <c r="AF672" s="1352"/>
      <c r="AG672" s="1352"/>
      <c r="AH672" s="1352"/>
      <c r="AI672" s="1352"/>
      <c r="AJ672" s="1352"/>
      <c r="AK672" s="1352"/>
      <c r="AZ672" s="3"/>
      <c r="BA672" s="118">
        <f t="shared" si="40"/>
        <v>1462</v>
      </c>
      <c r="BB672" s="3"/>
      <c r="BC672" s="3"/>
      <c r="BD672" s="3"/>
      <c r="BE672" s="3"/>
      <c r="BF672" s="219"/>
      <c r="BG672" s="318">
        <f t="shared" si="41"/>
        <v>3</v>
      </c>
      <c r="BH672" s="321">
        <f t="shared" ref="BH672:BH695" si="43">BG672/$BG$696</f>
        <v>4.0540540540540543E-2</v>
      </c>
      <c r="BI672" s="322">
        <f t="shared" si="42"/>
        <v>1.6216216216216217E-2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644" t="s">
        <v>2703</v>
      </c>
      <c r="H673" s="1629"/>
      <c r="I673" s="1629"/>
      <c r="J673" s="1629"/>
      <c r="K673" s="1629"/>
      <c r="L673" s="1629"/>
      <c r="O673" s="33" t="s">
        <v>212</v>
      </c>
      <c r="P673" s="1351"/>
      <c r="Q673" s="1351"/>
      <c r="R673" s="1351"/>
      <c r="T673" s="22"/>
      <c r="U673" t="s">
        <v>322</v>
      </c>
      <c r="Z673" s="1617"/>
      <c r="AA673" s="1617"/>
      <c r="AB673" s="1617"/>
      <c r="AC673" s="1617"/>
      <c r="AD673" s="1617"/>
      <c r="AE673" s="1617"/>
      <c r="AH673" s="33" t="s">
        <v>212</v>
      </c>
      <c r="AI673" s="1351"/>
      <c r="AJ673" s="1351"/>
      <c r="AK673" s="1351"/>
      <c r="AZ673" s="3"/>
      <c r="BA673" s="118">
        <f t="shared" si="40"/>
        <v>1462</v>
      </c>
      <c r="BB673" s="3"/>
      <c r="BC673" s="3"/>
      <c r="BD673" s="3"/>
      <c r="BE673" s="3"/>
      <c r="BF673" s="219"/>
      <c r="BG673" s="318">
        <f t="shared" si="41"/>
        <v>1</v>
      </c>
      <c r="BH673" s="321">
        <f t="shared" si="43"/>
        <v>1.3513513513513514E-2</v>
      </c>
      <c r="BI673" s="322">
        <f t="shared" si="42"/>
        <v>6.7567567567567571E-3</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82" t="s">
        <v>2698</v>
      </c>
      <c r="I674" s="1382"/>
      <c r="J674" s="1382"/>
      <c r="K674" s="1382"/>
      <c r="L674" s="1382"/>
      <c r="M674" s="1382"/>
      <c r="N674" s="1382"/>
      <c r="O674" s="1382"/>
      <c r="P674" s="1382"/>
      <c r="Q674" s="1382"/>
      <c r="R674" s="1382"/>
      <c r="T674" s="22"/>
      <c r="U674" t="s">
        <v>18</v>
      </c>
      <c r="AA674" s="1382"/>
      <c r="AB674" s="1382"/>
      <c r="AC674" s="1382"/>
      <c r="AD674" s="1382"/>
      <c r="AE674" s="1382"/>
      <c r="AF674" s="1382"/>
      <c r="AG674" s="1382"/>
      <c r="AH674" s="1382"/>
      <c r="AI674" s="1382"/>
      <c r="AJ674" s="1382"/>
      <c r="AK674" s="1382"/>
      <c r="AZ674" s="3"/>
      <c r="BA674" s="118">
        <f t="shared" si="40"/>
        <v>1754</v>
      </c>
      <c r="BB674" s="3"/>
      <c r="BC674" s="3"/>
      <c r="BD674" s="3"/>
      <c r="BE674" s="3"/>
      <c r="BF674" s="219"/>
      <c r="BG674" s="318">
        <f t="shared" si="41"/>
        <v>1</v>
      </c>
      <c r="BH674" s="321">
        <f t="shared" si="43"/>
        <v>1.3513513513513514E-2</v>
      </c>
      <c r="BI674" s="322">
        <f t="shared" si="42"/>
        <v>8.1081081081081086E-3</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9" t="s">
        <v>571</v>
      </c>
      <c r="O675" s="1359"/>
      <c r="T675" s="22"/>
      <c r="U675" t="s">
        <v>20</v>
      </c>
      <c r="AG675" s="1359" t="s">
        <v>696</v>
      </c>
      <c r="AH675" s="1359"/>
      <c r="AZ675" s="3"/>
      <c r="BA675" s="118">
        <f t="shared" si="40"/>
        <v>1754</v>
      </c>
      <c r="BB675" s="3"/>
      <c r="BC675" s="3"/>
      <c r="BD675" s="3"/>
      <c r="BE675" s="3"/>
      <c r="BF675" s="219"/>
      <c r="BG675" s="318">
        <f t="shared" si="41"/>
        <v>9</v>
      </c>
      <c r="BH675" s="321">
        <f t="shared" si="43"/>
        <v>0.12162162162162163</v>
      </c>
      <c r="BI675" s="322">
        <f t="shared" si="42"/>
        <v>3.6486486486486489E-2</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1754</v>
      </c>
      <c r="BB676" s="3"/>
      <c r="BC676" s="3"/>
      <c r="BD676" s="3"/>
      <c r="BE676" s="3"/>
      <c r="BF676" s="219"/>
      <c r="BG676" s="318">
        <f t="shared" si="41"/>
        <v>10</v>
      </c>
      <c r="BH676" s="321">
        <f t="shared" si="43"/>
        <v>0.13513513513513514</v>
      </c>
      <c r="BI676" s="322">
        <f t="shared" si="42"/>
        <v>5.4054054054054057E-2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42">
        <f>C643</f>
        <v>0</v>
      </c>
      <c r="H677" s="1342"/>
      <c r="I677" s="1342"/>
      <c r="J677" s="1342"/>
      <c r="K677" s="1342"/>
      <c r="L677" s="1342"/>
      <c r="M677" s="1342"/>
      <c r="N677" s="1342"/>
      <c r="O677" s="1342"/>
      <c r="P677" s="1342"/>
      <c r="Q677" s="1342"/>
      <c r="R677" s="1342"/>
      <c r="T677" s="55" t="s">
        <v>482</v>
      </c>
      <c r="U677" t="s">
        <v>489</v>
      </c>
      <c r="Z677" s="1342">
        <f>C644</f>
        <v>0</v>
      </c>
      <c r="AA677" s="1342"/>
      <c r="AB677" s="1342"/>
      <c r="AC677" s="1342"/>
      <c r="AD677" s="1342"/>
      <c r="AE677" s="1342"/>
      <c r="AF677" s="1342"/>
      <c r="AG677" s="1342"/>
      <c r="AH677" s="1342"/>
      <c r="AI677" s="1342"/>
      <c r="AJ677" s="1342"/>
      <c r="AK677" s="1342"/>
      <c r="AZ677" s="3"/>
      <c r="BA677" s="118">
        <f t="shared" si="40"/>
        <v>1754</v>
      </c>
      <c r="BB677" s="3"/>
      <c r="BC677" s="3"/>
      <c r="BD677" s="3"/>
      <c r="BE677" s="3"/>
      <c r="BF677" s="219"/>
      <c r="BG677" s="318">
        <f t="shared" si="41"/>
        <v>4</v>
      </c>
      <c r="BH677" s="321">
        <f t="shared" si="43"/>
        <v>5.4054054054054057E-2</v>
      </c>
      <c r="BI677" s="322">
        <f t="shared" si="42"/>
        <v>2.7027027027027029E-2</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82"/>
      <c r="H678" s="1382"/>
      <c r="I678" s="1382"/>
      <c r="J678" s="1382"/>
      <c r="K678" s="1382"/>
      <c r="L678" s="1382"/>
      <c r="M678" s="1382"/>
      <c r="N678" s="1382"/>
      <c r="O678" s="1382"/>
      <c r="P678" s="1382"/>
      <c r="Q678" s="1382"/>
      <c r="R678" s="1382"/>
      <c r="T678" s="22"/>
      <c r="U678" t="s">
        <v>90</v>
      </c>
      <c r="Z678" s="1382"/>
      <c r="AA678" s="1382"/>
      <c r="AB678" s="1382"/>
      <c r="AC678" s="1382"/>
      <c r="AD678" s="1382"/>
      <c r="AE678" s="1382"/>
      <c r="AF678" s="1382"/>
      <c r="AG678" s="1382"/>
      <c r="AH678" s="1382"/>
      <c r="AI678" s="1382"/>
      <c r="AJ678" s="1382"/>
      <c r="AK678" s="1382"/>
      <c r="AZ678" s="3"/>
      <c r="BA678" s="118">
        <f t="shared" si="40"/>
        <v>2026</v>
      </c>
      <c r="BB678" s="3"/>
      <c r="BC678" s="3"/>
      <c r="BD678" s="3"/>
      <c r="BE678" s="3"/>
      <c r="BF678" s="219"/>
      <c r="BG678" s="318">
        <f t="shared" si="41"/>
        <v>1</v>
      </c>
      <c r="BH678" s="321">
        <f t="shared" si="43"/>
        <v>1.3513513513513514E-2</v>
      </c>
      <c r="BI678" s="322">
        <f t="shared" si="42"/>
        <v>8.1081081081081086E-3</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82"/>
      <c r="H679" s="1382"/>
      <c r="I679" s="1382"/>
      <c r="J679" s="1382"/>
      <c r="K679" s="1382"/>
      <c r="L679" s="1382"/>
      <c r="M679" s="1382"/>
      <c r="N679" s="1382"/>
      <c r="O679" s="1382"/>
      <c r="P679" s="1382"/>
      <c r="Q679" s="1382"/>
      <c r="R679" s="1382"/>
      <c r="T679" s="22"/>
      <c r="U679" t="s">
        <v>607</v>
      </c>
      <c r="Z679" s="1352"/>
      <c r="AA679" s="1352"/>
      <c r="AB679" s="1352"/>
      <c r="AC679" s="1352"/>
      <c r="AD679" s="1352"/>
      <c r="AE679" s="1352"/>
      <c r="AF679" s="1352"/>
      <c r="AG679" s="1352"/>
      <c r="AH679" s="1352"/>
      <c r="AI679" s="1352"/>
      <c r="AJ679" s="1352"/>
      <c r="AK679" s="1352"/>
      <c r="AZ679" s="3"/>
      <c r="BA679" s="118">
        <f t="shared" si="40"/>
        <v>2026</v>
      </c>
      <c r="BB679" s="3"/>
      <c r="BC679" s="3"/>
      <c r="BD679" s="3"/>
      <c r="BE679" s="3"/>
      <c r="BF679" s="219"/>
      <c r="BG679" s="318">
        <f t="shared" si="41"/>
        <v>7</v>
      </c>
      <c r="BH679" s="321">
        <f t="shared" si="43"/>
        <v>9.45945945945946E-2</v>
      </c>
      <c r="BI679" s="322">
        <f t="shared" si="42"/>
        <v>2.837837837837838E-2</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82"/>
      <c r="H680" s="1382"/>
      <c r="I680" s="1382"/>
      <c r="J680" s="1382"/>
      <c r="K680" s="1382"/>
      <c r="L680" s="1382"/>
      <c r="M680" s="1382"/>
      <c r="N680" s="1382"/>
      <c r="O680" s="1382"/>
      <c r="P680" s="1382"/>
      <c r="Q680" s="1382"/>
      <c r="R680" s="1382"/>
      <c r="T680" s="22"/>
      <c r="U680" t="s">
        <v>17</v>
      </c>
      <c r="Z680" s="1352"/>
      <c r="AA680" s="1352"/>
      <c r="AB680" s="1352"/>
      <c r="AC680" s="1352"/>
      <c r="AD680" s="1352"/>
      <c r="AE680" s="1352"/>
      <c r="AF680" s="1352"/>
      <c r="AG680" s="1352"/>
      <c r="AH680" s="1352"/>
      <c r="AI680" s="1352"/>
      <c r="AJ680" s="1352"/>
      <c r="AK680" s="1352"/>
      <c r="AZ680" s="3"/>
      <c r="BA680" s="118">
        <f t="shared" si="40"/>
        <v>2026</v>
      </c>
      <c r="BB680" s="3"/>
      <c r="BC680" s="3"/>
      <c r="BD680" s="3"/>
      <c r="BE680" s="3"/>
      <c r="BF680" s="219"/>
      <c r="BG680" s="318">
        <f t="shared" si="41"/>
        <v>16</v>
      </c>
      <c r="BH680" s="321">
        <f t="shared" si="43"/>
        <v>0.21621621621621623</v>
      </c>
      <c r="BI680" s="322">
        <f t="shared" si="42"/>
        <v>8.6486486486486491E-2</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617"/>
      <c r="H681" s="1617"/>
      <c r="I681" s="1617"/>
      <c r="J681" s="1617"/>
      <c r="K681" s="1617"/>
      <c r="L681" s="1617"/>
      <c r="O681" s="33" t="s">
        <v>212</v>
      </c>
      <c r="P681" s="1351"/>
      <c r="Q681" s="1351"/>
      <c r="R681" s="1351"/>
      <c r="T681" s="22"/>
      <c r="U681" t="s">
        <v>322</v>
      </c>
      <c r="Z681" s="1617"/>
      <c r="AA681" s="1617"/>
      <c r="AB681" s="1617"/>
      <c r="AC681" s="1617"/>
      <c r="AD681" s="1617"/>
      <c r="AE681" s="1617"/>
      <c r="AH681" s="33" t="s">
        <v>212</v>
      </c>
      <c r="AI681" s="1351"/>
      <c r="AJ681" s="1351"/>
      <c r="AK681" s="1351"/>
      <c r="AZ681" s="3"/>
      <c r="BA681" s="118">
        <f t="shared" si="40"/>
        <v>2026</v>
      </c>
      <c r="BB681" s="3"/>
      <c r="BC681" s="3"/>
      <c r="BD681" s="3"/>
      <c r="BE681" s="3"/>
      <c r="BF681" s="219"/>
      <c r="BG681" s="318">
        <f t="shared" si="41"/>
        <v>8</v>
      </c>
      <c r="BH681" s="321">
        <f t="shared" si="43"/>
        <v>0.10810810810810811</v>
      </c>
      <c r="BI681" s="322">
        <f t="shared" si="42"/>
        <v>5.4054054054054057E-2</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82"/>
      <c r="I682" s="1382"/>
      <c r="J682" s="1382"/>
      <c r="K682" s="1382"/>
      <c r="L682" s="1382"/>
      <c r="M682" s="1382"/>
      <c r="N682" s="1382"/>
      <c r="O682" s="1382"/>
      <c r="P682" s="1382"/>
      <c r="Q682" s="1382"/>
      <c r="R682" s="1382"/>
      <c r="T682" s="22"/>
      <c r="U682" t="s">
        <v>18</v>
      </c>
      <c r="AA682" s="1382"/>
      <c r="AB682" s="1382"/>
      <c r="AC682" s="1382"/>
      <c r="AD682" s="1382"/>
      <c r="AE682" s="1382"/>
      <c r="AF682" s="1382"/>
      <c r="AG682" s="1382"/>
      <c r="AH682" s="1382"/>
      <c r="AI682" s="1382"/>
      <c r="AJ682" s="1382"/>
      <c r="AK682" s="1382"/>
      <c r="AZ682" s="3"/>
      <c r="BA682" s="118">
        <f t="shared" si="40"/>
        <v>2260</v>
      </c>
      <c r="BB682" s="3"/>
      <c r="BC682" s="3"/>
      <c r="BD682" s="3"/>
      <c r="BE682" s="3"/>
      <c r="BF682" s="219"/>
      <c r="BG682" s="318">
        <f t="shared" si="41"/>
        <v>1</v>
      </c>
      <c r="BH682" s="321">
        <f t="shared" si="43"/>
        <v>1.3513513513513514E-2</v>
      </c>
      <c r="BI682" s="322">
        <f t="shared" si="42"/>
        <v>8.1081081081081086E-3</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9" t="s">
        <v>696</v>
      </c>
      <c r="O683" s="1359"/>
      <c r="T683" s="22"/>
      <c r="U683" t="s">
        <v>20</v>
      </c>
      <c r="AG683" s="1359" t="s">
        <v>696</v>
      </c>
      <c r="AH683" s="1359"/>
      <c r="AZ683" s="3"/>
      <c r="BA683" s="118">
        <f t="shared" si="40"/>
        <v>2260</v>
      </c>
      <c r="BB683" s="3"/>
      <c r="BC683" s="3"/>
      <c r="BD683" s="3"/>
      <c r="BE683" s="3"/>
      <c r="BF683" s="219"/>
      <c r="BG683" s="318">
        <f t="shared" si="41"/>
        <v>2</v>
      </c>
      <c r="BH683" s="321">
        <f t="shared" si="43"/>
        <v>2.7027027027027029E-2</v>
      </c>
      <c r="BI683" s="322">
        <f t="shared" si="42"/>
        <v>8.1081081081081086E-3</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f t="shared" si="40"/>
        <v>2260</v>
      </c>
      <c r="BB684" s="3"/>
      <c r="BC684" s="3"/>
      <c r="BD684" s="3"/>
      <c r="BE684" s="3"/>
      <c r="BF684" s="219"/>
      <c r="BG684" s="318">
        <f t="shared" si="41"/>
        <v>6</v>
      </c>
      <c r="BH684" s="321">
        <f t="shared" si="43"/>
        <v>8.1081081081081086E-2</v>
      </c>
      <c r="BI684" s="322">
        <f t="shared" si="42"/>
        <v>3.2432432432432434E-2</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42">
        <f>C645</f>
        <v>0</v>
      </c>
      <c r="H685" s="1342"/>
      <c r="I685" s="1342"/>
      <c r="J685" s="1342"/>
      <c r="K685" s="1342"/>
      <c r="L685" s="1342"/>
      <c r="M685" s="1342"/>
      <c r="N685" s="1342"/>
      <c r="O685" s="1342"/>
      <c r="P685" s="1342"/>
      <c r="Q685" s="1342"/>
      <c r="R685" s="1342"/>
      <c r="T685" s="55" t="s">
        <v>673</v>
      </c>
      <c r="U685" t="s">
        <v>489</v>
      </c>
      <c r="Z685" s="1342">
        <f>C646</f>
        <v>0</v>
      </c>
      <c r="AA685" s="1342"/>
      <c r="AB685" s="1342"/>
      <c r="AC685" s="1342"/>
      <c r="AD685" s="1342"/>
      <c r="AE685" s="1342"/>
      <c r="AF685" s="1342"/>
      <c r="AG685" s="1342"/>
      <c r="AH685" s="1342"/>
      <c r="AI685" s="1342"/>
      <c r="AJ685" s="1342"/>
      <c r="AK685" s="1342"/>
      <c r="AZ685" s="3"/>
      <c r="BA685" s="118">
        <f t="shared" si="40"/>
        <v>2260</v>
      </c>
      <c r="BB685" s="3"/>
      <c r="BC685" s="3"/>
      <c r="BD685" s="3"/>
      <c r="BE685" s="3"/>
      <c r="BF685" s="219"/>
      <c r="BG685" s="318">
        <f t="shared" si="41"/>
        <v>1</v>
      </c>
      <c r="BH685" s="321">
        <f t="shared" si="43"/>
        <v>1.3513513513513514E-2</v>
      </c>
      <c r="BI685" s="322">
        <f t="shared" si="42"/>
        <v>6.7567567567567571E-3</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82"/>
      <c r="H686" s="1382"/>
      <c r="I686" s="1382"/>
      <c r="J686" s="1382"/>
      <c r="K686" s="1382"/>
      <c r="L686" s="1382"/>
      <c r="M686" s="1382"/>
      <c r="N686" s="1382"/>
      <c r="O686" s="1382"/>
      <c r="P686" s="1382"/>
      <c r="Q686" s="1382"/>
      <c r="R686" s="1382"/>
      <c r="T686" s="22"/>
      <c r="U686" t="s">
        <v>90</v>
      </c>
      <c r="Z686" s="1382"/>
      <c r="AA686" s="1382"/>
      <c r="AB686" s="1382"/>
      <c r="AC686" s="1382"/>
      <c r="AD686" s="1382"/>
      <c r="AE686" s="1382"/>
      <c r="AF686" s="1382"/>
      <c r="AG686" s="1382"/>
      <c r="AH686" s="1382"/>
      <c r="AI686" s="1382"/>
      <c r="AJ686" s="1382"/>
      <c r="AK686" s="1382"/>
      <c r="AZ686" s="3"/>
      <c r="BA686" s="118" t="str">
        <f t="shared" si="40"/>
        <v>N/A</v>
      </c>
      <c r="BB686" s="3"/>
      <c r="BC686" s="3"/>
      <c r="BD686" s="3"/>
      <c r="BE686" s="3"/>
      <c r="BF686" s="219"/>
      <c r="BG686" s="318">
        <f t="shared" si="41"/>
        <v>1</v>
      </c>
      <c r="BH686" s="321">
        <f t="shared" si="43"/>
        <v>1.3513513513513514E-2</v>
      </c>
      <c r="BI686" s="322">
        <f t="shared" si="42"/>
        <v>8.1081081081081086E-3</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82"/>
      <c r="H687" s="1382"/>
      <c r="I687" s="1382"/>
      <c r="J687" s="1382"/>
      <c r="K687" s="1382"/>
      <c r="L687" s="1382"/>
      <c r="M687" s="1382"/>
      <c r="N687" s="1382"/>
      <c r="O687" s="1382"/>
      <c r="P687" s="1382"/>
      <c r="Q687" s="1382"/>
      <c r="R687" s="1382"/>
      <c r="T687" s="22"/>
      <c r="U687" t="s">
        <v>607</v>
      </c>
      <c r="Z687" s="1352"/>
      <c r="AA687" s="1352"/>
      <c r="AB687" s="1352"/>
      <c r="AC687" s="1352"/>
      <c r="AD687" s="1352"/>
      <c r="AE687" s="1352"/>
      <c r="AF687" s="1352"/>
      <c r="AG687" s="1352"/>
      <c r="AH687" s="1352"/>
      <c r="AI687" s="1352"/>
      <c r="AJ687" s="1352"/>
      <c r="AK687" s="1352"/>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82"/>
      <c r="H688" s="1382"/>
      <c r="I688" s="1382"/>
      <c r="J688" s="1382"/>
      <c r="K688" s="1382"/>
      <c r="L688" s="1382"/>
      <c r="M688" s="1382"/>
      <c r="N688" s="1382"/>
      <c r="O688" s="1382"/>
      <c r="P688" s="1382"/>
      <c r="Q688" s="1382"/>
      <c r="R688" s="1382"/>
      <c r="T688" s="22"/>
      <c r="U688" t="s">
        <v>17</v>
      </c>
      <c r="Z688" s="1352"/>
      <c r="AA688" s="1352"/>
      <c r="AB688" s="1352"/>
      <c r="AC688" s="1352"/>
      <c r="AD688" s="1352"/>
      <c r="AE688" s="1352"/>
      <c r="AF688" s="1352"/>
      <c r="AG688" s="1352"/>
      <c r="AH688" s="1352"/>
      <c r="AI688" s="1352"/>
      <c r="AJ688" s="1352"/>
      <c r="AK688" s="1352"/>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617"/>
      <c r="H689" s="1617"/>
      <c r="I689" s="1617"/>
      <c r="J689" s="1617"/>
      <c r="K689" s="1617"/>
      <c r="L689" s="1617"/>
      <c r="O689" s="33" t="s">
        <v>212</v>
      </c>
      <c r="P689" s="1351"/>
      <c r="Q689" s="1351"/>
      <c r="R689" s="1351"/>
      <c r="T689" s="22"/>
      <c r="U689" t="s">
        <v>322</v>
      </c>
      <c r="Z689" s="1617"/>
      <c r="AA689" s="1617"/>
      <c r="AB689" s="1617"/>
      <c r="AC689" s="1617"/>
      <c r="AD689" s="1617"/>
      <c r="AE689" s="1617"/>
      <c r="AH689" s="33" t="s">
        <v>212</v>
      </c>
      <c r="AI689" s="1351"/>
      <c r="AJ689" s="1351"/>
      <c r="AK689" s="1351"/>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82"/>
      <c r="I690" s="1382"/>
      <c r="J690" s="1382"/>
      <c r="K690" s="1382"/>
      <c r="L690" s="1382"/>
      <c r="M690" s="1382"/>
      <c r="N690" s="1382"/>
      <c r="O690" s="1382"/>
      <c r="P690" s="1382"/>
      <c r="Q690" s="1382"/>
      <c r="R690" s="1382"/>
      <c r="T690" s="22"/>
      <c r="U690" t="s">
        <v>18</v>
      </c>
      <c r="AA690" s="1382"/>
      <c r="AB690" s="1382"/>
      <c r="AC690" s="1382"/>
      <c r="AD690" s="1382"/>
      <c r="AE690" s="1382"/>
      <c r="AF690" s="1382"/>
      <c r="AG690" s="1382"/>
      <c r="AH690" s="1382"/>
      <c r="AI690" s="1382"/>
      <c r="AJ690" s="1382"/>
      <c r="AK690" s="1382"/>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9" t="s">
        <v>696</v>
      </c>
      <c r="O691" s="1359"/>
      <c r="T691" s="22"/>
      <c r="U691" t="s">
        <v>20</v>
      </c>
      <c r="AG691" s="1359" t="s">
        <v>696</v>
      </c>
      <c r="AH691" s="1359"/>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42">
        <f>C647</f>
        <v>0</v>
      </c>
      <c r="H693" s="1342"/>
      <c r="I693" s="1342"/>
      <c r="J693" s="1342"/>
      <c r="K693" s="1342"/>
      <c r="L693" s="1342"/>
      <c r="M693" s="1342"/>
      <c r="N693" s="1342"/>
      <c r="O693" s="1342"/>
      <c r="P693" s="1342"/>
      <c r="Q693" s="1342"/>
      <c r="R693" s="1342"/>
      <c r="T693" s="55" t="s">
        <v>370</v>
      </c>
      <c r="U693" t="s">
        <v>489</v>
      </c>
      <c r="Z693" s="1342">
        <f>C648</f>
        <v>0</v>
      </c>
      <c r="AA693" s="1342"/>
      <c r="AB693" s="1342"/>
      <c r="AC693" s="1342"/>
      <c r="AD693" s="1342"/>
      <c r="AE693" s="1342"/>
      <c r="AF693" s="1342"/>
      <c r="AG693" s="1342"/>
      <c r="AH693" s="1342"/>
      <c r="AI693" s="1342"/>
      <c r="AJ693" s="1342"/>
      <c r="AK693" s="1342"/>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82"/>
      <c r="H694" s="1382"/>
      <c r="I694" s="1382"/>
      <c r="J694" s="1382"/>
      <c r="K694" s="1382"/>
      <c r="L694" s="1382"/>
      <c r="M694" s="1382"/>
      <c r="N694" s="1382"/>
      <c r="O694" s="1382"/>
      <c r="P694" s="1382"/>
      <c r="Q694" s="1382"/>
      <c r="R694" s="1382"/>
      <c r="T694" s="22"/>
      <c r="U694" t="s">
        <v>90</v>
      </c>
      <c r="Z694" s="1382"/>
      <c r="AA694" s="1382"/>
      <c r="AB694" s="1382"/>
      <c r="AC694" s="1382"/>
      <c r="AD694" s="1382"/>
      <c r="AE694" s="1382"/>
      <c r="AF694" s="1382"/>
      <c r="AG694" s="1382"/>
      <c r="AH694" s="1382"/>
      <c r="AI694" s="1382"/>
      <c r="AJ694" s="1382"/>
      <c r="AK694" s="1382"/>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82"/>
      <c r="H695" s="1382"/>
      <c r="I695" s="1382"/>
      <c r="J695" s="1382"/>
      <c r="K695" s="1382"/>
      <c r="L695" s="1382"/>
      <c r="M695" s="1382"/>
      <c r="N695" s="1382"/>
      <c r="O695" s="1382"/>
      <c r="P695" s="1382"/>
      <c r="Q695" s="1382"/>
      <c r="R695" s="1382"/>
      <c r="U695" t="s">
        <v>607</v>
      </c>
      <c r="Z695" s="1352"/>
      <c r="AA695" s="1352"/>
      <c r="AB695" s="1352"/>
      <c r="AC695" s="1352"/>
      <c r="AD695" s="1352"/>
      <c r="AE695" s="1352"/>
      <c r="AF695" s="1352"/>
      <c r="AG695" s="1352"/>
      <c r="AH695" s="1352"/>
      <c r="AI695" s="1352"/>
      <c r="AJ695" s="1352"/>
      <c r="AK695" s="1352"/>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82"/>
      <c r="H696" s="1382"/>
      <c r="I696" s="1382"/>
      <c r="J696" s="1382"/>
      <c r="K696" s="1382"/>
      <c r="L696" s="1382"/>
      <c r="M696" s="1382"/>
      <c r="N696" s="1382"/>
      <c r="O696" s="1382"/>
      <c r="P696" s="1382"/>
      <c r="Q696" s="1382"/>
      <c r="R696" s="1382"/>
      <c r="U696" t="s">
        <v>17</v>
      </c>
      <c r="Z696" s="1352"/>
      <c r="AA696" s="1352"/>
      <c r="AB696" s="1352"/>
      <c r="AC696" s="1352"/>
      <c r="AD696" s="1352"/>
      <c r="AE696" s="1352"/>
      <c r="AF696" s="1352"/>
      <c r="AG696" s="1352"/>
      <c r="AH696" s="1352"/>
      <c r="AI696" s="1352"/>
      <c r="AJ696" s="1352"/>
      <c r="AK696" s="1352"/>
      <c r="AZ696" s="3"/>
      <c r="BA696" s="3"/>
      <c r="BB696" s="3"/>
      <c r="BC696" s="3"/>
      <c r="BD696" s="3"/>
      <c r="BF696" s="314" t="s">
        <v>952</v>
      </c>
      <c r="BG696" s="323">
        <f>SUM(BG671:BG695)</f>
        <v>74</v>
      </c>
      <c r="BH696" s="324">
        <f>SUM(BH671:BH695)</f>
        <v>1</v>
      </c>
      <c r="BI696" s="324">
        <f>SUM(BI671:BI695)</f>
        <v>0.40135135135135136</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617"/>
      <c r="H697" s="1617"/>
      <c r="I697" s="1617"/>
      <c r="J697" s="1617"/>
      <c r="K697" s="1617"/>
      <c r="L697" s="1617"/>
      <c r="O697" s="33" t="s">
        <v>212</v>
      </c>
      <c r="P697" s="1351"/>
      <c r="Q697" s="1351"/>
      <c r="R697" s="1351"/>
      <c r="U697" t="s">
        <v>322</v>
      </c>
      <c r="Z697" s="1617"/>
      <c r="AA697" s="1617"/>
      <c r="AB697" s="1617"/>
      <c r="AC697" s="1617"/>
      <c r="AD697" s="1617"/>
      <c r="AE697" s="1617"/>
      <c r="AH697" s="33" t="s">
        <v>212</v>
      </c>
      <c r="AI697" s="1351"/>
      <c r="AJ697" s="1351"/>
      <c r="AK697" s="1351"/>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82"/>
      <c r="I698" s="1382"/>
      <c r="J698" s="1382"/>
      <c r="K698" s="1382"/>
      <c r="L698" s="1382"/>
      <c r="M698" s="1382"/>
      <c r="N698" s="1382"/>
      <c r="O698" s="1382"/>
      <c r="P698" s="1382"/>
      <c r="Q698" s="1382"/>
      <c r="R698" s="1382"/>
      <c r="U698" t="s">
        <v>18</v>
      </c>
      <c r="AA698" s="1382"/>
      <c r="AB698" s="1382"/>
      <c r="AC698" s="1382"/>
      <c r="AD698" s="1382"/>
      <c r="AE698" s="1382"/>
      <c r="AF698" s="1382"/>
      <c r="AG698" s="1382"/>
      <c r="AH698" s="1382"/>
      <c r="AI698" s="1382"/>
      <c r="AJ698" s="1382"/>
      <c r="AK698" s="1382"/>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9" t="s">
        <v>696</v>
      </c>
      <c r="O699" s="1359"/>
      <c r="U699" t="s">
        <v>20</v>
      </c>
      <c r="AG699" s="1359" t="s">
        <v>696</v>
      </c>
      <c r="AH699" s="1359"/>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1834</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9" t="s">
        <v>571</v>
      </c>
      <c r="AF703" s="1359"/>
      <c r="AZ703" s="34"/>
      <c r="BA703" s="34"/>
      <c r="BB703" s="34"/>
      <c r="BC703" s="34"/>
      <c r="BD703" s="34"/>
      <c r="BE703" s="34"/>
      <c r="BF703" s="34"/>
      <c r="BG703" s="317">
        <f t="shared" ref="BG703:BG727" si="44">G728</f>
        <v>3</v>
      </c>
      <c r="BH703" s="321">
        <f>BG703/$BG$728</f>
        <v>4.0540540540540543E-2</v>
      </c>
      <c r="BI703" s="322">
        <f t="shared" ref="BI703:BI727" si="45">IF(BH703=0," ",BH703*AH728)</f>
        <v>1.2145524457425963E-2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9" t="s">
        <v>571</v>
      </c>
      <c r="AF704" s="1359"/>
      <c r="AZ704" s="34"/>
      <c r="BA704" s="34"/>
      <c r="BB704" s="34"/>
      <c r="BC704" s="34"/>
      <c r="BD704" s="34"/>
      <c r="BE704" s="34"/>
      <c r="BF704" s="34"/>
      <c r="BG704" s="318">
        <f t="shared" si="44"/>
        <v>3</v>
      </c>
      <c r="BH704" s="321">
        <f t="shared" ref="BH704:BH727" si="46">BG704/$BG$728</f>
        <v>4.0540540540540543E-2</v>
      </c>
      <c r="BI704" s="322">
        <f t="shared" si="45"/>
        <v>1.6221762117794952E-2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639">
        <v>44782</v>
      </c>
      <c r="AF705" s="1639"/>
      <c r="AG705" s="1639"/>
      <c r="AH705" s="1639"/>
      <c r="AI705" s="1639"/>
      <c r="AZ705" s="34"/>
      <c r="BA705" s="34"/>
      <c r="BB705" s="34"/>
      <c r="BC705" s="34"/>
      <c r="BD705" s="34"/>
      <c r="BE705" s="3"/>
      <c r="BF705" s="3"/>
      <c r="BG705" s="318">
        <f t="shared" si="44"/>
        <v>1</v>
      </c>
      <c r="BH705" s="321">
        <f t="shared" si="46"/>
        <v>1.3513513513513514E-2</v>
      </c>
      <c r="BI705" s="322">
        <f t="shared" si="45"/>
        <v>6.7567567567567571E-3</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1043</v>
      </c>
      <c r="E706" s="135"/>
      <c r="F706" s="135"/>
      <c r="G706" s="135"/>
      <c r="H706" s="135"/>
      <c r="AE706" s="1647">
        <v>44895</v>
      </c>
      <c r="AF706" s="1647"/>
      <c r="AG706" s="1647"/>
      <c r="AH706" s="1647"/>
      <c r="AI706" s="1647"/>
      <c r="AZ706" s="34"/>
      <c r="BA706" s="34"/>
      <c r="BB706" s="34"/>
      <c r="BC706" s="34"/>
      <c r="BD706" s="34"/>
      <c r="BE706" s="3"/>
      <c r="BF706" s="2"/>
      <c r="BG706" s="318">
        <f t="shared" si="44"/>
        <v>1</v>
      </c>
      <c r="BH706" s="321">
        <f t="shared" si="46"/>
        <v>1.3513513513513514E-2</v>
      </c>
      <c r="BI706" s="322">
        <f t="shared" si="45"/>
        <v>8.1062594742485321E-3</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9</v>
      </c>
      <c r="BH707" s="321">
        <f t="shared" si="46"/>
        <v>0.12162162162162163</v>
      </c>
      <c r="BI707" s="322">
        <f t="shared" si="45"/>
        <v>3.6472618570680147E-2</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639">
        <v>45046</v>
      </c>
      <c r="AF708" s="1639"/>
      <c r="AG708" s="1639"/>
      <c r="AH708" s="1639"/>
      <c r="AI708" s="1639"/>
      <c r="AZ708" s="3"/>
      <c r="BA708" s="3"/>
      <c r="BB708" s="3"/>
      <c r="BC708" s="3"/>
      <c r="BD708" s="3"/>
      <c r="BE708" s="3"/>
      <c r="BF708" s="3"/>
      <c r="BG708" s="318">
        <f t="shared" si="44"/>
        <v>10</v>
      </c>
      <c r="BH708" s="321">
        <f t="shared" si="46"/>
        <v>0.13513513513513514</v>
      </c>
      <c r="BI708" s="322">
        <f t="shared" si="45"/>
        <v>5.4084871644734821E-2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85">
        <v>0.53</v>
      </c>
      <c r="AF709" s="1685"/>
      <c r="AG709" s="1685"/>
      <c r="AH709" s="1685"/>
      <c r="AI709" s="1685"/>
      <c r="AZ709" s="3"/>
      <c r="BA709" s="3"/>
      <c r="BB709" s="3"/>
      <c r="BC709" s="3"/>
      <c r="BD709" s="3"/>
      <c r="BE709" s="3"/>
      <c r="BF709" s="3"/>
      <c r="BG709" s="318">
        <f t="shared" si="44"/>
        <v>4</v>
      </c>
      <c r="BH709" s="321">
        <f t="shared" si="46"/>
        <v>5.4054054054054057E-2</v>
      </c>
      <c r="BI709" s="322">
        <f t="shared" si="45"/>
        <v>2.7027027027027029E-2</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42" t="str">
        <f>H334</f>
        <v>CMFA</v>
      </c>
      <c r="X710" s="1342"/>
      <c r="Y710" s="1342"/>
      <c r="Z710" s="1342"/>
      <c r="AA710" s="1342"/>
      <c r="AB710" s="1342"/>
      <c r="AC710" s="1342"/>
      <c r="AD710" s="1342"/>
      <c r="AE710" s="1342"/>
      <c r="AF710" s="1342"/>
      <c r="AG710" s="1342"/>
      <c r="AH710" s="1342"/>
      <c r="AI710" s="1342"/>
      <c r="AJ710" s="1342"/>
      <c r="AK710" s="1342"/>
      <c r="AZ710" s="3"/>
      <c r="BA710" s="3"/>
      <c r="BB710" s="3"/>
      <c r="BC710" s="3"/>
      <c r="BD710" s="3"/>
      <c r="BE710" s="3"/>
      <c r="BF710" s="3"/>
      <c r="BG710" s="318">
        <f t="shared" si="44"/>
        <v>1</v>
      </c>
      <c r="BH710" s="321">
        <f t="shared" si="46"/>
        <v>1.3513513513513514E-2</v>
      </c>
      <c r="BI710" s="322">
        <f t="shared" si="45"/>
        <v>8.1127307467102235E-3</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7</v>
      </c>
      <c r="BH711" s="321">
        <f t="shared" si="46"/>
        <v>9.45945945945946E-2</v>
      </c>
      <c r="BI711" s="322">
        <f t="shared" si="45"/>
        <v>2.8341026119900751E-2</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9" t="s">
        <v>696</v>
      </c>
      <c r="AF712" s="1359"/>
      <c r="AZ712" s="3"/>
      <c r="BA712" s="3"/>
      <c r="BB712" s="3"/>
      <c r="BC712" s="3"/>
      <c r="BD712" s="3"/>
      <c r="BE712" s="3"/>
      <c r="BF712" s="3"/>
      <c r="BG712" s="318">
        <f t="shared" si="44"/>
        <v>16</v>
      </c>
      <c r="BH712" s="321">
        <f t="shared" si="46"/>
        <v>0.21621621621621623</v>
      </c>
      <c r="BI712" s="322">
        <f t="shared" si="45"/>
        <v>8.6443798191083485E-2</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82"/>
      <c r="X713" s="1382"/>
      <c r="Y713" s="1382"/>
      <c r="Z713" s="1382"/>
      <c r="AA713" s="1382"/>
      <c r="AB713" s="1382"/>
      <c r="AC713" s="1382"/>
      <c r="AD713" s="1382"/>
      <c r="AE713" s="1382"/>
      <c r="AF713" s="1382"/>
      <c r="AG713" s="1382"/>
      <c r="AH713" s="1382"/>
      <c r="AI713" s="1382"/>
      <c r="AJ713" s="1382"/>
      <c r="AK713" s="1382"/>
      <c r="AZ713" s="3"/>
      <c r="BA713" s="3"/>
      <c r="BB713" s="3"/>
      <c r="BC713" s="3"/>
      <c r="BD713" s="3"/>
      <c r="BE713" s="3"/>
      <c r="BF713" s="3"/>
      <c r="BG713" s="318">
        <f t="shared" si="44"/>
        <v>8</v>
      </c>
      <c r="BH713" s="321">
        <f t="shared" si="46"/>
        <v>0.10810810810810811</v>
      </c>
      <c r="BI713" s="322">
        <f t="shared" si="45"/>
        <v>5.4054054054054057E-2</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82"/>
      <c r="K714" s="1382"/>
      <c r="L714" s="1382"/>
      <c r="M714" s="1382"/>
      <c r="N714" s="1382"/>
      <c r="O714" s="1382"/>
      <c r="P714" s="1382"/>
      <c r="Q714" s="1382"/>
      <c r="R714" s="1382"/>
      <c r="S714" s="1382"/>
      <c r="T714" s="1382"/>
      <c r="U714" s="1382"/>
      <c r="V714" s="1382"/>
      <c r="W714" s="1382"/>
      <c r="X714" s="1382"/>
      <c r="AZ714" s="3"/>
      <c r="BA714" s="3"/>
      <c r="BB714" s="3"/>
      <c r="BC714" s="3"/>
      <c r="BD714" s="3"/>
      <c r="BE714" s="3"/>
      <c r="BF714" s="3"/>
      <c r="BG714" s="318">
        <f t="shared" si="44"/>
        <v>1</v>
      </c>
      <c r="BH714" s="321">
        <f t="shared" si="46"/>
        <v>1.3513513513513514E-2</v>
      </c>
      <c r="BI714" s="322">
        <f t="shared" si="45"/>
        <v>8.1041060804140762E-3</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617"/>
      <c r="K715" s="1617"/>
      <c r="L715" s="1617"/>
      <c r="M715" s="1617"/>
      <c r="N715" s="1617"/>
      <c r="O715" s="1617"/>
      <c r="P715" s="4" t="s">
        <v>212</v>
      </c>
      <c r="Q715" s="4"/>
      <c r="R715" s="1351"/>
      <c r="S715" s="1351"/>
      <c r="T715" s="1351"/>
      <c r="AZ715" s="3"/>
      <c r="BA715" s="3"/>
      <c r="BB715" s="3"/>
      <c r="BC715" s="3"/>
      <c r="BD715" s="3"/>
      <c r="BE715" s="3"/>
      <c r="BF715" s="3"/>
      <c r="BG715" s="318">
        <f t="shared" si="44"/>
        <v>2</v>
      </c>
      <c r="BH715" s="321">
        <f t="shared" si="46"/>
        <v>2.7027027027027029E-2</v>
      </c>
      <c r="BI715" s="322">
        <f t="shared" si="45"/>
        <v>8.1081081081081086E-3</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82" t="s">
        <v>313</v>
      </c>
      <c r="X716" s="1382"/>
      <c r="Y716" s="1382"/>
      <c r="Z716" s="1382"/>
      <c r="AA716" s="1382"/>
      <c r="AB716" s="1382"/>
      <c r="AC716" s="1382"/>
      <c r="AD716" s="1382"/>
      <c r="AE716" s="1382"/>
      <c r="AF716" s="1382"/>
      <c r="AG716" s="1382"/>
      <c r="AH716" s="1382"/>
      <c r="AI716" s="1382"/>
      <c r="AJ716" s="1382"/>
      <c r="AK716" s="1382"/>
      <c r="AZ716" s="3"/>
      <c r="BA716" s="3"/>
      <c r="BB716" s="3"/>
      <c r="BC716" s="3"/>
      <c r="BD716" s="3"/>
      <c r="BE716" s="3"/>
      <c r="BF716" s="3"/>
      <c r="BG716" s="318">
        <f t="shared" si="44"/>
        <v>6</v>
      </c>
      <c r="BH716" s="321">
        <f t="shared" si="46"/>
        <v>8.1081081081081086E-2</v>
      </c>
      <c r="BI716" s="322">
        <f t="shared" si="45"/>
        <v>3.2432432432432434E-2</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82" t="s">
        <v>340</v>
      </c>
      <c r="F717" s="1382"/>
      <c r="G717" s="1382"/>
      <c r="H717" s="1382"/>
      <c r="I717" s="1382"/>
      <c r="J717" s="1382"/>
      <c r="K717" s="1382"/>
      <c r="L717" s="1382"/>
      <c r="M717" s="1382"/>
      <c r="N717" s="1382"/>
      <c r="O717" s="1382"/>
      <c r="P717" s="1382"/>
      <c r="Q717" s="1382"/>
      <c r="R717" s="1382"/>
      <c r="S717" s="1382"/>
      <c r="T717" s="1382"/>
      <c r="U717" s="1382"/>
      <c r="V717" s="1382"/>
      <c r="W717" s="1382"/>
      <c r="X717" s="1382"/>
      <c r="Y717" s="1382"/>
      <c r="Z717" s="1382"/>
      <c r="AA717" s="1382"/>
      <c r="AB717" s="1382"/>
      <c r="AC717" s="1382"/>
      <c r="AD717" s="1382"/>
      <c r="AE717" s="1382"/>
      <c r="AF717" s="1382"/>
      <c r="AG717" s="1382"/>
      <c r="AH717" s="1382"/>
      <c r="AI717" s="1382"/>
      <c r="AJ717" s="1382"/>
      <c r="AK717" s="1382"/>
      <c r="AZ717" s="3"/>
      <c r="BA717" s="3"/>
      <c r="BB717" s="3"/>
      <c r="BC717" s="3"/>
      <c r="BD717" s="3"/>
      <c r="BE717" s="3"/>
      <c r="BF717" s="3"/>
      <c r="BG717" s="318">
        <f t="shared" si="44"/>
        <v>1</v>
      </c>
      <c r="BH717" s="321">
        <f t="shared" si="46"/>
        <v>1.3513513513513514E-2</v>
      </c>
      <c r="BI717" s="322">
        <f t="shared" si="45"/>
        <v>6.7567567567567571E-3</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1</v>
      </c>
      <c r="BH718" s="321">
        <f t="shared" si="46"/>
        <v>1.3513513513513514E-2</v>
      </c>
      <c r="BI718" s="322">
        <f t="shared" si="45"/>
        <v>8.1081081081081086E-3</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4" t="s">
        <v>100</v>
      </c>
      <c r="B719" s="1244"/>
      <c r="C719" s="1244"/>
      <c r="D719" s="1244"/>
      <c r="E719" s="1244"/>
      <c r="F719" s="1244"/>
      <c r="G719" s="1244"/>
      <c r="H719" s="1244"/>
      <c r="I719" s="1244"/>
      <c r="J719" s="1244"/>
      <c r="K719" s="1244"/>
      <c r="L719" s="1244"/>
      <c r="M719" s="1244"/>
      <c r="N719" s="1244"/>
      <c r="O719" s="1244"/>
      <c r="P719" s="1244"/>
      <c r="Q719" s="1244"/>
      <c r="R719" s="1244"/>
      <c r="S719" s="1244"/>
      <c r="T719" s="1244"/>
      <c r="U719" s="1244"/>
      <c r="V719" s="1244"/>
      <c r="W719" s="1244"/>
      <c r="X719" s="1244"/>
      <c r="Y719" s="1244"/>
      <c r="Z719" s="1244"/>
      <c r="AA719" s="1244"/>
      <c r="AB719" s="1244"/>
      <c r="AC719" s="1244"/>
      <c r="AD719" s="1244"/>
      <c r="AE719" s="1244"/>
      <c r="AF719" s="1244"/>
      <c r="AG719" s="1244"/>
      <c r="AH719" s="1244"/>
      <c r="AI719" s="1244"/>
      <c r="AJ719" s="1244"/>
      <c r="AK719" s="1244"/>
      <c r="AL719" s="1244"/>
      <c r="AM719" s="1244"/>
      <c r="AN719" s="1244"/>
      <c r="AO719" s="1244"/>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44"/>
      <c r="B720" s="1244"/>
      <c r="C720" s="1244"/>
      <c r="D720" s="1244"/>
      <c r="E720" s="1244"/>
      <c r="F720" s="1244"/>
      <c r="G720" s="1244"/>
      <c r="H720" s="1244"/>
      <c r="I720" s="1244"/>
      <c r="J720" s="1244"/>
      <c r="K720" s="1244"/>
      <c r="L720" s="1244"/>
      <c r="M720" s="1244"/>
      <c r="N720" s="1244"/>
      <c r="O720" s="1244"/>
      <c r="P720" s="1244"/>
      <c r="Q720" s="1244"/>
      <c r="R720" s="1244"/>
      <c r="S720" s="1244"/>
      <c r="T720" s="1244"/>
      <c r="U720" s="1244"/>
      <c r="V720" s="1244"/>
      <c r="W720" s="1244"/>
      <c r="X720" s="1244"/>
      <c r="Y720" s="1244"/>
      <c r="Z720" s="1244"/>
      <c r="AA720" s="1244"/>
      <c r="AB720" s="1244"/>
      <c r="AC720" s="1244"/>
      <c r="AD720" s="1244"/>
      <c r="AE720" s="1244"/>
      <c r="AF720" s="1244"/>
      <c r="AG720" s="1244"/>
      <c r="AH720" s="1244"/>
      <c r="AI720" s="1244"/>
      <c r="AJ720" s="1244"/>
      <c r="AK720" s="1244"/>
      <c r="AL720" s="1244"/>
      <c r="AM720" s="1244"/>
      <c r="AN720" s="1244"/>
      <c r="AO720" s="1244"/>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4"/>
      <c r="B721" s="1244"/>
      <c r="C721" s="1244"/>
      <c r="D721" s="1244"/>
      <c r="E721" s="1244"/>
      <c r="F721" s="1244"/>
      <c r="G721" s="1244"/>
      <c r="H721" s="1244"/>
      <c r="I721" s="1244"/>
      <c r="J721" s="1244"/>
      <c r="K721" s="1244"/>
      <c r="L721" s="1244"/>
      <c r="M721" s="1244"/>
      <c r="N721" s="1244"/>
      <c r="O721" s="1244"/>
      <c r="P721" s="1244"/>
      <c r="Q721" s="1244"/>
      <c r="R721" s="1244"/>
      <c r="S721" s="1244"/>
      <c r="T721" s="1244"/>
      <c r="U721" s="1244"/>
      <c r="V721" s="1244"/>
      <c r="W721" s="1244"/>
      <c r="X721" s="1244"/>
      <c r="Y721" s="1244"/>
      <c r="Z721" s="1244"/>
      <c r="AA721" s="1244"/>
      <c r="AB721" s="1244"/>
      <c r="AC721" s="1244"/>
      <c r="AD721" s="1244"/>
      <c r="AE721" s="1244"/>
      <c r="AF721" s="1244"/>
      <c r="AG721" s="1244"/>
      <c r="AH721" s="1244"/>
      <c r="AI721" s="1244"/>
      <c r="AJ721" s="1244"/>
      <c r="AK721" s="1244"/>
      <c r="AL721" s="1244"/>
      <c r="AM721" s="1244"/>
      <c r="AN721" s="1244"/>
      <c r="AO721" s="1244"/>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81" t="s">
        <v>404</v>
      </c>
      <c r="C724" s="1582"/>
      <c r="D724" s="1582"/>
      <c r="E724" s="1582"/>
      <c r="F724" s="1583"/>
      <c r="G724" s="1581" t="s">
        <v>291</v>
      </c>
      <c r="H724" s="1582"/>
      <c r="I724" s="1582"/>
      <c r="J724" s="1583"/>
      <c r="K724" s="1590" t="s">
        <v>1992</v>
      </c>
      <c r="L724" s="1591"/>
      <c r="M724" s="1591"/>
      <c r="N724" s="1592"/>
      <c r="O724" s="1581" t="s">
        <v>472</v>
      </c>
      <c r="P724" s="1582"/>
      <c r="Q724" s="1582"/>
      <c r="R724" s="1582"/>
      <c r="S724" s="1583"/>
      <c r="T724" s="1640" t="s">
        <v>2404</v>
      </c>
      <c r="U724" s="1582"/>
      <c r="V724" s="1582"/>
      <c r="W724" s="1583"/>
      <c r="X724" s="1640" t="s">
        <v>2406</v>
      </c>
      <c r="Y724" s="1582"/>
      <c r="Z724" s="1582"/>
      <c r="AA724" s="1582"/>
      <c r="AB724" s="1583"/>
      <c r="AC724" s="1640" t="s">
        <v>2405</v>
      </c>
      <c r="AD724" s="1582"/>
      <c r="AE724" s="1582"/>
      <c r="AF724" s="1582"/>
      <c r="AG724" s="1583"/>
      <c r="AH724" s="1640" t="s">
        <v>2407</v>
      </c>
      <c r="AI724" s="1582"/>
      <c r="AJ724" s="1583"/>
      <c r="AK724" s="1640" t="s">
        <v>2443</v>
      </c>
      <c r="AL724" s="1582"/>
      <c r="AM724" s="1582"/>
      <c r="AN724" s="1582"/>
      <c r="AO724" s="1583"/>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84"/>
      <c r="C725" s="1585"/>
      <c r="D725" s="1585"/>
      <c r="E725" s="1585"/>
      <c r="F725" s="1586"/>
      <c r="G725" s="1584"/>
      <c r="H725" s="1585"/>
      <c r="I725" s="1585"/>
      <c r="J725" s="1586"/>
      <c r="K725" s="1593"/>
      <c r="L725" s="1594"/>
      <c r="M725" s="1594"/>
      <c r="N725" s="1595"/>
      <c r="O725" s="1584"/>
      <c r="P725" s="1585"/>
      <c r="Q725" s="1585"/>
      <c r="R725" s="1585"/>
      <c r="S725" s="1586"/>
      <c r="T725" s="1584"/>
      <c r="U725" s="1585"/>
      <c r="V725" s="1585"/>
      <c r="W725" s="1586"/>
      <c r="X725" s="1584"/>
      <c r="Y725" s="1585"/>
      <c r="Z725" s="1585"/>
      <c r="AA725" s="1585"/>
      <c r="AB725" s="1586"/>
      <c r="AC725" s="1584"/>
      <c r="AD725" s="1585"/>
      <c r="AE725" s="1585"/>
      <c r="AF725" s="1585"/>
      <c r="AG725" s="1586"/>
      <c r="AH725" s="1584"/>
      <c r="AI725" s="1585"/>
      <c r="AJ725" s="1586"/>
      <c r="AK725" s="1584"/>
      <c r="AL725" s="1585"/>
      <c r="AM725" s="1585"/>
      <c r="AN725" s="1585"/>
      <c r="AO725" s="1586"/>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84"/>
      <c r="C726" s="1585"/>
      <c r="D726" s="1585"/>
      <c r="E726" s="1585"/>
      <c r="F726" s="1586"/>
      <c r="G726" s="1584"/>
      <c r="H726" s="1585"/>
      <c r="I726" s="1585"/>
      <c r="J726" s="1586"/>
      <c r="K726" s="1593"/>
      <c r="L726" s="1594"/>
      <c r="M726" s="1594"/>
      <c r="N726" s="1595"/>
      <c r="O726" s="1584"/>
      <c r="P726" s="1585"/>
      <c r="Q726" s="1585"/>
      <c r="R726" s="1585"/>
      <c r="S726" s="1586"/>
      <c r="T726" s="1584"/>
      <c r="U726" s="1585"/>
      <c r="V726" s="1585"/>
      <c r="W726" s="1586"/>
      <c r="X726" s="1584"/>
      <c r="Y726" s="1585"/>
      <c r="Z726" s="1585"/>
      <c r="AA726" s="1585"/>
      <c r="AB726" s="1586"/>
      <c r="AC726" s="1584"/>
      <c r="AD726" s="1585"/>
      <c r="AE726" s="1585"/>
      <c r="AF726" s="1585"/>
      <c r="AG726" s="1586"/>
      <c r="AH726" s="1584"/>
      <c r="AI726" s="1585"/>
      <c r="AJ726" s="1586"/>
      <c r="AK726" s="1584"/>
      <c r="AL726" s="1585"/>
      <c r="AM726" s="1585"/>
      <c r="AN726" s="1585"/>
      <c r="AO726" s="1586"/>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87"/>
      <c r="C727" s="1588"/>
      <c r="D727" s="1588"/>
      <c r="E727" s="1588"/>
      <c r="F727" s="1589"/>
      <c r="G727" s="1587"/>
      <c r="H727" s="1588"/>
      <c r="I727" s="1588"/>
      <c r="J727" s="1589"/>
      <c r="K727" s="1593"/>
      <c r="L727" s="1594"/>
      <c r="M727" s="1594"/>
      <c r="N727" s="1595"/>
      <c r="O727" s="1587"/>
      <c r="P727" s="1588"/>
      <c r="Q727" s="1588"/>
      <c r="R727" s="1588"/>
      <c r="S727" s="1589"/>
      <c r="T727" s="1587"/>
      <c r="U727" s="1588"/>
      <c r="V727" s="1588"/>
      <c r="W727" s="1589"/>
      <c r="X727" s="1587"/>
      <c r="Y727" s="1588"/>
      <c r="Z727" s="1588"/>
      <c r="AA727" s="1588"/>
      <c r="AB727" s="1589"/>
      <c r="AC727" s="1587"/>
      <c r="AD727" s="1588"/>
      <c r="AE727" s="1588"/>
      <c r="AF727" s="1588"/>
      <c r="AG727" s="1589"/>
      <c r="AH727" s="1587"/>
      <c r="AI727" s="1588"/>
      <c r="AJ727" s="1589"/>
      <c r="AK727" s="1587"/>
      <c r="AL727" s="1588"/>
      <c r="AM727" s="1588"/>
      <c r="AN727" s="1588"/>
      <c r="AO727" s="1589"/>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564" t="s">
        <v>331</v>
      </c>
      <c r="C728" s="1559"/>
      <c r="D728" s="1559"/>
      <c r="E728" s="1559"/>
      <c r="F728" s="1560"/>
      <c r="G728" s="1641">
        <v>3</v>
      </c>
      <c r="H728" s="1642"/>
      <c r="I728" s="1642"/>
      <c r="J728" s="1643"/>
      <c r="K728" s="1566">
        <v>652</v>
      </c>
      <c r="L728" s="1567"/>
      <c r="M728" s="1567"/>
      <c r="N728" s="1568"/>
      <c r="O728" s="1648">
        <v>433</v>
      </c>
      <c r="P728" s="1649"/>
      <c r="Q728" s="1649"/>
      <c r="R728" s="1649"/>
      <c r="S728" s="1650"/>
      <c r="T728" s="1561">
        <v>5</v>
      </c>
      <c r="U728" s="1562"/>
      <c r="V728" s="1562"/>
      <c r="W728" s="1563"/>
      <c r="X728" s="1343">
        <f t="shared" ref="X728:X752" si="47">O728+T728</f>
        <v>438</v>
      </c>
      <c r="Y728" s="1344"/>
      <c r="Z728" s="1344"/>
      <c r="AA728" s="1344"/>
      <c r="AB728" s="1345"/>
      <c r="AC728" s="1347">
        <v>0.3</v>
      </c>
      <c r="AD728" s="1348"/>
      <c r="AE728" s="1348"/>
      <c r="AF728" s="1348"/>
      <c r="AG728" s="1349"/>
      <c r="AH728" s="1336">
        <f t="shared" ref="AH728:AH752" si="48">IF($AC728&gt;0,($X728/$BA670), " ")</f>
        <v>0.29958960328317374</v>
      </c>
      <c r="AI728" s="1337"/>
      <c r="AJ728" s="1338"/>
      <c r="AK728" s="1333" t="s">
        <v>618</v>
      </c>
      <c r="AL728" s="1334"/>
      <c r="AM728" s="1334"/>
      <c r="AN728" s="1334"/>
      <c r="AO728" s="1335"/>
      <c r="AP728" s="3"/>
      <c r="AQ728" s="3"/>
      <c r="AR728" s="3"/>
      <c r="AS728" s="3"/>
      <c r="AY728" s="1178"/>
      <c r="AZ728" s="1178"/>
      <c r="BA728" s="1178"/>
      <c r="BB728" s="1178"/>
      <c r="BC728" s="1178"/>
      <c r="BD728" s="3"/>
      <c r="BE728" s="3"/>
      <c r="BF728" s="3"/>
      <c r="BG728" s="898">
        <f>SUM(BG703:BG727)</f>
        <v>74</v>
      </c>
      <c r="BH728" s="324">
        <f>SUM(BH703:BH727)</f>
        <v>1</v>
      </c>
      <c r="BI728" s="324">
        <f>SUM(BI703:BI727)</f>
        <v>0.40127594064623617</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519" t="s">
        <v>331</v>
      </c>
      <c r="C729" s="1559"/>
      <c r="D729" s="1559"/>
      <c r="E729" s="1559"/>
      <c r="F729" s="1560"/>
      <c r="G729" s="1641">
        <v>3</v>
      </c>
      <c r="H729" s="1642"/>
      <c r="I729" s="1642"/>
      <c r="J729" s="1643"/>
      <c r="K729" s="1566">
        <v>652</v>
      </c>
      <c r="L729" s="1567"/>
      <c r="M729" s="1567"/>
      <c r="N729" s="1568"/>
      <c r="O729" s="1648">
        <v>580</v>
      </c>
      <c r="P729" s="1649"/>
      <c r="Q729" s="1649"/>
      <c r="R729" s="1649"/>
      <c r="S729" s="1650"/>
      <c r="T729" s="1561">
        <v>5</v>
      </c>
      <c r="U729" s="1562"/>
      <c r="V729" s="1562"/>
      <c r="W729" s="1563"/>
      <c r="X729" s="1343">
        <f t="shared" si="47"/>
        <v>585</v>
      </c>
      <c r="Y729" s="1344"/>
      <c r="Z729" s="1344"/>
      <c r="AA729" s="1344"/>
      <c r="AB729" s="1345"/>
      <c r="AC729" s="1347">
        <v>0.4</v>
      </c>
      <c r="AD729" s="1348"/>
      <c r="AE729" s="1348"/>
      <c r="AF729" s="1348"/>
      <c r="AG729" s="1349"/>
      <c r="AH729" s="1336">
        <f t="shared" si="48"/>
        <v>0.40013679890560877</v>
      </c>
      <c r="AI729" s="1337"/>
      <c r="AJ729" s="1338"/>
      <c r="AK729" s="1333" t="s">
        <v>618</v>
      </c>
      <c r="AL729" s="1334"/>
      <c r="AM729" s="1334"/>
      <c r="AN729" s="1334"/>
      <c r="AO729" s="1335"/>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519" t="s">
        <v>331</v>
      </c>
      <c r="C730" s="1559"/>
      <c r="D730" s="1559"/>
      <c r="E730" s="1559"/>
      <c r="F730" s="1560"/>
      <c r="G730" s="1641">
        <v>1</v>
      </c>
      <c r="H730" s="1642"/>
      <c r="I730" s="1642"/>
      <c r="J730" s="1643"/>
      <c r="K730" s="1566">
        <v>652</v>
      </c>
      <c r="L730" s="1567"/>
      <c r="M730" s="1567"/>
      <c r="N730" s="1568"/>
      <c r="O730" s="1648">
        <v>726</v>
      </c>
      <c r="P730" s="1649"/>
      <c r="Q730" s="1649"/>
      <c r="R730" s="1649"/>
      <c r="S730" s="1650"/>
      <c r="T730" s="1561">
        <v>5</v>
      </c>
      <c r="U730" s="1562"/>
      <c r="V730" s="1562"/>
      <c r="W730" s="1563"/>
      <c r="X730" s="1343">
        <f t="shared" si="47"/>
        <v>731</v>
      </c>
      <c r="Y730" s="1344"/>
      <c r="Z730" s="1344"/>
      <c r="AA730" s="1344"/>
      <c r="AB730" s="1345"/>
      <c r="AC730" s="1347">
        <v>0.5</v>
      </c>
      <c r="AD730" s="1348"/>
      <c r="AE730" s="1348"/>
      <c r="AF730" s="1348"/>
      <c r="AG730" s="1349"/>
      <c r="AH730" s="1336">
        <f t="shared" si="48"/>
        <v>0.5</v>
      </c>
      <c r="AI730" s="1337"/>
      <c r="AJ730" s="1338"/>
      <c r="AK730" s="1333" t="s">
        <v>618</v>
      </c>
      <c r="AL730" s="1334"/>
      <c r="AM730" s="1334"/>
      <c r="AN730" s="1334"/>
      <c r="AO730" s="1335"/>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519" t="s">
        <v>331</v>
      </c>
      <c r="C731" s="1559"/>
      <c r="D731" s="1559"/>
      <c r="E731" s="1559"/>
      <c r="F731" s="1560"/>
      <c r="G731" s="1641">
        <v>1</v>
      </c>
      <c r="H731" s="1642"/>
      <c r="I731" s="1642"/>
      <c r="J731" s="1643"/>
      <c r="K731" s="1566">
        <v>652</v>
      </c>
      <c r="L731" s="1567"/>
      <c r="M731" s="1567"/>
      <c r="N731" s="1568"/>
      <c r="O731" s="1648">
        <v>872</v>
      </c>
      <c r="P731" s="1649"/>
      <c r="Q731" s="1649"/>
      <c r="R731" s="1649"/>
      <c r="S731" s="1650"/>
      <c r="T731" s="1561">
        <v>5</v>
      </c>
      <c r="U731" s="1562"/>
      <c r="V731" s="1562"/>
      <c r="W731" s="1563"/>
      <c r="X731" s="1343">
        <f t="shared" si="47"/>
        <v>877</v>
      </c>
      <c r="Y731" s="1344"/>
      <c r="Z731" s="1344"/>
      <c r="AA731" s="1344"/>
      <c r="AB731" s="1345"/>
      <c r="AC731" s="1347">
        <v>0.6</v>
      </c>
      <c r="AD731" s="1348"/>
      <c r="AE731" s="1348"/>
      <c r="AF731" s="1348"/>
      <c r="AG731" s="1349"/>
      <c r="AH731" s="1336">
        <f t="shared" si="48"/>
        <v>0.59986320109439129</v>
      </c>
      <c r="AI731" s="1337"/>
      <c r="AJ731" s="1338"/>
      <c r="AK731" s="1333" t="s">
        <v>618</v>
      </c>
      <c r="AL731" s="1334"/>
      <c r="AM731" s="1334"/>
      <c r="AN731" s="1334"/>
      <c r="AO731" s="1335"/>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564" t="s">
        <v>168</v>
      </c>
      <c r="C732" s="1559"/>
      <c r="D732" s="1559"/>
      <c r="E732" s="1559"/>
      <c r="F732" s="1560"/>
      <c r="G732" s="1641">
        <v>9</v>
      </c>
      <c r="H732" s="1642"/>
      <c r="I732" s="1642"/>
      <c r="J732" s="1643"/>
      <c r="K732" s="1566">
        <v>724</v>
      </c>
      <c r="L732" s="1567"/>
      <c r="M732" s="1567"/>
      <c r="N732" s="1568"/>
      <c r="O732" s="1648">
        <v>521</v>
      </c>
      <c r="P732" s="1649"/>
      <c r="Q732" s="1649"/>
      <c r="R732" s="1649"/>
      <c r="S732" s="1650"/>
      <c r="T732" s="1561">
        <v>5</v>
      </c>
      <c r="U732" s="1562"/>
      <c r="V732" s="1562"/>
      <c r="W732" s="1563"/>
      <c r="X732" s="1343">
        <f t="shared" si="47"/>
        <v>526</v>
      </c>
      <c r="Y732" s="1344"/>
      <c r="Z732" s="1344"/>
      <c r="AA732" s="1344"/>
      <c r="AB732" s="1345"/>
      <c r="AC732" s="1347">
        <v>0.3</v>
      </c>
      <c r="AD732" s="1348"/>
      <c r="AE732" s="1348"/>
      <c r="AF732" s="1348"/>
      <c r="AG732" s="1349"/>
      <c r="AH732" s="1336">
        <f t="shared" si="48"/>
        <v>0.29988597491448121</v>
      </c>
      <c r="AI732" s="1337"/>
      <c r="AJ732" s="1338"/>
      <c r="AK732" s="1333" t="s">
        <v>618</v>
      </c>
      <c r="AL732" s="1334"/>
      <c r="AM732" s="1334"/>
      <c r="AN732" s="1334"/>
      <c r="AO732" s="1335"/>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564" t="s">
        <v>168</v>
      </c>
      <c r="C733" s="1559"/>
      <c r="D733" s="1559"/>
      <c r="E733" s="1559"/>
      <c r="F733" s="1560"/>
      <c r="G733" s="1641">
        <v>10</v>
      </c>
      <c r="H733" s="1642"/>
      <c r="I733" s="1642"/>
      <c r="J733" s="1643"/>
      <c r="K733" s="1566">
        <v>724</v>
      </c>
      <c r="L733" s="1567"/>
      <c r="M733" s="1567"/>
      <c r="N733" s="1568"/>
      <c r="O733" s="1648">
        <v>697</v>
      </c>
      <c r="P733" s="1649"/>
      <c r="Q733" s="1649"/>
      <c r="R733" s="1649"/>
      <c r="S733" s="1650"/>
      <c r="T733" s="1561">
        <v>5</v>
      </c>
      <c r="U733" s="1562"/>
      <c r="V733" s="1562"/>
      <c r="W733" s="1563"/>
      <c r="X733" s="1343">
        <f t="shared" si="47"/>
        <v>702</v>
      </c>
      <c r="Y733" s="1344"/>
      <c r="Z733" s="1344"/>
      <c r="AA733" s="1344"/>
      <c r="AB733" s="1345"/>
      <c r="AC733" s="1347">
        <v>0.4</v>
      </c>
      <c r="AD733" s="1348"/>
      <c r="AE733" s="1348"/>
      <c r="AF733" s="1348"/>
      <c r="AG733" s="1349"/>
      <c r="AH733" s="1336">
        <f t="shared" si="48"/>
        <v>0.40022805017103763</v>
      </c>
      <c r="AI733" s="1337"/>
      <c r="AJ733" s="1338"/>
      <c r="AK733" s="1333" t="s">
        <v>618</v>
      </c>
      <c r="AL733" s="1334"/>
      <c r="AM733" s="1334"/>
      <c r="AN733" s="1334"/>
      <c r="AO733" s="1335"/>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519" t="s">
        <v>168</v>
      </c>
      <c r="C734" s="1559"/>
      <c r="D734" s="1559"/>
      <c r="E734" s="1559"/>
      <c r="F734" s="1560"/>
      <c r="G734" s="1641">
        <v>4</v>
      </c>
      <c r="H734" s="1642"/>
      <c r="I734" s="1642"/>
      <c r="J734" s="1643"/>
      <c r="K734" s="1566">
        <v>724</v>
      </c>
      <c r="L734" s="1567"/>
      <c r="M734" s="1567"/>
      <c r="N734" s="1568"/>
      <c r="O734" s="1648">
        <v>872</v>
      </c>
      <c r="P734" s="1649"/>
      <c r="Q734" s="1649"/>
      <c r="R734" s="1649"/>
      <c r="S734" s="1650"/>
      <c r="T734" s="1561">
        <v>5</v>
      </c>
      <c r="U734" s="1562"/>
      <c r="V734" s="1562"/>
      <c r="W734" s="1563"/>
      <c r="X734" s="1343">
        <f t="shared" si="47"/>
        <v>877</v>
      </c>
      <c r="Y734" s="1344"/>
      <c r="Z734" s="1344"/>
      <c r="AA734" s="1344"/>
      <c r="AB734" s="1345"/>
      <c r="AC734" s="1347">
        <v>0.5</v>
      </c>
      <c r="AD734" s="1348"/>
      <c r="AE734" s="1348"/>
      <c r="AF734" s="1348"/>
      <c r="AG734" s="1349"/>
      <c r="AH734" s="1336">
        <f t="shared" si="48"/>
        <v>0.5</v>
      </c>
      <c r="AI734" s="1337"/>
      <c r="AJ734" s="1338"/>
      <c r="AK734" s="1333" t="s">
        <v>618</v>
      </c>
      <c r="AL734" s="1334"/>
      <c r="AM734" s="1334"/>
      <c r="AN734" s="1334"/>
      <c r="AO734" s="1335"/>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519" t="s">
        <v>168</v>
      </c>
      <c r="C735" s="1559"/>
      <c r="D735" s="1559"/>
      <c r="E735" s="1559"/>
      <c r="F735" s="1560"/>
      <c r="G735" s="1641">
        <v>1</v>
      </c>
      <c r="H735" s="1642"/>
      <c r="I735" s="1642"/>
      <c r="J735" s="1643"/>
      <c r="K735" s="1566">
        <v>724</v>
      </c>
      <c r="L735" s="1567"/>
      <c r="M735" s="1567"/>
      <c r="N735" s="1568"/>
      <c r="O735" s="1648">
        <v>1048</v>
      </c>
      <c r="P735" s="1649"/>
      <c r="Q735" s="1649"/>
      <c r="R735" s="1649"/>
      <c r="S735" s="1650"/>
      <c r="T735" s="1561">
        <v>5</v>
      </c>
      <c r="U735" s="1562"/>
      <c r="V735" s="1562"/>
      <c r="W735" s="1563"/>
      <c r="X735" s="1343">
        <f t="shared" si="47"/>
        <v>1053</v>
      </c>
      <c r="Y735" s="1344"/>
      <c r="Z735" s="1344"/>
      <c r="AA735" s="1344"/>
      <c r="AB735" s="1345"/>
      <c r="AC735" s="1347">
        <v>0.6</v>
      </c>
      <c r="AD735" s="1348"/>
      <c r="AE735" s="1348"/>
      <c r="AF735" s="1348"/>
      <c r="AG735" s="1349"/>
      <c r="AH735" s="1336">
        <f t="shared" si="48"/>
        <v>0.60034207525655647</v>
      </c>
      <c r="AI735" s="1337"/>
      <c r="AJ735" s="1338"/>
      <c r="AK735" s="1333" t="s">
        <v>618</v>
      </c>
      <c r="AL735" s="1334"/>
      <c r="AM735" s="1334"/>
      <c r="AN735" s="1334"/>
      <c r="AO735" s="1335"/>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564" t="s">
        <v>169</v>
      </c>
      <c r="C736" s="1559"/>
      <c r="D736" s="1559"/>
      <c r="E736" s="1559"/>
      <c r="F736" s="1560"/>
      <c r="G736" s="1641">
        <v>7</v>
      </c>
      <c r="H736" s="1642"/>
      <c r="I736" s="1642"/>
      <c r="J736" s="1643"/>
      <c r="K736" s="1566">
        <v>1274</v>
      </c>
      <c r="L736" s="1567"/>
      <c r="M736" s="1567"/>
      <c r="N736" s="1568"/>
      <c r="O736" s="1648">
        <v>602</v>
      </c>
      <c r="P736" s="1649"/>
      <c r="Q736" s="1649"/>
      <c r="R736" s="1649"/>
      <c r="S736" s="1650"/>
      <c r="T736" s="1561">
        <v>5</v>
      </c>
      <c r="U736" s="1562"/>
      <c r="V736" s="1562"/>
      <c r="W736" s="1563"/>
      <c r="X736" s="1343">
        <f t="shared" si="47"/>
        <v>607</v>
      </c>
      <c r="Y736" s="1344"/>
      <c r="Z736" s="1344"/>
      <c r="AA736" s="1344"/>
      <c r="AB736" s="1345"/>
      <c r="AC736" s="1347">
        <v>0.3</v>
      </c>
      <c r="AD736" s="1348"/>
      <c r="AE736" s="1348"/>
      <c r="AF736" s="1348"/>
      <c r="AG736" s="1349"/>
      <c r="AH736" s="1336">
        <f t="shared" si="48"/>
        <v>0.29960513326752219</v>
      </c>
      <c r="AI736" s="1337"/>
      <c r="AJ736" s="1338"/>
      <c r="AK736" s="1333" t="s">
        <v>618</v>
      </c>
      <c r="AL736" s="1334"/>
      <c r="AM736" s="1334"/>
      <c r="AN736" s="1334"/>
      <c r="AO736" s="1335"/>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519" t="s">
        <v>169</v>
      </c>
      <c r="C737" s="1559"/>
      <c r="D737" s="1559"/>
      <c r="E737" s="1559"/>
      <c r="F737" s="1560"/>
      <c r="G737" s="1641">
        <v>16</v>
      </c>
      <c r="H737" s="1642"/>
      <c r="I737" s="1642"/>
      <c r="J737" s="1643"/>
      <c r="K737" s="1566">
        <v>1274</v>
      </c>
      <c r="L737" s="1567"/>
      <c r="M737" s="1567"/>
      <c r="N737" s="1568"/>
      <c r="O737" s="1561">
        <v>805</v>
      </c>
      <c r="P737" s="1562"/>
      <c r="Q737" s="1562"/>
      <c r="R737" s="1562"/>
      <c r="S737" s="1563"/>
      <c r="T737" s="1561">
        <v>5</v>
      </c>
      <c r="U737" s="1562"/>
      <c r="V737" s="1562"/>
      <c r="W737" s="1563"/>
      <c r="X737" s="1343">
        <f t="shared" si="47"/>
        <v>810</v>
      </c>
      <c r="Y737" s="1344"/>
      <c r="Z737" s="1344"/>
      <c r="AA737" s="1344"/>
      <c r="AB737" s="1345"/>
      <c r="AC737" s="1347">
        <v>0.4</v>
      </c>
      <c r="AD737" s="1348"/>
      <c r="AE737" s="1348"/>
      <c r="AF737" s="1348"/>
      <c r="AG737" s="1349"/>
      <c r="AH737" s="1336">
        <f t="shared" si="48"/>
        <v>0.39980256663376113</v>
      </c>
      <c r="AI737" s="1337"/>
      <c r="AJ737" s="1338"/>
      <c r="AK737" s="1333" t="s">
        <v>618</v>
      </c>
      <c r="AL737" s="1334"/>
      <c r="AM737" s="1334"/>
      <c r="AN737" s="1334"/>
      <c r="AO737" s="1335"/>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519" t="s">
        <v>169</v>
      </c>
      <c r="C738" s="1559"/>
      <c r="D738" s="1559"/>
      <c r="E738" s="1559"/>
      <c r="F738" s="1560"/>
      <c r="G738" s="1641">
        <v>8</v>
      </c>
      <c r="H738" s="1642"/>
      <c r="I738" s="1642"/>
      <c r="J738" s="1643"/>
      <c r="K738" s="1566">
        <v>1274</v>
      </c>
      <c r="L738" s="1567"/>
      <c r="M738" s="1567"/>
      <c r="N738" s="1568"/>
      <c r="O738" s="1561">
        <v>1008</v>
      </c>
      <c r="P738" s="1562"/>
      <c r="Q738" s="1562"/>
      <c r="R738" s="1562"/>
      <c r="S738" s="1563"/>
      <c r="T738" s="1561">
        <v>5</v>
      </c>
      <c r="U738" s="1562"/>
      <c r="V738" s="1562"/>
      <c r="W738" s="1563"/>
      <c r="X738" s="1343">
        <f t="shared" si="47"/>
        <v>1013</v>
      </c>
      <c r="Y738" s="1344"/>
      <c r="Z738" s="1344"/>
      <c r="AA738" s="1344"/>
      <c r="AB738" s="1345"/>
      <c r="AC738" s="1347">
        <v>0.5</v>
      </c>
      <c r="AD738" s="1348"/>
      <c r="AE738" s="1348"/>
      <c r="AF738" s="1348"/>
      <c r="AG738" s="1349"/>
      <c r="AH738" s="1336">
        <f t="shared" si="48"/>
        <v>0.5</v>
      </c>
      <c r="AI738" s="1337"/>
      <c r="AJ738" s="1338"/>
      <c r="AK738" s="1333" t="s">
        <v>618</v>
      </c>
      <c r="AL738" s="1334"/>
      <c r="AM738" s="1334"/>
      <c r="AN738" s="1334"/>
      <c r="AO738" s="1335"/>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519" t="s">
        <v>169</v>
      </c>
      <c r="C739" s="1559"/>
      <c r="D739" s="1559"/>
      <c r="E739" s="1559"/>
      <c r="F739" s="1560"/>
      <c r="G739" s="1641">
        <v>1</v>
      </c>
      <c r="H739" s="1642"/>
      <c r="I739" s="1642"/>
      <c r="J739" s="1643"/>
      <c r="K739" s="1566">
        <v>1274</v>
      </c>
      <c r="L739" s="1567"/>
      <c r="M739" s="1567"/>
      <c r="N739" s="1568"/>
      <c r="O739" s="1561">
        <v>1210</v>
      </c>
      <c r="P739" s="1562"/>
      <c r="Q739" s="1562"/>
      <c r="R739" s="1562"/>
      <c r="S739" s="1563"/>
      <c r="T739" s="1561">
        <v>5</v>
      </c>
      <c r="U739" s="1562"/>
      <c r="V739" s="1562"/>
      <c r="W739" s="1563"/>
      <c r="X739" s="1343">
        <f t="shared" si="47"/>
        <v>1215</v>
      </c>
      <c r="Y739" s="1344"/>
      <c r="Z739" s="1344"/>
      <c r="AA739" s="1344"/>
      <c r="AB739" s="1345"/>
      <c r="AC739" s="1347">
        <v>0.6</v>
      </c>
      <c r="AD739" s="1348"/>
      <c r="AE739" s="1348"/>
      <c r="AF739" s="1348"/>
      <c r="AG739" s="1349"/>
      <c r="AH739" s="1336">
        <f t="shared" si="48"/>
        <v>0.59970384995064163</v>
      </c>
      <c r="AI739" s="1337"/>
      <c r="AJ739" s="1338"/>
      <c r="AK739" s="1333" t="s">
        <v>618</v>
      </c>
      <c r="AL739" s="1334"/>
      <c r="AM739" s="1334"/>
      <c r="AN739" s="1334"/>
      <c r="AO739" s="1335"/>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519" t="s">
        <v>170</v>
      </c>
      <c r="C740" s="1559"/>
      <c r="D740" s="1559"/>
      <c r="E740" s="1559"/>
      <c r="F740" s="1560"/>
      <c r="G740" s="1641">
        <v>2</v>
      </c>
      <c r="H740" s="1642"/>
      <c r="I740" s="1642"/>
      <c r="J740" s="1643"/>
      <c r="K740" s="1566">
        <v>1486</v>
      </c>
      <c r="L740" s="1567"/>
      <c r="M740" s="1567"/>
      <c r="N740" s="1568"/>
      <c r="O740" s="1561">
        <v>673</v>
      </c>
      <c r="P740" s="1562"/>
      <c r="Q740" s="1562"/>
      <c r="R740" s="1562"/>
      <c r="S740" s="1563"/>
      <c r="T740" s="1561">
        <v>5</v>
      </c>
      <c r="U740" s="1562"/>
      <c r="V740" s="1562"/>
      <c r="W740" s="1563"/>
      <c r="X740" s="1343">
        <f t="shared" si="47"/>
        <v>678</v>
      </c>
      <c r="Y740" s="1344"/>
      <c r="Z740" s="1344"/>
      <c r="AA740" s="1344"/>
      <c r="AB740" s="1345"/>
      <c r="AC740" s="1347">
        <v>0.3</v>
      </c>
      <c r="AD740" s="1348"/>
      <c r="AE740" s="1348"/>
      <c r="AF740" s="1348"/>
      <c r="AG740" s="1349"/>
      <c r="AH740" s="1336">
        <f t="shared" si="48"/>
        <v>0.3</v>
      </c>
      <c r="AI740" s="1337"/>
      <c r="AJ740" s="1338"/>
      <c r="AK740" s="1333" t="s">
        <v>618</v>
      </c>
      <c r="AL740" s="1334"/>
      <c r="AM740" s="1334"/>
      <c r="AN740" s="1334"/>
      <c r="AO740" s="1335"/>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564" t="s">
        <v>170</v>
      </c>
      <c r="C741" s="1559"/>
      <c r="D741" s="1559"/>
      <c r="E741" s="1559"/>
      <c r="F741" s="1560"/>
      <c r="G741" s="1641">
        <v>6</v>
      </c>
      <c r="H741" s="1642"/>
      <c r="I741" s="1642"/>
      <c r="J741" s="1643"/>
      <c r="K741" s="1566">
        <v>1486</v>
      </c>
      <c r="L741" s="1567"/>
      <c r="M741" s="1567"/>
      <c r="N741" s="1568"/>
      <c r="O741" s="1561">
        <v>899</v>
      </c>
      <c r="P741" s="1562"/>
      <c r="Q741" s="1562"/>
      <c r="R741" s="1562"/>
      <c r="S741" s="1563"/>
      <c r="T741" s="1561">
        <v>5</v>
      </c>
      <c r="U741" s="1562"/>
      <c r="V741" s="1562"/>
      <c r="W741" s="1563"/>
      <c r="X741" s="1343">
        <f t="shared" si="47"/>
        <v>904</v>
      </c>
      <c r="Y741" s="1344"/>
      <c r="Z741" s="1344"/>
      <c r="AA741" s="1344"/>
      <c r="AB741" s="1345"/>
      <c r="AC741" s="1347">
        <v>0.4</v>
      </c>
      <c r="AD741" s="1348"/>
      <c r="AE741" s="1348"/>
      <c r="AF741" s="1348"/>
      <c r="AG741" s="1349"/>
      <c r="AH741" s="1336">
        <f t="shared" si="48"/>
        <v>0.4</v>
      </c>
      <c r="AI741" s="1337"/>
      <c r="AJ741" s="1338"/>
      <c r="AK741" s="1333" t="s">
        <v>618</v>
      </c>
      <c r="AL741" s="1334"/>
      <c r="AM741" s="1334"/>
      <c r="AN741" s="1334"/>
      <c r="AO741" s="1335"/>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519" t="s">
        <v>170</v>
      </c>
      <c r="C742" s="1559"/>
      <c r="D742" s="1559"/>
      <c r="E742" s="1559"/>
      <c r="F742" s="1560"/>
      <c r="G742" s="1641">
        <v>1</v>
      </c>
      <c r="H742" s="1642"/>
      <c r="I742" s="1642"/>
      <c r="J742" s="1643"/>
      <c r="K742" s="1566">
        <v>1486</v>
      </c>
      <c r="L742" s="1567"/>
      <c r="M742" s="1567"/>
      <c r="N742" s="1568"/>
      <c r="O742" s="1561">
        <v>1125</v>
      </c>
      <c r="P742" s="1562"/>
      <c r="Q742" s="1562"/>
      <c r="R742" s="1562"/>
      <c r="S742" s="1563"/>
      <c r="T742" s="1561">
        <v>5</v>
      </c>
      <c r="U742" s="1562"/>
      <c r="V742" s="1562"/>
      <c r="W742" s="1563"/>
      <c r="X742" s="1343">
        <f t="shared" si="47"/>
        <v>1130</v>
      </c>
      <c r="Y742" s="1344"/>
      <c r="Z742" s="1344"/>
      <c r="AA742" s="1344"/>
      <c r="AB742" s="1345"/>
      <c r="AC742" s="1347">
        <v>0.5</v>
      </c>
      <c r="AD742" s="1348"/>
      <c r="AE742" s="1348"/>
      <c r="AF742" s="1348"/>
      <c r="AG742" s="1349"/>
      <c r="AH742" s="1336">
        <f t="shared" si="48"/>
        <v>0.5</v>
      </c>
      <c r="AI742" s="1337"/>
      <c r="AJ742" s="1338"/>
      <c r="AK742" s="1333" t="s">
        <v>618</v>
      </c>
      <c r="AL742" s="1334"/>
      <c r="AM742" s="1334"/>
      <c r="AN742" s="1334"/>
      <c r="AO742" s="1335"/>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519" t="s">
        <v>170</v>
      </c>
      <c r="C743" s="1559"/>
      <c r="D743" s="1559"/>
      <c r="E743" s="1559"/>
      <c r="F743" s="1560"/>
      <c r="G743" s="1641">
        <v>1</v>
      </c>
      <c r="H743" s="1642"/>
      <c r="I743" s="1642"/>
      <c r="J743" s="1643"/>
      <c r="K743" s="1566">
        <v>1486</v>
      </c>
      <c r="L743" s="1567"/>
      <c r="M743" s="1567"/>
      <c r="N743" s="1568"/>
      <c r="O743" s="1561">
        <v>1351</v>
      </c>
      <c r="P743" s="1562"/>
      <c r="Q743" s="1562"/>
      <c r="R743" s="1562"/>
      <c r="S743" s="1563"/>
      <c r="T743" s="1561">
        <v>5</v>
      </c>
      <c r="U743" s="1562"/>
      <c r="V743" s="1562"/>
      <c r="W743" s="1563"/>
      <c r="X743" s="1343">
        <f t="shared" si="47"/>
        <v>1356</v>
      </c>
      <c r="Y743" s="1344"/>
      <c r="Z743" s="1344"/>
      <c r="AA743" s="1344"/>
      <c r="AB743" s="1345"/>
      <c r="AC743" s="1347">
        <v>0.6</v>
      </c>
      <c r="AD743" s="1348"/>
      <c r="AE743" s="1348"/>
      <c r="AF743" s="1348"/>
      <c r="AG743" s="1349"/>
      <c r="AH743" s="1336">
        <f t="shared" si="48"/>
        <v>0.6</v>
      </c>
      <c r="AI743" s="1337"/>
      <c r="AJ743" s="1338"/>
      <c r="AK743" s="1333" t="s">
        <v>618</v>
      </c>
      <c r="AL743" s="1334"/>
      <c r="AM743" s="1334"/>
      <c r="AN743" s="1334"/>
      <c r="AO743" s="1335"/>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33"/>
      <c r="C744" s="1334"/>
      <c r="D744" s="1334"/>
      <c r="E744" s="1334"/>
      <c r="F744" s="1335"/>
      <c r="G744" s="1569"/>
      <c r="H744" s="1570"/>
      <c r="I744" s="1570"/>
      <c r="J744" s="1571"/>
      <c r="K744" s="1566"/>
      <c r="L744" s="1567"/>
      <c r="M744" s="1567"/>
      <c r="N744" s="1568"/>
      <c r="O744" s="1561"/>
      <c r="P744" s="1562"/>
      <c r="Q744" s="1562"/>
      <c r="R744" s="1562"/>
      <c r="S744" s="1563"/>
      <c r="T744" s="1561"/>
      <c r="U744" s="1562"/>
      <c r="V744" s="1562"/>
      <c r="W744" s="1563"/>
      <c r="X744" s="1343">
        <f t="shared" si="47"/>
        <v>0</v>
      </c>
      <c r="Y744" s="1344"/>
      <c r="Z744" s="1344"/>
      <c r="AA744" s="1344"/>
      <c r="AB744" s="1345"/>
      <c r="AC744" s="1347">
        <v>0</v>
      </c>
      <c r="AD744" s="1348"/>
      <c r="AE744" s="1348"/>
      <c r="AF744" s="1348"/>
      <c r="AG744" s="1349"/>
      <c r="AH744" s="1336" t="str">
        <f t="shared" si="48"/>
        <v xml:space="preserve"> </v>
      </c>
      <c r="AI744" s="1337"/>
      <c r="AJ744" s="1338"/>
      <c r="AK744" s="1333" t="s">
        <v>618</v>
      </c>
      <c r="AL744" s="1334"/>
      <c r="AM744" s="1334"/>
      <c r="AN744" s="1334"/>
      <c r="AO744" s="1335"/>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33"/>
      <c r="C745" s="1334"/>
      <c r="D745" s="1334"/>
      <c r="E745" s="1334"/>
      <c r="F745" s="1335"/>
      <c r="G745" s="1569"/>
      <c r="H745" s="1570"/>
      <c r="I745" s="1570"/>
      <c r="J745" s="1571"/>
      <c r="K745" s="1566"/>
      <c r="L745" s="1567"/>
      <c r="M745" s="1567"/>
      <c r="N745" s="1568"/>
      <c r="O745" s="1561"/>
      <c r="P745" s="1562"/>
      <c r="Q745" s="1562"/>
      <c r="R745" s="1562"/>
      <c r="S745" s="1563"/>
      <c r="T745" s="1561"/>
      <c r="U745" s="1562"/>
      <c r="V745" s="1562"/>
      <c r="W745" s="1563"/>
      <c r="X745" s="1343">
        <f t="shared" si="47"/>
        <v>0</v>
      </c>
      <c r="Y745" s="1344"/>
      <c r="Z745" s="1344"/>
      <c r="AA745" s="1344"/>
      <c r="AB745" s="1345"/>
      <c r="AC745" s="1347">
        <v>0</v>
      </c>
      <c r="AD745" s="1348"/>
      <c r="AE745" s="1348"/>
      <c r="AF745" s="1348"/>
      <c r="AG745" s="1349"/>
      <c r="AH745" s="1336" t="str">
        <f t="shared" si="48"/>
        <v xml:space="preserve"> </v>
      </c>
      <c r="AI745" s="1337"/>
      <c r="AJ745" s="1338"/>
      <c r="AK745" s="1333" t="s">
        <v>618</v>
      </c>
      <c r="AL745" s="1334"/>
      <c r="AM745" s="1334"/>
      <c r="AN745" s="1334"/>
      <c r="AO745" s="1335"/>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33"/>
      <c r="C746" s="1334"/>
      <c r="D746" s="1334"/>
      <c r="E746" s="1334"/>
      <c r="F746" s="1335"/>
      <c r="G746" s="1569"/>
      <c r="H746" s="1570"/>
      <c r="I746" s="1570"/>
      <c r="J746" s="1571"/>
      <c r="K746" s="1566"/>
      <c r="L746" s="1567"/>
      <c r="M746" s="1567"/>
      <c r="N746" s="1568"/>
      <c r="O746" s="1561"/>
      <c r="P746" s="1562"/>
      <c r="Q746" s="1562"/>
      <c r="R746" s="1562"/>
      <c r="S746" s="1563"/>
      <c r="T746" s="1561"/>
      <c r="U746" s="1562"/>
      <c r="V746" s="1562"/>
      <c r="W746" s="1563"/>
      <c r="X746" s="1343">
        <f t="shared" si="47"/>
        <v>0</v>
      </c>
      <c r="Y746" s="1344"/>
      <c r="Z746" s="1344"/>
      <c r="AA746" s="1344"/>
      <c r="AB746" s="1345"/>
      <c r="AC746" s="1347">
        <v>0</v>
      </c>
      <c r="AD746" s="1348"/>
      <c r="AE746" s="1348"/>
      <c r="AF746" s="1348"/>
      <c r="AG746" s="1349"/>
      <c r="AH746" s="1336" t="str">
        <f t="shared" si="48"/>
        <v xml:space="preserve"> </v>
      </c>
      <c r="AI746" s="1337"/>
      <c r="AJ746" s="1338"/>
      <c r="AK746" s="1333" t="s">
        <v>618</v>
      </c>
      <c r="AL746" s="1334"/>
      <c r="AM746" s="1334"/>
      <c r="AN746" s="1334"/>
      <c r="AO746" s="1335"/>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33"/>
      <c r="C747" s="1334"/>
      <c r="D747" s="1334"/>
      <c r="E747" s="1334"/>
      <c r="F747" s="1335"/>
      <c r="G747" s="1569"/>
      <c r="H747" s="1570"/>
      <c r="I747" s="1570"/>
      <c r="J747" s="1571"/>
      <c r="K747" s="1566"/>
      <c r="L747" s="1567"/>
      <c r="M747" s="1567"/>
      <c r="N747" s="1568"/>
      <c r="O747" s="1561"/>
      <c r="P747" s="1562"/>
      <c r="Q747" s="1562"/>
      <c r="R747" s="1562"/>
      <c r="S747" s="1563"/>
      <c r="T747" s="1561"/>
      <c r="U747" s="1562"/>
      <c r="V747" s="1562"/>
      <c r="W747" s="1563"/>
      <c r="X747" s="1343">
        <f t="shared" si="47"/>
        <v>0</v>
      </c>
      <c r="Y747" s="1344"/>
      <c r="Z747" s="1344"/>
      <c r="AA747" s="1344"/>
      <c r="AB747" s="1345"/>
      <c r="AC747" s="1347">
        <v>0</v>
      </c>
      <c r="AD747" s="1348"/>
      <c r="AE747" s="1348"/>
      <c r="AF747" s="1348"/>
      <c r="AG747" s="1349"/>
      <c r="AH747" s="1336" t="str">
        <f t="shared" si="48"/>
        <v xml:space="preserve"> </v>
      </c>
      <c r="AI747" s="1337"/>
      <c r="AJ747" s="1338"/>
      <c r="AK747" s="1333" t="s">
        <v>618</v>
      </c>
      <c r="AL747" s="1334"/>
      <c r="AM747" s="1334"/>
      <c r="AN747" s="1334"/>
      <c r="AO747" s="1335"/>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33"/>
      <c r="C748" s="1334"/>
      <c r="D748" s="1334"/>
      <c r="E748" s="1334"/>
      <c r="F748" s="1335"/>
      <c r="G748" s="1569"/>
      <c r="H748" s="1570"/>
      <c r="I748" s="1570"/>
      <c r="J748" s="1571"/>
      <c r="K748" s="1566"/>
      <c r="L748" s="1567"/>
      <c r="M748" s="1567"/>
      <c r="N748" s="1568"/>
      <c r="O748" s="1561"/>
      <c r="P748" s="1562"/>
      <c r="Q748" s="1562"/>
      <c r="R748" s="1562"/>
      <c r="S748" s="1563"/>
      <c r="T748" s="1561"/>
      <c r="U748" s="1562"/>
      <c r="V748" s="1562"/>
      <c r="W748" s="1563"/>
      <c r="X748" s="1343">
        <f t="shared" si="47"/>
        <v>0</v>
      </c>
      <c r="Y748" s="1344"/>
      <c r="Z748" s="1344"/>
      <c r="AA748" s="1344"/>
      <c r="AB748" s="1345"/>
      <c r="AC748" s="1347">
        <v>0</v>
      </c>
      <c r="AD748" s="1348"/>
      <c r="AE748" s="1348"/>
      <c r="AF748" s="1348"/>
      <c r="AG748" s="1349"/>
      <c r="AH748" s="1336" t="str">
        <f t="shared" si="48"/>
        <v xml:space="preserve"> </v>
      </c>
      <c r="AI748" s="1337"/>
      <c r="AJ748" s="1338"/>
      <c r="AK748" s="1333" t="s">
        <v>618</v>
      </c>
      <c r="AL748" s="1334"/>
      <c r="AM748" s="1334"/>
      <c r="AN748" s="1334"/>
      <c r="AO748" s="1335"/>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33"/>
      <c r="C749" s="1334"/>
      <c r="D749" s="1334"/>
      <c r="E749" s="1334"/>
      <c r="F749" s="1335"/>
      <c r="G749" s="1569"/>
      <c r="H749" s="1570"/>
      <c r="I749" s="1570"/>
      <c r="J749" s="1571"/>
      <c r="K749" s="1566"/>
      <c r="L749" s="1567"/>
      <c r="M749" s="1567"/>
      <c r="N749" s="1568"/>
      <c r="O749" s="1561"/>
      <c r="P749" s="1562"/>
      <c r="Q749" s="1562"/>
      <c r="R749" s="1562"/>
      <c r="S749" s="1563"/>
      <c r="T749" s="1561"/>
      <c r="U749" s="1562"/>
      <c r="V749" s="1562"/>
      <c r="W749" s="1563"/>
      <c r="X749" s="1343">
        <f t="shared" si="47"/>
        <v>0</v>
      </c>
      <c r="Y749" s="1344"/>
      <c r="Z749" s="1344"/>
      <c r="AA749" s="1344"/>
      <c r="AB749" s="1345"/>
      <c r="AC749" s="1347">
        <v>0</v>
      </c>
      <c r="AD749" s="1348"/>
      <c r="AE749" s="1348"/>
      <c r="AF749" s="1348"/>
      <c r="AG749" s="1349"/>
      <c r="AH749" s="1336" t="str">
        <f t="shared" si="48"/>
        <v xml:space="preserve"> </v>
      </c>
      <c r="AI749" s="1337"/>
      <c r="AJ749" s="1338"/>
      <c r="AK749" s="1333" t="s">
        <v>618</v>
      </c>
      <c r="AL749" s="1334"/>
      <c r="AM749" s="1334"/>
      <c r="AN749" s="1334"/>
      <c r="AO749" s="1335"/>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3"/>
      <c r="C750" s="1334"/>
      <c r="D750" s="1334"/>
      <c r="E750" s="1334"/>
      <c r="F750" s="1335"/>
      <c r="G750" s="1569"/>
      <c r="H750" s="1570"/>
      <c r="I750" s="1570"/>
      <c r="J750" s="1571"/>
      <c r="K750" s="1566"/>
      <c r="L750" s="1567"/>
      <c r="M750" s="1567"/>
      <c r="N750" s="1568"/>
      <c r="O750" s="1561"/>
      <c r="P750" s="1562"/>
      <c r="Q750" s="1562"/>
      <c r="R750" s="1562"/>
      <c r="S750" s="1563"/>
      <c r="T750" s="1561"/>
      <c r="U750" s="1562"/>
      <c r="V750" s="1562"/>
      <c r="W750" s="1563"/>
      <c r="X750" s="1343">
        <f t="shared" si="47"/>
        <v>0</v>
      </c>
      <c r="Y750" s="1344"/>
      <c r="Z750" s="1344"/>
      <c r="AA750" s="1344"/>
      <c r="AB750" s="1345"/>
      <c r="AC750" s="1347">
        <v>0</v>
      </c>
      <c r="AD750" s="1348"/>
      <c r="AE750" s="1348"/>
      <c r="AF750" s="1348"/>
      <c r="AG750" s="1349"/>
      <c r="AH750" s="1336" t="str">
        <f t="shared" si="48"/>
        <v xml:space="preserve"> </v>
      </c>
      <c r="AI750" s="1337"/>
      <c r="AJ750" s="1338"/>
      <c r="AK750" s="1333" t="s">
        <v>618</v>
      </c>
      <c r="AL750" s="1334"/>
      <c r="AM750" s="1334"/>
      <c r="AN750" s="1334"/>
      <c r="AO750" s="1335"/>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33"/>
      <c r="C751" s="1334"/>
      <c r="D751" s="1334"/>
      <c r="E751" s="1334"/>
      <c r="F751" s="1335"/>
      <c r="G751" s="1569"/>
      <c r="H751" s="1570"/>
      <c r="I751" s="1570"/>
      <c r="J751" s="1571"/>
      <c r="K751" s="1566"/>
      <c r="L751" s="1567"/>
      <c r="M751" s="1567"/>
      <c r="N751" s="1568"/>
      <c r="O751" s="1561"/>
      <c r="P751" s="1562"/>
      <c r="Q751" s="1562"/>
      <c r="R751" s="1562"/>
      <c r="S751" s="1563"/>
      <c r="T751" s="1561"/>
      <c r="U751" s="1562"/>
      <c r="V751" s="1562"/>
      <c r="W751" s="1563"/>
      <c r="X751" s="1343">
        <f t="shared" si="47"/>
        <v>0</v>
      </c>
      <c r="Y751" s="1344"/>
      <c r="Z751" s="1344"/>
      <c r="AA751" s="1344"/>
      <c r="AB751" s="1345"/>
      <c r="AC751" s="1347">
        <v>0</v>
      </c>
      <c r="AD751" s="1348"/>
      <c r="AE751" s="1348"/>
      <c r="AF751" s="1348"/>
      <c r="AG751" s="1349"/>
      <c r="AH751" s="1336" t="str">
        <f t="shared" si="48"/>
        <v xml:space="preserve"> </v>
      </c>
      <c r="AI751" s="1337"/>
      <c r="AJ751" s="1338"/>
      <c r="AK751" s="1333" t="s">
        <v>618</v>
      </c>
      <c r="AL751" s="1334"/>
      <c r="AM751" s="1334"/>
      <c r="AN751" s="1334"/>
      <c r="AO751" s="1335"/>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33"/>
      <c r="C752" s="1334"/>
      <c r="D752" s="1334"/>
      <c r="E752" s="1334"/>
      <c r="F752" s="1335"/>
      <c r="G752" s="1569"/>
      <c r="H752" s="1570"/>
      <c r="I752" s="1570"/>
      <c r="J752" s="1571"/>
      <c r="K752" s="1566"/>
      <c r="L752" s="1567"/>
      <c r="M752" s="1567"/>
      <c r="N752" s="1568"/>
      <c r="O752" s="1561"/>
      <c r="P752" s="1562"/>
      <c r="Q752" s="1562"/>
      <c r="R752" s="1562"/>
      <c r="S752" s="1563"/>
      <c r="T752" s="1561"/>
      <c r="U752" s="1562"/>
      <c r="V752" s="1562"/>
      <c r="W752" s="1563"/>
      <c r="X752" s="1343">
        <f t="shared" si="47"/>
        <v>0</v>
      </c>
      <c r="Y752" s="1344"/>
      <c r="Z752" s="1344"/>
      <c r="AA752" s="1344"/>
      <c r="AB752" s="1345"/>
      <c r="AC752" s="1347">
        <v>0</v>
      </c>
      <c r="AD752" s="1348"/>
      <c r="AE752" s="1348"/>
      <c r="AF752" s="1348"/>
      <c r="AG752" s="1349"/>
      <c r="AH752" s="1336" t="str">
        <f t="shared" si="48"/>
        <v xml:space="preserve"> </v>
      </c>
      <c r="AI752" s="1337"/>
      <c r="AJ752" s="1338"/>
      <c r="AK752" s="1333" t="s">
        <v>618</v>
      </c>
      <c r="AL752" s="1334"/>
      <c r="AM752" s="1334"/>
      <c r="AN752" s="1334"/>
      <c r="AO752" s="1335"/>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78" t="s">
        <v>130</v>
      </c>
      <c r="C753" s="1579"/>
      <c r="D753" s="1579"/>
      <c r="E753" s="1579"/>
      <c r="F753" s="1580"/>
      <c r="G753" s="1731">
        <f>SUM(G728:J752)</f>
        <v>74</v>
      </c>
      <c r="H753" s="1732"/>
      <c r="I753" s="1732"/>
      <c r="J753" s="1733"/>
      <c r="K753" s="942" t="s">
        <v>129</v>
      </c>
      <c r="L753" s="5"/>
      <c r="M753" s="5"/>
      <c r="N753" s="46"/>
      <c r="O753" s="1343">
        <f>SUMPRODUCT(G728:G752,O728:O752)</f>
        <v>56416</v>
      </c>
      <c r="P753" s="1344"/>
      <c r="Q753" s="1344"/>
      <c r="R753" s="1344"/>
      <c r="S753" s="1345"/>
      <c r="X753" s="944" t="s">
        <v>953</v>
      </c>
      <c r="Y753" s="943"/>
      <c r="Z753" s="943"/>
      <c r="AA753" s="943"/>
      <c r="AB753" s="945"/>
      <c r="AC753" s="1512">
        <f>BI696</f>
        <v>0.40135135135135136</v>
      </c>
      <c r="AD753" s="1513"/>
      <c r="AE753" s="1513"/>
      <c r="AF753" s="1513"/>
      <c r="AG753" s="1514"/>
      <c r="AH753" s="1512">
        <f>BI728</f>
        <v>0.40127594064623617</v>
      </c>
      <c r="AI753" s="1513"/>
      <c r="AJ753" s="1514"/>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30" t="s">
        <v>2319</v>
      </c>
      <c r="C754" s="1730"/>
      <c r="D754" s="1730"/>
      <c r="E754" s="1730"/>
      <c r="F754" s="1730"/>
      <c r="G754" s="1730"/>
      <c r="H754" s="1730"/>
      <c r="I754" s="1730"/>
      <c r="J754" s="1730"/>
      <c r="K754" s="1730"/>
      <c r="L754" s="1730"/>
      <c r="M754" s="1730"/>
      <c r="N754" s="1730"/>
      <c r="O754" s="1730"/>
      <c r="P754" s="1730"/>
      <c r="Q754" s="1730"/>
      <c r="R754" s="1730"/>
      <c r="S754" s="1730"/>
      <c r="T754" s="1730"/>
      <c r="U754" s="1730"/>
      <c r="V754" s="1730"/>
      <c r="W754" s="1730"/>
      <c r="X754" s="1730"/>
      <c r="Y754" s="1730"/>
      <c r="Z754" s="1730"/>
      <c r="AA754" s="1730"/>
      <c r="AB754" s="1730"/>
      <c r="AC754" s="1730"/>
      <c r="AD754" s="1730"/>
      <c r="AE754" s="1730"/>
      <c r="AF754" s="1730"/>
      <c r="AG754" s="1730"/>
      <c r="AH754" s="1730"/>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30"/>
      <c r="C755" s="1730"/>
      <c r="D755" s="1730"/>
      <c r="E755" s="1730"/>
      <c r="F755" s="1730"/>
      <c r="G755" s="1730"/>
      <c r="H755" s="1730"/>
      <c r="I755" s="1730"/>
      <c r="J755" s="1730"/>
      <c r="K755" s="1730"/>
      <c r="L755" s="1730"/>
      <c r="M755" s="1730"/>
      <c r="N755" s="1730"/>
      <c r="O755" s="1730"/>
      <c r="P755" s="1730"/>
      <c r="Q755" s="1730"/>
      <c r="R755" s="1730"/>
      <c r="S755" s="1730"/>
      <c r="T755" s="1730"/>
      <c r="U755" s="1730"/>
      <c r="V755" s="1730"/>
      <c r="W755" s="1730"/>
      <c r="X755" s="1730"/>
      <c r="Y755" s="1730"/>
      <c r="Z755" s="1730"/>
      <c r="AA755" s="1730"/>
      <c r="AB755" s="1730"/>
      <c r="AC755" s="1730"/>
      <c r="AD755" s="1730"/>
      <c r="AE755" s="1730"/>
      <c r="AF755" s="1730"/>
      <c r="AG755" s="1730"/>
      <c r="AH755" s="173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2317</v>
      </c>
      <c r="D756" s="1079"/>
      <c r="E756" s="1079"/>
      <c r="F756" s="1079"/>
      <c r="G756" s="1080"/>
      <c r="H756" s="1080"/>
      <c r="I756" s="1080"/>
      <c r="J756" s="1080"/>
      <c r="K756" s="1079"/>
      <c r="L756" s="1079"/>
      <c r="M756" s="1079"/>
      <c r="N756" s="1079"/>
      <c r="O756" s="1365">
        <f>CS637</f>
        <v>192</v>
      </c>
      <c r="P756" s="1365"/>
      <c r="Q756" s="1365"/>
      <c r="R756" s="1365"/>
      <c r="S756" s="1009"/>
      <c r="T756" s="1009"/>
      <c r="U756" s="118" t="s">
        <v>2318</v>
      </c>
      <c r="V756" s="1079"/>
      <c r="W756" s="1079"/>
      <c r="X756" s="1079"/>
      <c r="Y756" s="1080"/>
      <c r="Z756" s="1080"/>
      <c r="AA756" s="1080"/>
      <c r="AB756" s="1080"/>
      <c r="AC756" s="1079"/>
      <c r="AD756" s="1079"/>
      <c r="AE756" s="1079"/>
      <c r="AF756" s="1079"/>
      <c r="AG756" s="1684"/>
      <c r="AH756" s="1684"/>
      <c r="AI756" s="1684"/>
      <c r="AJ756" s="1684"/>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2316</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65" t="s">
        <v>618</v>
      </c>
      <c r="AE758" s="1565"/>
      <c r="AF758" s="1565"/>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2587</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50" t="s">
        <v>2588</v>
      </c>
      <c r="D762" s="1250"/>
      <c r="E762" s="1250"/>
      <c r="F762" s="1250"/>
      <c r="G762" s="1250"/>
      <c r="H762" s="1250"/>
      <c r="I762" s="1250"/>
      <c r="J762" s="1250"/>
      <c r="K762" s="1250"/>
      <c r="L762" s="1250"/>
      <c r="M762" s="1250"/>
      <c r="N762" s="1250"/>
      <c r="O762" s="1250"/>
      <c r="P762" s="1250"/>
      <c r="Q762" s="1250"/>
      <c r="R762" s="1250"/>
      <c r="S762" s="1250"/>
      <c r="T762" s="1250"/>
      <c r="U762" s="1250"/>
      <c r="V762" s="1250"/>
      <c r="W762" s="1250"/>
      <c r="X762" s="1250"/>
      <c r="Y762" s="1250"/>
      <c r="Z762" s="1250"/>
      <c r="AA762" s="1250"/>
      <c r="AB762" s="1250"/>
      <c r="AC762" s="1250"/>
      <c r="AD762" s="1250"/>
      <c r="AE762" s="1250"/>
      <c r="AF762" s="1250"/>
      <c r="AG762" s="1250"/>
      <c r="AH762" s="1250"/>
      <c r="AI762" s="1250"/>
      <c r="AJ762" s="1250"/>
      <c r="AK762" s="1250"/>
      <c r="AL762" s="1250"/>
      <c r="AM762" s="1250"/>
      <c r="AN762" s="1250"/>
      <c r="AO762" s="1250"/>
      <c r="AP762" s="1250"/>
      <c r="AQ762" s="1250"/>
      <c r="AR762" s="1250"/>
      <c r="AT762"/>
      <c r="AU762"/>
      <c r="AV762"/>
      <c r="AW762"/>
      <c r="AX762"/>
      <c r="AY762"/>
    </row>
    <row r="763" spans="1:16383" s="3" customFormat="1" ht="12.75" customHeight="1">
      <c r="B763" s="1079"/>
      <c r="C763" s="1250"/>
      <c r="D763" s="1250"/>
      <c r="E763" s="1250"/>
      <c r="F763" s="1250"/>
      <c r="G763" s="1250"/>
      <c r="H763" s="1250"/>
      <c r="I763" s="1250"/>
      <c r="J763" s="1250"/>
      <c r="K763" s="1250"/>
      <c r="L763" s="1250"/>
      <c r="M763" s="1250"/>
      <c r="N763" s="1250"/>
      <c r="O763" s="1250"/>
      <c r="P763" s="1250"/>
      <c r="Q763" s="1250"/>
      <c r="R763" s="1250"/>
      <c r="S763" s="1250"/>
      <c r="T763" s="1250"/>
      <c r="U763" s="1250"/>
      <c r="V763" s="1250"/>
      <c r="W763" s="1250"/>
      <c r="X763" s="1250"/>
      <c r="Y763" s="1250"/>
      <c r="Z763" s="1250"/>
      <c r="AA763" s="1250"/>
      <c r="AB763" s="1250"/>
      <c r="AC763" s="1250"/>
      <c r="AD763" s="1250"/>
      <c r="AE763" s="1250"/>
      <c r="AF763" s="1250"/>
      <c r="AG763" s="1250"/>
      <c r="AH763" s="1250"/>
      <c r="AI763" s="1250"/>
      <c r="AJ763" s="1250"/>
      <c r="AK763" s="1250"/>
      <c r="AL763" s="1250"/>
      <c r="AM763" s="1250"/>
      <c r="AN763" s="1250"/>
      <c r="AO763" s="1250"/>
      <c r="AP763" s="1250"/>
      <c r="AQ763" s="1250"/>
      <c r="AR763" s="1250"/>
      <c r="AT763"/>
      <c r="AU763"/>
      <c r="AV763"/>
      <c r="AW763"/>
      <c r="AX763"/>
      <c r="AY763"/>
    </row>
    <row r="764" spans="1:16383" s="3" customFormat="1" ht="12.75" customHeight="1">
      <c r="B764" s="1079"/>
      <c r="C764" s="1250"/>
      <c r="D764" s="1250"/>
      <c r="E764" s="1250"/>
      <c r="F764" s="1250"/>
      <c r="G764" s="1250"/>
      <c r="H764" s="1250"/>
      <c r="I764" s="1250"/>
      <c r="J764" s="1250"/>
      <c r="K764" s="1250"/>
      <c r="L764" s="1250"/>
      <c r="M764" s="1250"/>
      <c r="N764" s="1250"/>
      <c r="O764" s="1250"/>
      <c r="P764" s="1250"/>
      <c r="Q764" s="1250"/>
      <c r="R764" s="1250"/>
      <c r="S764" s="1250"/>
      <c r="T764" s="1250"/>
      <c r="U764" s="1250"/>
      <c r="V764" s="1250"/>
      <c r="W764" s="1250"/>
      <c r="X764" s="1250"/>
      <c r="Y764" s="1250"/>
      <c r="Z764" s="1250"/>
      <c r="AA764" s="1250"/>
      <c r="AB764" s="1250"/>
      <c r="AC764" s="1250"/>
      <c r="AD764" s="1250"/>
      <c r="AE764" s="1250"/>
      <c r="AF764" s="1250"/>
      <c r="AG764" s="1250"/>
      <c r="AH764" s="1250"/>
      <c r="AI764" s="1250"/>
      <c r="AJ764" s="1250"/>
      <c r="AK764" s="1250"/>
      <c r="AL764" s="1250"/>
      <c r="AM764" s="1250"/>
      <c r="AN764" s="1250"/>
      <c r="AO764" s="1250"/>
      <c r="AP764" s="1250"/>
      <c r="AQ764" s="1250"/>
      <c r="AR764" s="1250"/>
      <c r="AT764"/>
      <c r="AU764"/>
      <c r="AV764"/>
      <c r="AW764"/>
      <c r="AX764"/>
      <c r="AY764"/>
    </row>
    <row r="765" spans="1:16383" s="3" customFormat="1" ht="12.75" customHeight="1">
      <c r="B765" s="1079"/>
      <c r="C765" s="1250" t="s">
        <v>2589</v>
      </c>
      <c r="D765" s="1250"/>
      <c r="E765" s="1250"/>
      <c r="F765" s="1250"/>
      <c r="G765" s="1250"/>
      <c r="H765" s="1250"/>
      <c r="I765" s="1250"/>
      <c r="J765" s="1250"/>
      <c r="K765" s="1250"/>
      <c r="L765" s="1250"/>
      <c r="M765" s="1250"/>
      <c r="N765" s="1250"/>
      <c r="O765" s="1250"/>
      <c r="P765" s="1250"/>
      <c r="Q765" s="1250"/>
      <c r="R765" s="1250"/>
      <c r="S765" s="1250"/>
      <c r="T765" s="1250"/>
      <c r="U765" s="1250"/>
      <c r="V765" s="1250"/>
      <c r="W765" s="1250"/>
      <c r="X765" s="1250"/>
      <c r="Y765" s="1250"/>
      <c r="Z765" s="1250"/>
      <c r="AA765" s="1250"/>
      <c r="AB765" s="1250"/>
      <c r="AC765" s="1250"/>
      <c r="AD765" s="1250"/>
      <c r="AE765" s="1250"/>
      <c r="AF765" s="1250"/>
      <c r="AG765" s="1250"/>
      <c r="AH765" s="1250"/>
      <c r="AI765" s="1250"/>
      <c r="AJ765" s="1250"/>
      <c r="AK765" s="1250"/>
      <c r="AL765" s="1250"/>
      <c r="AM765" s="1250"/>
      <c r="AN765" s="1250"/>
      <c r="AO765" s="1250"/>
      <c r="AP765" s="1250"/>
      <c r="AQ765" s="1250"/>
      <c r="AR765" s="1250"/>
      <c r="AT765"/>
      <c r="AU765"/>
      <c r="AV765"/>
      <c r="AW765"/>
      <c r="AX765"/>
      <c r="AY765"/>
    </row>
    <row r="766" spans="1:16383" s="3" customFormat="1" ht="12.75" customHeight="1">
      <c r="B766" s="1079"/>
      <c r="C766" s="1250"/>
      <c r="D766" s="1250"/>
      <c r="E766" s="1250"/>
      <c r="F766" s="1250"/>
      <c r="G766" s="1250"/>
      <c r="H766" s="1250"/>
      <c r="I766" s="1250"/>
      <c r="J766" s="1250"/>
      <c r="K766" s="1250"/>
      <c r="L766" s="1250"/>
      <c r="M766" s="1250"/>
      <c r="N766" s="1250"/>
      <c r="O766" s="1250"/>
      <c r="P766" s="1250"/>
      <c r="Q766" s="1250"/>
      <c r="R766" s="1250"/>
      <c r="S766" s="1250"/>
      <c r="T766" s="1250"/>
      <c r="U766" s="1250"/>
      <c r="V766" s="1250"/>
      <c r="W766" s="1250"/>
      <c r="X766" s="1250"/>
      <c r="Y766" s="1250"/>
      <c r="Z766" s="1250"/>
      <c r="AA766" s="1250"/>
      <c r="AB766" s="1250"/>
      <c r="AC766" s="1250"/>
      <c r="AD766" s="1250"/>
      <c r="AE766" s="1250"/>
      <c r="AF766" s="1250"/>
      <c r="AG766" s="1250"/>
      <c r="AH766" s="1250"/>
      <c r="AI766" s="1250"/>
      <c r="AJ766" s="1250"/>
      <c r="AK766" s="1250"/>
      <c r="AL766" s="1250"/>
      <c r="AM766" s="1250"/>
      <c r="AN766" s="1250"/>
      <c r="AO766" s="1250"/>
      <c r="AP766" s="1250"/>
      <c r="AQ766" s="1250"/>
      <c r="AR766" s="1250"/>
      <c r="AT766"/>
      <c r="AU766"/>
      <c r="AV766"/>
      <c r="AW766"/>
      <c r="AX766"/>
      <c r="AY766"/>
    </row>
    <row r="767" spans="1:16383" s="3" customFormat="1" ht="12.75" customHeight="1">
      <c r="B767" s="1079"/>
      <c r="C767" s="1250"/>
      <c r="D767" s="1250"/>
      <c r="E767" s="1250"/>
      <c r="F767" s="1250"/>
      <c r="G767" s="1250"/>
      <c r="H767" s="1250"/>
      <c r="I767" s="1250"/>
      <c r="J767" s="1250"/>
      <c r="K767" s="1250"/>
      <c r="L767" s="1250"/>
      <c r="M767" s="1250"/>
      <c r="N767" s="1250"/>
      <c r="O767" s="1250"/>
      <c r="P767" s="1250"/>
      <c r="Q767" s="1250"/>
      <c r="R767" s="1250"/>
      <c r="S767" s="1250"/>
      <c r="T767" s="1250"/>
      <c r="U767" s="1250"/>
      <c r="V767" s="1250"/>
      <c r="W767" s="1250"/>
      <c r="X767" s="1250"/>
      <c r="Y767" s="1250"/>
      <c r="Z767" s="1250"/>
      <c r="AA767" s="1250"/>
      <c r="AB767" s="1250"/>
      <c r="AC767" s="1250"/>
      <c r="AD767" s="1250"/>
      <c r="AE767" s="1250"/>
      <c r="AF767" s="1250"/>
      <c r="AG767" s="1250"/>
      <c r="AH767" s="1250"/>
      <c r="AI767" s="1250"/>
      <c r="AJ767" s="1250"/>
      <c r="AK767" s="1250"/>
      <c r="AL767" s="1250"/>
      <c r="AM767" s="1250"/>
      <c r="AN767" s="1250"/>
      <c r="AO767" s="1250"/>
      <c r="AP767" s="1250"/>
      <c r="AQ767" s="1250"/>
      <c r="AR767" s="1250"/>
      <c r="AT767"/>
      <c r="AU767"/>
      <c r="AV767"/>
      <c r="AW767"/>
      <c r="AX767"/>
      <c r="AY767"/>
    </row>
    <row r="768" spans="1:16383" ht="12.75" customHeight="1">
      <c r="J768" s="1581" t="s">
        <v>404</v>
      </c>
      <c r="K768" s="1582"/>
      <c r="L768" s="1582"/>
      <c r="M768" s="1582"/>
      <c r="N768" s="1583"/>
      <c r="O768" s="1682" t="s">
        <v>291</v>
      </c>
      <c r="P768" s="1682"/>
      <c r="Q768" s="1682"/>
      <c r="R768" s="1682"/>
      <c r="S768" s="1682"/>
      <c r="T768" s="1590" t="s">
        <v>1992</v>
      </c>
      <c r="U768" s="1591"/>
      <c r="V768" s="1591"/>
      <c r="W768" s="1592"/>
      <c r="X768" s="1581" t="s">
        <v>472</v>
      </c>
      <c r="Y768" s="1582"/>
      <c r="Z768" s="1582"/>
      <c r="AA768" s="1582"/>
      <c r="AB768" s="1583"/>
      <c r="AC768" s="1581" t="s">
        <v>292</v>
      </c>
      <c r="AD768" s="1582"/>
      <c r="AE768" s="1582"/>
      <c r="AF768" s="1582"/>
      <c r="AG768" s="1583"/>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84"/>
      <c r="K769" s="1585"/>
      <c r="L769" s="1585"/>
      <c r="M769" s="1585"/>
      <c r="N769" s="1586"/>
      <c r="O769" s="1682"/>
      <c r="P769" s="1682"/>
      <c r="Q769" s="1682"/>
      <c r="R769" s="1682"/>
      <c r="S769" s="1682"/>
      <c r="T769" s="1593"/>
      <c r="U769" s="1594"/>
      <c r="V769" s="1594"/>
      <c r="W769" s="1595"/>
      <c r="X769" s="1584"/>
      <c r="Y769" s="1585"/>
      <c r="Z769" s="1585"/>
      <c r="AA769" s="1585"/>
      <c r="AB769" s="1586"/>
      <c r="AC769" s="1584"/>
      <c r="AD769" s="1585"/>
      <c r="AE769" s="1585"/>
      <c r="AF769" s="1585"/>
      <c r="AG769" s="1586"/>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84"/>
      <c r="K770" s="1585"/>
      <c r="L770" s="1585"/>
      <c r="M770" s="1585"/>
      <c r="N770" s="1586"/>
      <c r="O770" s="1682"/>
      <c r="P770" s="1682"/>
      <c r="Q770" s="1682"/>
      <c r="R770" s="1682"/>
      <c r="S770" s="1682"/>
      <c r="T770" s="1593"/>
      <c r="U770" s="1594"/>
      <c r="V770" s="1594"/>
      <c r="W770" s="1595"/>
      <c r="X770" s="1584"/>
      <c r="Y770" s="1585"/>
      <c r="Z770" s="1585"/>
      <c r="AA770" s="1585"/>
      <c r="AB770" s="1586"/>
      <c r="AC770" s="1584"/>
      <c r="AD770" s="1585"/>
      <c r="AE770" s="1585"/>
      <c r="AF770" s="1585"/>
      <c r="AG770" s="1586"/>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87"/>
      <c r="K771" s="1588"/>
      <c r="L771" s="1588"/>
      <c r="M771" s="1588"/>
      <c r="N771" s="1589"/>
      <c r="O771" s="1682"/>
      <c r="P771" s="1682"/>
      <c r="Q771" s="1682"/>
      <c r="R771" s="1682"/>
      <c r="S771" s="1682"/>
      <c r="T771" s="1596"/>
      <c r="U771" s="1597"/>
      <c r="V771" s="1597"/>
      <c r="W771" s="1598"/>
      <c r="X771" s="1587"/>
      <c r="Y771" s="1588"/>
      <c r="Z771" s="1588"/>
      <c r="AA771" s="1588"/>
      <c r="AB771" s="1589"/>
      <c r="AC771" s="1587"/>
      <c r="AD771" s="1588"/>
      <c r="AE771" s="1588"/>
      <c r="AF771" s="1588"/>
      <c r="AG771" s="1589"/>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33" t="s">
        <v>169</v>
      </c>
      <c r="K772" s="1334"/>
      <c r="L772" s="1334"/>
      <c r="M772" s="1334"/>
      <c r="N772" s="1335"/>
      <c r="O772" s="1600">
        <v>1</v>
      </c>
      <c r="P772" s="1600"/>
      <c r="Q772" s="1600"/>
      <c r="R772" s="1600"/>
      <c r="S772" s="1600"/>
      <c r="T772" s="1566">
        <v>1274</v>
      </c>
      <c r="U772" s="1567"/>
      <c r="V772" s="1567"/>
      <c r="W772" s="1568"/>
      <c r="X772" s="1561"/>
      <c r="Y772" s="1562"/>
      <c r="Z772" s="1562"/>
      <c r="AA772" s="1562"/>
      <c r="AB772" s="1563"/>
      <c r="AC772" s="1343">
        <f>X772*O772</f>
        <v>0</v>
      </c>
      <c r="AD772" s="1344"/>
      <c r="AE772" s="1344"/>
      <c r="AF772" s="1344"/>
      <c r="AG772" s="1345"/>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3"/>
      <c r="K773" s="1334"/>
      <c r="L773" s="1334"/>
      <c r="M773" s="1334"/>
      <c r="N773" s="1335"/>
      <c r="O773" s="1600"/>
      <c r="P773" s="1600"/>
      <c r="Q773" s="1600"/>
      <c r="R773" s="1600"/>
      <c r="S773" s="1600"/>
      <c r="T773" s="1566"/>
      <c r="U773" s="1567"/>
      <c r="V773" s="1567"/>
      <c r="W773" s="1568"/>
      <c r="X773" s="1561"/>
      <c r="Y773" s="1562"/>
      <c r="Z773" s="1562"/>
      <c r="AA773" s="1562"/>
      <c r="AB773" s="1563"/>
      <c r="AC773" s="1343">
        <f>X773*O773</f>
        <v>0</v>
      </c>
      <c r="AD773" s="1344"/>
      <c r="AE773" s="1344"/>
      <c r="AF773" s="1344"/>
      <c r="AG773" s="1345"/>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3"/>
      <c r="K774" s="1334"/>
      <c r="L774" s="1334"/>
      <c r="M774" s="1334"/>
      <c r="N774" s="1335"/>
      <c r="O774" s="1600"/>
      <c r="P774" s="1600"/>
      <c r="Q774" s="1600"/>
      <c r="R774" s="1600"/>
      <c r="S774" s="1600"/>
      <c r="T774" s="1566"/>
      <c r="U774" s="1567"/>
      <c r="V774" s="1567"/>
      <c r="W774" s="1568"/>
      <c r="X774" s="1561"/>
      <c r="Y774" s="1562"/>
      <c r="Z774" s="1562"/>
      <c r="AA774" s="1562"/>
      <c r="AB774" s="1563"/>
      <c r="AC774" s="1343">
        <f>X774*O774</f>
        <v>0</v>
      </c>
      <c r="AD774" s="1344"/>
      <c r="AE774" s="1344"/>
      <c r="AF774" s="1344"/>
      <c r="AG774" s="1345"/>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3"/>
      <c r="K775" s="1334"/>
      <c r="L775" s="1334"/>
      <c r="M775" s="1334"/>
      <c r="N775" s="1335"/>
      <c r="O775" s="1600"/>
      <c r="P775" s="1600"/>
      <c r="Q775" s="1600"/>
      <c r="R775" s="1600"/>
      <c r="S775" s="1600"/>
      <c r="T775" s="1566"/>
      <c r="U775" s="1567"/>
      <c r="V775" s="1567"/>
      <c r="W775" s="1568"/>
      <c r="X775" s="1561"/>
      <c r="Y775" s="1562"/>
      <c r="Z775" s="1562"/>
      <c r="AA775" s="1562"/>
      <c r="AB775" s="1563"/>
      <c r="AC775" s="1343">
        <f>X775*O775</f>
        <v>0</v>
      </c>
      <c r="AD775" s="1344"/>
      <c r="AE775" s="1344"/>
      <c r="AF775" s="1344"/>
      <c r="AG775" s="1345"/>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78" t="s">
        <v>130</v>
      </c>
      <c r="K776" s="1579"/>
      <c r="L776" s="1579"/>
      <c r="M776" s="1579"/>
      <c r="N776" s="1580"/>
      <c r="O776" s="1356">
        <f>SUM(O772:S775)</f>
        <v>1</v>
      </c>
      <c r="P776" s="1357"/>
      <c r="Q776" s="1357"/>
      <c r="R776" s="1357"/>
      <c r="S776" s="1358"/>
      <c r="X776" s="1578" t="s">
        <v>129</v>
      </c>
      <c r="Y776" s="1579"/>
      <c r="Z776" s="1579"/>
      <c r="AA776" s="1579"/>
      <c r="AB776" s="1580"/>
      <c r="AC776" s="1343">
        <f>SUM(AC772:AG775)</f>
        <v>0</v>
      </c>
      <c r="AD776" s="1344"/>
      <c r="AE776" s="1344"/>
      <c r="AF776" s="1344"/>
      <c r="AG776" s="1345"/>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69" t="s">
        <v>696</v>
      </c>
      <c r="K778" s="1669"/>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2590</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81" t="s">
        <v>404</v>
      </c>
      <c r="K782" s="1582"/>
      <c r="L782" s="1582"/>
      <c r="M782" s="1582"/>
      <c r="N782" s="1583"/>
      <c r="O782" s="1682" t="s">
        <v>291</v>
      </c>
      <c r="P782" s="1682"/>
      <c r="Q782" s="1682"/>
      <c r="R782" s="1682"/>
      <c r="S782" s="1682"/>
      <c r="T782" s="1590" t="s">
        <v>1992</v>
      </c>
      <c r="U782" s="1591"/>
      <c r="V782" s="1591"/>
      <c r="W782" s="1592"/>
      <c r="X782" s="1581" t="s">
        <v>472</v>
      </c>
      <c r="Y782" s="1582"/>
      <c r="Z782" s="1582"/>
      <c r="AA782" s="1582"/>
      <c r="AB782" s="1583"/>
      <c r="AC782" s="1581" t="s">
        <v>292</v>
      </c>
      <c r="AD782" s="1582"/>
      <c r="AE782" s="1582"/>
      <c r="AF782" s="1582"/>
      <c r="AG782" s="1583"/>
      <c r="AH782" s="1726" t="s">
        <v>2187</v>
      </c>
      <c r="AI782" s="1727"/>
      <c r="AJ782" s="1727"/>
      <c r="AK782" s="1727"/>
      <c r="AL782" s="172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84"/>
      <c r="K783" s="1585"/>
      <c r="L783" s="1585"/>
      <c r="M783" s="1585"/>
      <c r="N783" s="1586"/>
      <c r="O783" s="1682"/>
      <c r="P783" s="1682"/>
      <c r="Q783" s="1682"/>
      <c r="R783" s="1682"/>
      <c r="S783" s="1682"/>
      <c r="T783" s="1593"/>
      <c r="U783" s="1594"/>
      <c r="V783" s="1594"/>
      <c r="W783" s="1595"/>
      <c r="X783" s="1584"/>
      <c r="Y783" s="1585"/>
      <c r="Z783" s="1585"/>
      <c r="AA783" s="1585"/>
      <c r="AB783" s="1586"/>
      <c r="AC783" s="1584"/>
      <c r="AD783" s="1585"/>
      <c r="AE783" s="1585"/>
      <c r="AF783" s="1585"/>
      <c r="AG783" s="1586"/>
      <c r="AH783" s="1726"/>
      <c r="AI783" s="1727"/>
      <c r="AJ783" s="1727"/>
      <c r="AK783" s="1727"/>
      <c r="AL783" s="172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84"/>
      <c r="K784" s="1585"/>
      <c r="L784" s="1585"/>
      <c r="M784" s="1585"/>
      <c r="N784" s="1586"/>
      <c r="O784" s="1682"/>
      <c r="P784" s="1682"/>
      <c r="Q784" s="1682"/>
      <c r="R784" s="1682"/>
      <c r="S784" s="1682"/>
      <c r="T784" s="1593"/>
      <c r="U784" s="1594"/>
      <c r="V784" s="1594"/>
      <c r="W784" s="1595"/>
      <c r="X784" s="1584"/>
      <c r="Y784" s="1585"/>
      <c r="Z784" s="1585"/>
      <c r="AA784" s="1585"/>
      <c r="AB784" s="1586"/>
      <c r="AC784" s="1584"/>
      <c r="AD784" s="1585"/>
      <c r="AE784" s="1585"/>
      <c r="AF784" s="1585"/>
      <c r="AG784" s="1586"/>
      <c r="AH784" s="1726"/>
      <c r="AI784" s="1727"/>
      <c r="AJ784" s="1727"/>
      <c r="AK784" s="1727"/>
      <c r="AL784" s="17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87"/>
      <c r="K785" s="1588"/>
      <c r="L785" s="1588"/>
      <c r="M785" s="1588"/>
      <c r="N785" s="1589"/>
      <c r="O785" s="1682"/>
      <c r="P785" s="1682"/>
      <c r="Q785" s="1682"/>
      <c r="R785" s="1682"/>
      <c r="S785" s="1682"/>
      <c r="T785" s="1596"/>
      <c r="U785" s="1597"/>
      <c r="V785" s="1597"/>
      <c r="W785" s="1598"/>
      <c r="X785" s="1587"/>
      <c r="Y785" s="1588"/>
      <c r="Z785" s="1588"/>
      <c r="AA785" s="1588"/>
      <c r="AB785" s="1589"/>
      <c r="AC785" s="1587"/>
      <c r="AD785" s="1588"/>
      <c r="AE785" s="1588"/>
      <c r="AF785" s="1588"/>
      <c r="AG785" s="1589"/>
      <c r="AH785" s="1726"/>
      <c r="AI785" s="1727"/>
      <c r="AJ785" s="1727"/>
      <c r="AK785" s="1727"/>
      <c r="AL785" s="17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33"/>
      <c r="K786" s="1334"/>
      <c r="L786" s="1334"/>
      <c r="M786" s="1334"/>
      <c r="N786" s="1335"/>
      <c r="O786" s="1600"/>
      <c r="P786" s="1600"/>
      <c r="Q786" s="1600"/>
      <c r="R786" s="1600"/>
      <c r="S786" s="1600"/>
      <c r="T786" s="1566"/>
      <c r="U786" s="1567"/>
      <c r="V786" s="1567"/>
      <c r="W786" s="1568"/>
      <c r="X786" s="1561"/>
      <c r="Y786" s="1562"/>
      <c r="Z786" s="1562"/>
      <c r="AA786" s="1562"/>
      <c r="AB786" s="1563"/>
      <c r="AC786" s="1343">
        <f t="shared" ref="AC786:AC795" si="49">X786*O786</f>
        <v>0</v>
      </c>
      <c r="AD786" s="1344"/>
      <c r="AE786" s="1344"/>
      <c r="AF786" s="1344"/>
      <c r="AG786" s="1345"/>
      <c r="AH786" s="1601"/>
      <c r="AI786" s="1602"/>
      <c r="AJ786" s="1602"/>
      <c r="AK786" s="1602"/>
      <c r="AL786" s="16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33"/>
      <c r="K787" s="1334"/>
      <c r="L787" s="1334"/>
      <c r="M787" s="1334"/>
      <c r="N787" s="1335"/>
      <c r="O787" s="1600"/>
      <c r="P787" s="1600"/>
      <c r="Q787" s="1600"/>
      <c r="R787" s="1600"/>
      <c r="S787" s="1600"/>
      <c r="T787" s="1566"/>
      <c r="U787" s="1567"/>
      <c r="V787" s="1567"/>
      <c r="W787" s="1568"/>
      <c r="X787" s="1561"/>
      <c r="Y787" s="1562"/>
      <c r="Z787" s="1562"/>
      <c r="AA787" s="1562"/>
      <c r="AB787" s="1563"/>
      <c r="AC787" s="1343">
        <f t="shared" si="49"/>
        <v>0</v>
      </c>
      <c r="AD787" s="1344"/>
      <c r="AE787" s="1344"/>
      <c r="AF787" s="1344"/>
      <c r="AG787" s="1345"/>
      <c r="AH787" s="1601"/>
      <c r="AI787" s="1602"/>
      <c r="AJ787" s="1602"/>
      <c r="AK787" s="1602"/>
      <c r="AL787" s="160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33"/>
      <c r="K788" s="1334"/>
      <c r="L788" s="1334"/>
      <c r="M788" s="1334"/>
      <c r="N788" s="1335"/>
      <c r="O788" s="1600"/>
      <c r="P788" s="1600"/>
      <c r="Q788" s="1600"/>
      <c r="R788" s="1600"/>
      <c r="S788" s="1600"/>
      <c r="T788" s="1566"/>
      <c r="U788" s="1567"/>
      <c r="V788" s="1567"/>
      <c r="W788" s="1568"/>
      <c r="X788" s="1561"/>
      <c r="Y788" s="1562"/>
      <c r="Z788" s="1562"/>
      <c r="AA788" s="1562"/>
      <c r="AB788" s="1563"/>
      <c r="AC788" s="1343">
        <f t="shared" si="49"/>
        <v>0</v>
      </c>
      <c r="AD788" s="1344"/>
      <c r="AE788" s="1344"/>
      <c r="AF788" s="1344"/>
      <c r="AG788" s="1345"/>
      <c r="AH788" s="1601"/>
      <c r="AI788" s="1602"/>
      <c r="AJ788" s="1602"/>
      <c r="AK788" s="1602"/>
      <c r="AL788" s="1602"/>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33"/>
      <c r="K789" s="1334"/>
      <c r="L789" s="1334"/>
      <c r="M789" s="1334"/>
      <c r="N789" s="1335"/>
      <c r="O789" s="1600"/>
      <c r="P789" s="1600"/>
      <c r="Q789" s="1600"/>
      <c r="R789" s="1600"/>
      <c r="S789" s="1600"/>
      <c r="T789" s="1566"/>
      <c r="U789" s="1567"/>
      <c r="V789" s="1567"/>
      <c r="W789" s="1568"/>
      <c r="X789" s="1561"/>
      <c r="Y789" s="1562"/>
      <c r="Z789" s="1562"/>
      <c r="AA789" s="1562"/>
      <c r="AB789" s="1563"/>
      <c r="AC789" s="1343">
        <f t="shared" si="49"/>
        <v>0</v>
      </c>
      <c r="AD789" s="1344"/>
      <c r="AE789" s="1344"/>
      <c r="AF789" s="1344"/>
      <c r="AG789" s="1345"/>
      <c r="AH789" s="1601"/>
      <c r="AI789" s="1602"/>
      <c r="AJ789" s="1602"/>
      <c r="AK789" s="1602"/>
      <c r="AL789" s="1602"/>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33"/>
      <c r="K790" s="1334"/>
      <c r="L790" s="1334"/>
      <c r="M790" s="1334"/>
      <c r="N790" s="1335"/>
      <c r="O790" s="1600"/>
      <c r="P790" s="1600"/>
      <c r="Q790" s="1600"/>
      <c r="R790" s="1600"/>
      <c r="S790" s="1600"/>
      <c r="T790" s="1566"/>
      <c r="U790" s="1567"/>
      <c r="V790" s="1567"/>
      <c r="W790" s="1568"/>
      <c r="X790" s="1561"/>
      <c r="Y790" s="1562"/>
      <c r="Z790" s="1562"/>
      <c r="AA790" s="1562"/>
      <c r="AB790" s="1563"/>
      <c r="AC790" s="1343">
        <f t="shared" si="49"/>
        <v>0</v>
      </c>
      <c r="AD790" s="1344"/>
      <c r="AE790" s="1344"/>
      <c r="AF790" s="1344"/>
      <c r="AG790" s="1345"/>
      <c r="AH790" s="1601"/>
      <c r="AI790" s="1602"/>
      <c r="AJ790" s="1602"/>
      <c r="AK790" s="1602"/>
      <c r="AL790" s="1602"/>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3"/>
      <c r="K791" s="1334"/>
      <c r="L791" s="1334"/>
      <c r="M791" s="1334"/>
      <c r="N791" s="1335"/>
      <c r="O791" s="1600"/>
      <c r="P791" s="1600"/>
      <c r="Q791" s="1600"/>
      <c r="R791" s="1600"/>
      <c r="S791" s="1600"/>
      <c r="T791" s="1566"/>
      <c r="U791" s="1567"/>
      <c r="V791" s="1567"/>
      <c r="W791" s="1568"/>
      <c r="X791" s="1561"/>
      <c r="Y791" s="1562"/>
      <c r="Z791" s="1562"/>
      <c r="AA791" s="1562"/>
      <c r="AB791" s="1563"/>
      <c r="AC791" s="1343">
        <f t="shared" si="49"/>
        <v>0</v>
      </c>
      <c r="AD791" s="1344"/>
      <c r="AE791" s="1344"/>
      <c r="AF791" s="1344"/>
      <c r="AG791" s="1345"/>
      <c r="AH791" s="1601"/>
      <c r="AI791" s="1602"/>
      <c r="AJ791" s="1602"/>
      <c r="AK791" s="1602"/>
      <c r="AL791" s="160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3"/>
      <c r="K792" s="1334"/>
      <c r="L792" s="1334"/>
      <c r="M792" s="1334"/>
      <c r="N792" s="1335"/>
      <c r="O792" s="1600"/>
      <c r="P792" s="1600"/>
      <c r="Q792" s="1600"/>
      <c r="R792" s="1600"/>
      <c r="S792" s="1600"/>
      <c r="T792" s="1566"/>
      <c r="U792" s="1567"/>
      <c r="V792" s="1567"/>
      <c r="W792" s="1568"/>
      <c r="X792" s="1561"/>
      <c r="Y792" s="1562"/>
      <c r="Z792" s="1562"/>
      <c r="AA792" s="1562"/>
      <c r="AB792" s="1563"/>
      <c r="AC792" s="1343">
        <f t="shared" si="49"/>
        <v>0</v>
      </c>
      <c r="AD792" s="1344"/>
      <c r="AE792" s="1344"/>
      <c r="AF792" s="1344"/>
      <c r="AG792" s="1345"/>
      <c r="AH792" s="1601"/>
      <c r="AI792" s="1602"/>
      <c r="AJ792" s="1602"/>
      <c r="AK792" s="1602"/>
      <c r="AL792" s="160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3"/>
      <c r="K793" s="1334"/>
      <c r="L793" s="1334"/>
      <c r="M793" s="1334"/>
      <c r="N793" s="1335"/>
      <c r="O793" s="1600"/>
      <c r="P793" s="1600"/>
      <c r="Q793" s="1600"/>
      <c r="R793" s="1600"/>
      <c r="S793" s="1600"/>
      <c r="T793" s="1566"/>
      <c r="U793" s="1567"/>
      <c r="V793" s="1567"/>
      <c r="W793" s="1568"/>
      <c r="X793" s="1561"/>
      <c r="Y793" s="1562"/>
      <c r="Z793" s="1562"/>
      <c r="AA793" s="1562"/>
      <c r="AB793" s="1563"/>
      <c r="AC793" s="1343">
        <f t="shared" si="49"/>
        <v>0</v>
      </c>
      <c r="AD793" s="1344"/>
      <c r="AE793" s="1344"/>
      <c r="AF793" s="1344"/>
      <c r="AG793" s="1345"/>
      <c r="AH793" s="1601"/>
      <c r="AI793" s="1602"/>
      <c r="AJ793" s="1602"/>
      <c r="AK793" s="1602"/>
      <c r="AL793" s="160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3"/>
      <c r="K794" s="1334"/>
      <c r="L794" s="1334"/>
      <c r="M794" s="1334"/>
      <c r="N794" s="1335"/>
      <c r="O794" s="1600"/>
      <c r="P794" s="1600"/>
      <c r="Q794" s="1600"/>
      <c r="R794" s="1600"/>
      <c r="S794" s="1600"/>
      <c r="T794" s="1566"/>
      <c r="U794" s="1567"/>
      <c r="V794" s="1567"/>
      <c r="W794" s="1568"/>
      <c r="X794" s="1561"/>
      <c r="Y794" s="1562"/>
      <c r="Z794" s="1562"/>
      <c r="AA794" s="1562"/>
      <c r="AB794" s="1563"/>
      <c r="AC794" s="1343">
        <f t="shared" si="49"/>
        <v>0</v>
      </c>
      <c r="AD794" s="1344"/>
      <c r="AE794" s="1344"/>
      <c r="AF794" s="1344"/>
      <c r="AG794" s="1345"/>
      <c r="AH794" s="1601"/>
      <c r="AI794" s="1602"/>
      <c r="AJ794" s="1602"/>
      <c r="AK794" s="1602"/>
      <c r="AL794" s="160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3"/>
      <c r="K795" s="1334"/>
      <c r="L795" s="1334"/>
      <c r="M795" s="1334"/>
      <c r="N795" s="1335"/>
      <c r="O795" s="1600"/>
      <c r="P795" s="1600"/>
      <c r="Q795" s="1600"/>
      <c r="R795" s="1600"/>
      <c r="S795" s="1600"/>
      <c r="T795" s="1566"/>
      <c r="U795" s="1567"/>
      <c r="V795" s="1567"/>
      <c r="W795" s="1568"/>
      <c r="X795" s="1561"/>
      <c r="Y795" s="1562"/>
      <c r="Z795" s="1562"/>
      <c r="AA795" s="1562"/>
      <c r="AB795" s="1563"/>
      <c r="AC795" s="1343">
        <f t="shared" si="49"/>
        <v>0</v>
      </c>
      <c r="AD795" s="1344"/>
      <c r="AE795" s="1344"/>
      <c r="AF795" s="1344"/>
      <c r="AG795" s="1345"/>
      <c r="AH795" s="1601"/>
      <c r="AI795" s="1602"/>
      <c r="AJ795" s="1602"/>
      <c r="AK795" s="1602"/>
      <c r="AL795" s="160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78" t="s">
        <v>130</v>
      </c>
      <c r="K796" s="1579"/>
      <c r="L796" s="1579"/>
      <c r="M796" s="1579"/>
      <c r="N796" s="1580"/>
      <c r="O796" s="1360">
        <f>SUM(O786:S795)</f>
        <v>0</v>
      </c>
      <c r="P796" s="1360"/>
      <c r="Q796" s="1360"/>
      <c r="R796" s="1360"/>
      <c r="S796" s="1360"/>
      <c r="X796" s="942" t="s">
        <v>129</v>
      </c>
      <c r="Y796" s="11"/>
      <c r="Z796" s="11"/>
      <c r="AA796" s="11"/>
      <c r="AB796" s="949"/>
      <c r="AC796" s="1343">
        <f>SUM(AC786:AG795)</f>
        <v>0</v>
      </c>
      <c r="AD796" s="1344"/>
      <c r="AE796" s="1344"/>
      <c r="AF796" s="1344"/>
      <c r="AG796" s="1345"/>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83">
        <f>O753+AC776+AC796</f>
        <v>56416</v>
      </c>
      <c r="Z798" s="1683"/>
      <c r="AA798" s="1683"/>
      <c r="AB798" s="1683"/>
      <c r="AC798" s="168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83">
        <f>(O753+AC776+AC796)*12</f>
        <v>676992</v>
      </c>
      <c r="Z799" s="1683"/>
      <c r="AA799" s="1683"/>
      <c r="AB799" s="1683"/>
      <c r="AC799" s="1683"/>
      <c r="AZ799" s="3"/>
      <c r="BA799" s="14" t="s">
        <v>659</v>
      </c>
      <c r="BB799" s="14"/>
      <c r="BC799" s="14"/>
      <c r="BD799" s="14"/>
      <c r="BE799" s="14"/>
      <c r="BF799" s="14"/>
      <c r="BG799" s="14"/>
      <c r="BH799" s="14"/>
      <c r="BI799" s="14"/>
      <c r="BJ799" s="14"/>
      <c r="BK799" s="14"/>
      <c r="BL799" s="14"/>
      <c r="BM799" s="14"/>
      <c r="BN799" s="1680" t="s">
        <v>495</v>
      </c>
      <c r="BO799" s="1681"/>
      <c r="BP799" s="3"/>
      <c r="BQ799" s="3"/>
      <c r="BR799" s="3"/>
      <c r="BS799" s="14" t="s">
        <v>661</v>
      </c>
      <c r="BT799" s="14"/>
      <c r="BU799" s="14"/>
      <c r="BV799" s="14"/>
      <c r="BW799" s="14"/>
      <c r="BX799" s="14"/>
      <c r="BY799" s="14"/>
      <c r="BZ799" s="14"/>
      <c r="CA799" s="14"/>
      <c r="CB799" s="1677" t="str">
        <f>T189</f>
        <v>Butte</v>
      </c>
      <c r="CC799" s="1678"/>
      <c r="CD799" s="1678"/>
      <c r="CE799" s="1678"/>
      <c r="CF799" s="1678"/>
      <c r="CG799" s="1678"/>
      <c r="CH799" s="1679"/>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2343</v>
      </c>
      <c r="BP802" s="32"/>
      <c r="BQ802" s="32"/>
      <c r="BR802" s="32"/>
      <c r="BS802" s="32"/>
      <c r="BT802" s="32"/>
      <c r="BV802" s="31" t="s">
        <v>2344</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93"/>
      <c r="AA804" s="1694"/>
      <c r="AB804" s="1694"/>
      <c r="AC804" s="1694"/>
      <c r="AD804" s="1694"/>
      <c r="AE804" s="1695"/>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28"/>
      <c r="AA805" s="1694"/>
      <c r="AB805" s="1694"/>
      <c r="AC805" s="1694"/>
      <c r="AD805" s="1694"/>
      <c r="AE805" s="1695"/>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40">
        <v>0</v>
      </c>
      <c r="AA806" s="1541"/>
      <c r="AB806" s="1541"/>
      <c r="AC806" s="1541"/>
      <c r="AD806" s="1541"/>
      <c r="AE806" s="1542"/>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53">
        <f>'Subsidy Contract Calculation'!J30</f>
        <v>0</v>
      </c>
      <c r="AA807" s="1654"/>
      <c r="AB807" s="1654"/>
      <c r="AC807" s="1654"/>
      <c r="AD807" s="1654"/>
      <c r="AE807" s="1655"/>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379">
        <v>18000</v>
      </c>
      <c r="AA811" s="1380"/>
      <c r="AB811" s="1380"/>
      <c r="AC811" s="1380"/>
      <c r="AD811" s="1380"/>
      <c r="AE811" s="1381"/>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379"/>
      <c r="AA812" s="1380"/>
      <c r="AB812" s="1380"/>
      <c r="AC812" s="1380"/>
      <c r="AD812" s="1380"/>
      <c r="AE812" s="1381"/>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379"/>
      <c r="AA813" s="1380"/>
      <c r="AB813" s="1380"/>
      <c r="AC813" s="1380"/>
      <c r="AD813" s="1380"/>
      <c r="AE813" s="1381"/>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537" t="s">
        <v>340</v>
      </c>
      <c r="Q814" s="1538"/>
      <c r="R814" s="1538"/>
      <c r="S814" s="1538"/>
      <c r="T814" s="1538"/>
      <c r="U814" s="1538"/>
      <c r="V814" s="1538"/>
      <c r="W814" s="1538"/>
      <c r="X814" s="1538"/>
      <c r="Y814" s="1539"/>
      <c r="Z814" s="1379"/>
      <c r="AA814" s="1380"/>
      <c r="AB814" s="1380"/>
      <c r="AC814" s="1380"/>
      <c r="AD814" s="1380"/>
      <c r="AE814" s="138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53">
        <f>SUM(Z811:AE814)</f>
        <v>18000</v>
      </c>
      <c r="AA815" s="1654"/>
      <c r="AB815" s="1654"/>
      <c r="AC815" s="1654"/>
      <c r="AD815" s="1654"/>
      <c r="AE815" s="16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53">
        <f>Z815+Y799+Z807</f>
        <v>694992</v>
      </c>
      <c r="AA816" s="1654"/>
      <c r="AB816" s="1654"/>
      <c r="AC816" s="1654"/>
      <c r="AD816" s="1654"/>
      <c r="AE816" s="1655"/>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6" t="s">
        <v>131</v>
      </c>
      <c r="N821" s="1396"/>
      <c r="O821" s="1396"/>
      <c r="P821" s="1397"/>
      <c r="Q821" s="1646" t="s">
        <v>296</v>
      </c>
      <c r="R821" s="1646"/>
      <c r="S821" s="1646"/>
      <c r="T821" s="1646"/>
      <c r="U821" s="1646" t="s">
        <v>297</v>
      </c>
      <c r="V821" s="1646"/>
      <c r="W821" s="1646"/>
      <c r="X821" s="1646"/>
      <c r="Y821" s="1646" t="s">
        <v>298</v>
      </c>
      <c r="Z821" s="1646"/>
      <c r="AA821" s="1646"/>
      <c r="AB821" s="1646"/>
      <c r="AC821" s="1646" t="s">
        <v>368</v>
      </c>
      <c r="AD821" s="1646"/>
      <c r="AE821" s="1646"/>
      <c r="AF821" s="1646"/>
      <c r="AG821" s="1572" t="s">
        <v>341</v>
      </c>
      <c r="AH821" s="1572"/>
      <c r="AI821" s="1572"/>
      <c r="AJ821" s="157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402"/>
      <c r="N822" s="1402"/>
      <c r="O822" s="1402"/>
      <c r="P822" s="1403"/>
      <c r="Q822" s="1646"/>
      <c r="R822" s="1646"/>
      <c r="S822" s="1646"/>
      <c r="T822" s="1646"/>
      <c r="U822" s="1646"/>
      <c r="V822" s="1646"/>
      <c r="W822" s="1646"/>
      <c r="X822" s="1646"/>
      <c r="Y822" s="1646"/>
      <c r="Z822" s="1646"/>
      <c r="AA822" s="1646"/>
      <c r="AB822" s="1646"/>
      <c r="AC822" s="1646"/>
      <c r="AD822" s="1646"/>
      <c r="AE822" s="1646"/>
      <c r="AF822" s="1646"/>
      <c r="AG822" s="1572"/>
      <c r="AH822" s="1572"/>
      <c r="AI822" s="1572"/>
      <c r="AJ822" s="1572"/>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56" t="s">
        <v>43</v>
      </c>
      <c r="D823" s="1342"/>
      <c r="E823" s="1342"/>
      <c r="F823" s="1342"/>
      <c r="G823" s="1342"/>
      <c r="H823" s="1342"/>
      <c r="I823" s="48"/>
      <c r="J823" s="48"/>
      <c r="K823" s="48"/>
      <c r="L823" s="49"/>
      <c r="M823" s="1599"/>
      <c r="N823" s="1599"/>
      <c r="O823" s="1599"/>
      <c r="P823" s="1599"/>
      <c r="Q823" s="1599"/>
      <c r="R823" s="1599"/>
      <c r="S823" s="1599"/>
      <c r="T823" s="1599"/>
      <c r="U823" s="1599"/>
      <c r="V823" s="1599"/>
      <c r="W823" s="1599"/>
      <c r="X823" s="1599"/>
      <c r="Y823" s="1599"/>
      <c r="Z823" s="1599"/>
      <c r="AA823" s="1599"/>
      <c r="AB823" s="1599"/>
      <c r="AC823" s="1376"/>
      <c r="AD823" s="1377"/>
      <c r="AE823" s="1377"/>
      <c r="AF823" s="1378"/>
      <c r="AG823" s="1376"/>
      <c r="AH823" s="1377"/>
      <c r="AI823" s="1377"/>
      <c r="AJ823" s="137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57" t="s">
        <v>44</v>
      </c>
      <c r="D824" s="1558"/>
      <c r="E824" s="1558"/>
      <c r="F824" s="1558"/>
      <c r="G824" s="1558"/>
      <c r="H824" s="1558"/>
      <c r="I824" s="5"/>
      <c r="J824" s="5"/>
      <c r="K824" s="5"/>
      <c r="L824" s="46"/>
      <c r="M824" s="1599"/>
      <c r="N824" s="1599"/>
      <c r="O824" s="1599"/>
      <c r="P824" s="1599"/>
      <c r="Q824" s="1599"/>
      <c r="R824" s="1599"/>
      <c r="S824" s="1599"/>
      <c r="T824" s="1599"/>
      <c r="U824" s="1599"/>
      <c r="V824" s="1599"/>
      <c r="W824" s="1599"/>
      <c r="X824" s="1599"/>
      <c r="Y824" s="1599"/>
      <c r="Z824" s="1599"/>
      <c r="AA824" s="1599"/>
      <c r="AB824" s="1599"/>
      <c r="AC824" s="1376"/>
      <c r="AD824" s="1377"/>
      <c r="AE824" s="1377"/>
      <c r="AF824" s="1378"/>
      <c r="AG824" s="1376"/>
      <c r="AH824" s="1377"/>
      <c r="AI824" s="1377"/>
      <c r="AJ824" s="1378"/>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57" t="s">
        <v>45</v>
      </c>
      <c r="D825" s="1558"/>
      <c r="E825" s="1558"/>
      <c r="F825" s="1558"/>
      <c r="G825" s="1558"/>
      <c r="H825" s="1558"/>
      <c r="I825" s="60"/>
      <c r="J825" s="60"/>
      <c r="K825" s="60"/>
      <c r="L825" s="61"/>
      <c r="M825" s="1599"/>
      <c r="N825" s="1599"/>
      <c r="O825" s="1599"/>
      <c r="P825" s="1599"/>
      <c r="Q825" s="1599"/>
      <c r="R825" s="1599"/>
      <c r="S825" s="1599"/>
      <c r="T825" s="1599"/>
      <c r="U825" s="1599"/>
      <c r="V825" s="1599"/>
      <c r="W825" s="1599"/>
      <c r="X825" s="1599"/>
      <c r="Y825" s="1599"/>
      <c r="Z825" s="1599"/>
      <c r="AA825" s="1599"/>
      <c r="AB825" s="1599"/>
      <c r="AC825" s="1376"/>
      <c r="AD825" s="1377"/>
      <c r="AE825" s="1377"/>
      <c r="AF825" s="1378"/>
      <c r="AG825" s="1376"/>
      <c r="AH825" s="1377"/>
      <c r="AI825" s="1377"/>
      <c r="AJ825" s="1378"/>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57" t="s">
        <v>805</v>
      </c>
      <c r="D826" s="1558"/>
      <c r="E826" s="1558"/>
      <c r="F826" s="1558"/>
      <c r="G826" s="1558"/>
      <c r="H826" s="1558"/>
      <c r="I826" s="60"/>
      <c r="J826" s="60"/>
      <c r="K826" s="60"/>
      <c r="L826" s="61"/>
      <c r="M826" s="1599"/>
      <c r="N826" s="1599"/>
      <c r="O826" s="1599"/>
      <c r="P826" s="1599"/>
      <c r="Q826" s="1599"/>
      <c r="R826" s="1599"/>
      <c r="S826" s="1599"/>
      <c r="T826" s="1599"/>
      <c r="U826" s="1599"/>
      <c r="V826" s="1599"/>
      <c r="W826" s="1599"/>
      <c r="X826" s="1599"/>
      <c r="Y826" s="1599"/>
      <c r="Z826" s="1599"/>
      <c r="AA826" s="1599"/>
      <c r="AB826" s="1599"/>
      <c r="AC826" s="1376"/>
      <c r="AD826" s="1377"/>
      <c r="AE826" s="1377"/>
      <c r="AF826" s="1378"/>
      <c r="AG826" s="1376"/>
      <c r="AH826" s="1377"/>
      <c r="AI826" s="1377"/>
      <c r="AJ826" s="1378"/>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57" t="s">
        <v>485</v>
      </c>
      <c r="D827" s="1558"/>
      <c r="E827" s="1558"/>
      <c r="F827" s="1558"/>
      <c r="G827" s="1558"/>
      <c r="H827" s="1558"/>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376"/>
      <c r="AD827" s="1377"/>
      <c r="AE827" s="1377"/>
      <c r="AF827" s="1378"/>
      <c r="AG827" s="1376"/>
      <c r="AH827" s="1377"/>
      <c r="AI827" s="1377"/>
      <c r="AJ827" s="1378"/>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17" t="s">
        <v>826</v>
      </c>
      <c r="D828" s="1558"/>
      <c r="E828" s="1558"/>
      <c r="F828" s="1558"/>
      <c r="G828" s="1558"/>
      <c r="H828" s="1558"/>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376"/>
      <c r="AD828" s="1377"/>
      <c r="AE828" s="1377"/>
      <c r="AF828" s="1378"/>
      <c r="AG828" s="1376"/>
      <c r="AH828" s="1377"/>
      <c r="AI828" s="1377"/>
      <c r="AJ828" s="1378"/>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369" t="s">
        <v>2704</v>
      </c>
      <c r="G829" s="1510"/>
      <c r="H829" s="1510"/>
      <c r="I829" s="1510"/>
      <c r="J829" s="1510"/>
      <c r="K829" s="1510"/>
      <c r="L829" s="1511"/>
      <c r="M829" s="1599"/>
      <c r="N829" s="1599"/>
      <c r="O829" s="1599"/>
      <c r="P829" s="1599"/>
      <c r="Q829" s="1599">
        <v>5</v>
      </c>
      <c r="R829" s="1599"/>
      <c r="S829" s="1599"/>
      <c r="T829" s="1599"/>
      <c r="U829" s="1599">
        <v>5</v>
      </c>
      <c r="V829" s="1599"/>
      <c r="W829" s="1599"/>
      <c r="X829" s="1599"/>
      <c r="Y829" s="1729">
        <v>5</v>
      </c>
      <c r="Z829" s="1599"/>
      <c r="AA829" s="1599"/>
      <c r="AB829" s="1599"/>
      <c r="AC829" s="1376">
        <v>5</v>
      </c>
      <c r="AD829" s="1377"/>
      <c r="AE829" s="1377"/>
      <c r="AF829" s="1378"/>
      <c r="AG829" s="1376"/>
      <c r="AH829" s="1377"/>
      <c r="AI829" s="1377"/>
      <c r="AJ829" s="1378"/>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78" t="s">
        <v>129</v>
      </c>
      <c r="D830" s="1579"/>
      <c r="E830" s="1579"/>
      <c r="F830" s="1579"/>
      <c r="G830" s="1579"/>
      <c r="H830" s="1579"/>
      <c r="I830" s="1579"/>
      <c r="J830" s="1579"/>
      <c r="K830" s="1579"/>
      <c r="L830" s="1580"/>
      <c r="M830" s="1651">
        <f>SUM(M823:P829)</f>
        <v>0</v>
      </c>
      <c r="N830" s="1651"/>
      <c r="O830" s="1651"/>
      <c r="P830" s="1651"/>
      <c r="Q830" s="1651">
        <f>SUM(Q823:T829)</f>
        <v>5</v>
      </c>
      <c r="R830" s="1651"/>
      <c r="S830" s="1651"/>
      <c r="T830" s="1651"/>
      <c r="U830" s="1651">
        <f>SUM(U823:X829)</f>
        <v>5</v>
      </c>
      <c r="V830" s="1651"/>
      <c r="W830" s="1651"/>
      <c r="X830" s="1651"/>
      <c r="Y830" s="1651">
        <f>SUM(Y823:AB829)</f>
        <v>5</v>
      </c>
      <c r="Z830" s="1651"/>
      <c r="AA830" s="1651"/>
      <c r="AB830" s="1651"/>
      <c r="AC830" s="1651">
        <f>SUM(AC823:AF829)</f>
        <v>5</v>
      </c>
      <c r="AD830" s="1651"/>
      <c r="AE830" s="1651"/>
      <c r="AF830" s="1651"/>
      <c r="AG830" s="1651">
        <f>SUM(AG823:AJ829)</f>
        <v>0</v>
      </c>
      <c r="AH830" s="1651"/>
      <c r="AI830" s="1651"/>
      <c r="AJ830" s="1651"/>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705" t="s">
        <v>2704</v>
      </c>
      <c r="D835" s="1706"/>
      <c r="E835" s="1706"/>
      <c r="F835" s="1706"/>
      <c r="G835" s="1706"/>
      <c r="H835" s="1706"/>
      <c r="I835" s="1706"/>
      <c r="J835" s="1706"/>
      <c r="K835" s="1706"/>
      <c r="L835" s="1706"/>
      <c r="M835" s="1706"/>
      <c r="N835" s="1706"/>
      <c r="O835" s="1706"/>
      <c r="P835" s="1706"/>
      <c r="Q835" s="1706"/>
      <c r="R835" s="1706"/>
      <c r="S835" s="1706"/>
      <c r="T835" s="1706"/>
      <c r="U835" s="1706"/>
      <c r="V835" s="1706"/>
      <c r="W835" s="1706"/>
      <c r="X835" s="1706"/>
      <c r="Y835" s="1706"/>
      <c r="Z835" s="1706"/>
      <c r="AA835" s="1706"/>
      <c r="AB835" s="1706"/>
      <c r="AC835" s="1706"/>
      <c r="AD835" s="1706"/>
      <c r="AE835" s="1706"/>
      <c r="AF835" s="1706"/>
      <c r="AG835" s="1706"/>
      <c r="AH835" s="1706"/>
      <c r="AI835" s="1706"/>
      <c r="AJ835" s="1707"/>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372">
        <v>4875</v>
      </c>
      <c r="X840" s="1372"/>
      <c r="Y840" s="1372"/>
      <c r="Z840" s="1372"/>
      <c r="AA840" s="1372"/>
      <c r="AB840" s="1372"/>
      <c r="AC840" s="1372"/>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72">
        <v>4688</v>
      </c>
      <c r="X841" s="1372"/>
      <c r="Y841" s="1372"/>
      <c r="Z841" s="1372"/>
      <c r="AA841" s="1372"/>
      <c r="AB841" s="1372"/>
      <c r="AC841" s="1372"/>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72">
        <v>9375</v>
      </c>
      <c r="X842" s="1372"/>
      <c r="Y842" s="1372"/>
      <c r="Z842" s="1372"/>
      <c r="AA842" s="1372"/>
      <c r="AB842" s="1372"/>
      <c r="AC842" s="1372"/>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72"/>
      <c r="X843" s="1372"/>
      <c r="Y843" s="1372"/>
      <c r="Z843" s="1372"/>
      <c r="AA843" s="1372"/>
      <c r="AB843" s="1372"/>
      <c r="AC843" s="1372"/>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509" t="s">
        <v>340</v>
      </c>
      <c r="N844" s="1510"/>
      <c r="O844" s="1510"/>
      <c r="P844" s="1510"/>
      <c r="Q844" s="1510"/>
      <c r="R844" s="1510"/>
      <c r="S844" s="1510"/>
      <c r="T844" s="1510"/>
      <c r="U844" s="1510"/>
      <c r="V844" s="1511"/>
      <c r="W844" s="1372"/>
      <c r="X844" s="1372"/>
      <c r="Y844" s="1372"/>
      <c r="Z844" s="1372"/>
      <c r="AA844" s="1372"/>
      <c r="AB844" s="1372"/>
      <c r="AC844" s="1372"/>
      <c r="AD844"/>
      <c r="AE844"/>
      <c r="AF844"/>
      <c r="AG844"/>
      <c r="AH844"/>
      <c r="AI844"/>
      <c r="AJ844"/>
      <c r="AK844"/>
      <c r="AL844"/>
      <c r="AM844"/>
      <c r="AN844"/>
      <c r="AO844"/>
      <c r="AP844"/>
      <c r="AQ844"/>
      <c r="AR844"/>
      <c r="AS844"/>
      <c r="AT844"/>
      <c r="AU844"/>
      <c r="AV844"/>
      <c r="AW844"/>
      <c r="AX844"/>
      <c r="AY844"/>
      <c r="BI844" s="1645">
        <f>ROUNDDOWN(BC932*2,2)</f>
        <v>0</v>
      </c>
      <c r="BJ844" s="1645"/>
      <c r="BK844" s="1645"/>
      <c r="BL844" s="1645"/>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53">
        <f>SUM(W840:AC844)</f>
        <v>18938</v>
      </c>
      <c r="X845" s="1654"/>
      <c r="Y845" s="1654"/>
      <c r="Z845" s="1654"/>
      <c r="AA845" s="1654"/>
      <c r="AB845" s="1654"/>
      <c r="AC845" s="1655"/>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78" t="s">
        <v>352</v>
      </c>
      <c r="K847" s="1579"/>
      <c r="L847" s="1579"/>
      <c r="M847" s="1579"/>
      <c r="N847" s="1579"/>
      <c r="O847" s="1579"/>
      <c r="P847" s="1579"/>
      <c r="Q847" s="1579"/>
      <c r="R847" s="1579"/>
      <c r="S847" s="1579"/>
      <c r="T847" s="1579"/>
      <c r="U847" s="1579"/>
      <c r="V847" s="1580"/>
      <c r="W847" s="1379">
        <v>49518</v>
      </c>
      <c r="X847" s="1380"/>
      <c r="Y847" s="1380"/>
      <c r="Z847" s="1380"/>
      <c r="AA847" s="1380"/>
      <c r="AB847" s="1380"/>
      <c r="AC847" s="1381"/>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73"/>
      <c r="X849" s="1573"/>
      <c r="Y849" s="1573"/>
      <c r="Z849" s="1573"/>
      <c r="AA849" s="1573"/>
      <c r="AB849" s="1573"/>
      <c r="AC849" s="1573"/>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73">
        <v>18750</v>
      </c>
      <c r="X850" s="1573"/>
      <c r="Y850" s="1573"/>
      <c r="Z850" s="1573"/>
      <c r="AA850" s="1573"/>
      <c r="AB850" s="1573"/>
      <c r="AC850" s="1573"/>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73">
        <v>56250</v>
      </c>
      <c r="X851" s="1573"/>
      <c r="Y851" s="1573"/>
      <c r="Z851" s="1573"/>
      <c r="AA851" s="1573"/>
      <c r="AB851" s="1573"/>
      <c r="AC851" s="1573"/>
      <c r="AD851"/>
      <c r="AE851"/>
      <c r="AF851"/>
      <c r="AG851"/>
      <c r="AH851"/>
      <c r="AI851"/>
      <c r="AJ851"/>
      <c r="AK851"/>
      <c r="AL851"/>
      <c r="AM851"/>
      <c r="AN851"/>
      <c r="AO851"/>
      <c r="AP851"/>
      <c r="AQ851"/>
      <c r="AR851"/>
      <c r="AS851"/>
      <c r="AT851"/>
      <c r="AU851"/>
      <c r="AV851"/>
      <c r="AW851"/>
      <c r="AX851"/>
      <c r="AY851"/>
      <c r="AZ851" s="30"/>
      <c r="BA851" s="30"/>
      <c r="BG851" s="1656"/>
      <c r="BH851" s="1656"/>
      <c r="BI851" s="1656"/>
      <c r="BJ851" s="1656"/>
      <c r="BK851" s="1656"/>
      <c r="BL851" s="1656"/>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73"/>
      <c r="X852" s="1573"/>
      <c r="Y852" s="1573"/>
      <c r="Z852" s="1573"/>
      <c r="AA852" s="1573"/>
      <c r="AB852" s="1573"/>
      <c r="AC852" s="1573"/>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718">
        <f>SUM(W849:AC852)</f>
        <v>75000</v>
      </c>
      <c r="X853" s="1718"/>
      <c r="Y853" s="1718"/>
      <c r="Z853" s="1718"/>
      <c r="AA853" s="1718"/>
      <c r="AB853" s="1718"/>
      <c r="AC853" s="1718"/>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23">
        <f>SUM(AZ821:AZ849)</f>
        <v>0</v>
      </c>
      <c r="BA854" s="1723"/>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690">
        <v>82500</v>
      </c>
      <c r="X855" s="1691"/>
      <c r="Y855" s="1691"/>
      <c r="Z855" s="1691"/>
      <c r="AA855" s="1691"/>
      <c r="AB855" s="1691"/>
      <c r="AC855" s="1692"/>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1864</v>
      </c>
      <c r="K856" s="5"/>
      <c r="L856" s="5"/>
      <c r="M856" s="5"/>
      <c r="N856" s="5"/>
      <c r="O856" s="5"/>
      <c r="P856" s="5"/>
      <c r="Q856" s="5"/>
      <c r="R856" s="5"/>
      <c r="S856" s="5"/>
      <c r="T856" s="1712"/>
      <c r="U856" s="1668"/>
      <c r="V856" s="1713"/>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90"/>
      <c r="X857" s="1691"/>
      <c r="Y857" s="1691"/>
      <c r="Z857" s="1691"/>
      <c r="AA857" s="1691"/>
      <c r="AB857" s="1691"/>
      <c r="AC857" s="1692"/>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1865</v>
      </c>
      <c r="K858" s="5"/>
      <c r="L858" s="5"/>
      <c r="M858" s="5"/>
      <c r="N858" s="5"/>
      <c r="O858" s="5"/>
      <c r="P858" s="5"/>
      <c r="Q858" s="5"/>
      <c r="R858" s="5"/>
      <c r="S858" s="5"/>
      <c r="T858" s="1712"/>
      <c r="U858" s="1668"/>
      <c r="V858" s="1713"/>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509" t="s">
        <v>340</v>
      </c>
      <c r="N859" s="1510"/>
      <c r="O859" s="1510"/>
      <c r="P859" s="1510"/>
      <c r="Q859" s="1510"/>
      <c r="R859" s="1510"/>
      <c r="S859" s="1510"/>
      <c r="T859" s="1510"/>
      <c r="U859" s="1510"/>
      <c r="V859" s="1511"/>
      <c r="W859" s="1690"/>
      <c r="X859" s="1691"/>
      <c r="Y859" s="1691"/>
      <c r="Z859" s="1691"/>
      <c r="AA859" s="1691"/>
      <c r="AB859" s="1691"/>
      <c r="AC859" s="1692"/>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74">
        <f>SUM(W855:AC859)</f>
        <v>82500</v>
      </c>
      <c r="X860" s="1575"/>
      <c r="Y860" s="1575"/>
      <c r="Z860" s="1575"/>
      <c r="AA860" s="1575"/>
      <c r="AB860" s="1575"/>
      <c r="AC860" s="1576"/>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90">
        <v>15450</v>
      </c>
      <c r="X861" s="1691"/>
      <c r="Y861" s="1691"/>
      <c r="Z861" s="1691"/>
      <c r="AA861" s="1691"/>
      <c r="AB861" s="1691"/>
      <c r="AC861" s="1692"/>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72">
        <v>3750</v>
      </c>
      <c r="X863" s="1372"/>
      <c r="Y863" s="1372"/>
      <c r="Z863" s="1372"/>
      <c r="AA863" s="1372"/>
      <c r="AB863" s="1372"/>
      <c r="AC863" s="1372"/>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72">
        <v>85972</v>
      </c>
      <c r="X864" s="1372"/>
      <c r="Y864" s="1372"/>
      <c r="Z864" s="1372"/>
      <c r="AA864" s="1372"/>
      <c r="AB864" s="1372"/>
      <c r="AC864" s="1372"/>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72">
        <v>33713</v>
      </c>
      <c r="X865" s="1372"/>
      <c r="Y865" s="1372"/>
      <c r="Z865" s="1372"/>
      <c r="AA865" s="1372"/>
      <c r="AB865" s="1372"/>
      <c r="AC865" s="1372"/>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72">
        <v>4500</v>
      </c>
      <c r="X866" s="1372"/>
      <c r="Y866" s="1372"/>
      <c r="Z866" s="1372"/>
      <c r="AA866" s="1372"/>
      <c r="AB866" s="1372"/>
      <c r="AC866" s="1372"/>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72">
        <v>5659</v>
      </c>
      <c r="X867" s="1372"/>
      <c r="Y867" s="1372"/>
      <c r="Z867" s="1372"/>
      <c r="AA867" s="1372"/>
      <c r="AB867" s="1372"/>
      <c r="AC867" s="1372"/>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72"/>
      <c r="X868" s="1372"/>
      <c r="Y868" s="1372"/>
      <c r="Z868" s="1372"/>
      <c r="AA868" s="1372"/>
      <c r="AB868" s="1372"/>
      <c r="AC868" s="1372"/>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509" t="s">
        <v>340</v>
      </c>
      <c r="N869" s="1510"/>
      <c r="O869" s="1510"/>
      <c r="P869" s="1510"/>
      <c r="Q869" s="1510"/>
      <c r="R869" s="1510"/>
      <c r="S869" s="1510"/>
      <c r="T869" s="1510"/>
      <c r="U869" s="1510"/>
      <c r="V869" s="1511"/>
      <c r="W869" s="1372"/>
      <c r="X869" s="1372"/>
      <c r="Y869" s="1372"/>
      <c r="Z869" s="1372"/>
      <c r="AA869" s="1372"/>
      <c r="AB869" s="1372"/>
      <c r="AC869" s="1372"/>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83">
        <f>SUM(W863:AC869)</f>
        <v>133594</v>
      </c>
      <c r="X870" s="1683"/>
      <c r="Y870" s="1683"/>
      <c r="Z870" s="1683"/>
      <c r="AA870" s="1683"/>
      <c r="AB870" s="1683"/>
      <c r="AC870" s="1683"/>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509" t="s">
        <v>340</v>
      </c>
      <c r="N872" s="1510"/>
      <c r="O872" s="1510"/>
      <c r="P872" s="1510"/>
      <c r="Q872" s="1510"/>
      <c r="R872" s="1510"/>
      <c r="S872" s="1510"/>
      <c r="T872" s="1510"/>
      <c r="U872" s="1510"/>
      <c r="V872" s="1511"/>
      <c r="W872" s="1379"/>
      <c r="X872" s="1380"/>
      <c r="Y872" s="1380"/>
      <c r="Z872" s="1380"/>
      <c r="AA872" s="1380"/>
      <c r="AB872" s="1380"/>
      <c r="AC872" s="1381"/>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09" t="s">
        <v>340</v>
      </c>
      <c r="N873" s="1510"/>
      <c r="O873" s="1510"/>
      <c r="P873" s="1510"/>
      <c r="Q873" s="1510"/>
      <c r="R873" s="1510"/>
      <c r="S873" s="1510"/>
      <c r="T873" s="1510"/>
      <c r="U873" s="1510"/>
      <c r="V873" s="1511"/>
      <c r="W873" s="1379"/>
      <c r="X873" s="1380"/>
      <c r="Y873" s="1380"/>
      <c r="Z873" s="1380"/>
      <c r="AA873" s="1380"/>
      <c r="AB873" s="1380"/>
      <c r="AC873" s="1381"/>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09" t="s">
        <v>340</v>
      </c>
      <c r="N874" s="1510"/>
      <c r="O874" s="1510"/>
      <c r="P874" s="1510"/>
      <c r="Q874" s="1510"/>
      <c r="R874" s="1510"/>
      <c r="S874" s="1510"/>
      <c r="T874" s="1510"/>
      <c r="U874" s="1510"/>
      <c r="V874" s="1511"/>
      <c r="W874" s="1379"/>
      <c r="X874" s="1380"/>
      <c r="Y874" s="1380"/>
      <c r="Z874" s="1380"/>
      <c r="AA874" s="1380"/>
      <c r="AB874" s="1380"/>
      <c r="AC874" s="1381"/>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09" t="s">
        <v>340</v>
      </c>
      <c r="N875" s="1510"/>
      <c r="O875" s="1510"/>
      <c r="P875" s="1510"/>
      <c r="Q875" s="1510"/>
      <c r="R875" s="1510"/>
      <c r="S875" s="1510"/>
      <c r="T875" s="1510"/>
      <c r="U875" s="1510"/>
      <c r="V875" s="1511"/>
      <c r="W875" s="1379"/>
      <c r="X875" s="1380"/>
      <c r="Y875" s="1380"/>
      <c r="Z875" s="1380"/>
      <c r="AA875" s="1380"/>
      <c r="AB875" s="1380"/>
      <c r="AC875" s="1381"/>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09" t="s">
        <v>340</v>
      </c>
      <c r="N876" s="1510"/>
      <c r="O876" s="1510"/>
      <c r="P876" s="1510"/>
      <c r="Q876" s="1510"/>
      <c r="R876" s="1510"/>
      <c r="S876" s="1510"/>
      <c r="T876" s="1510"/>
      <c r="U876" s="1510"/>
      <c r="V876" s="1511"/>
      <c r="W876" s="1379"/>
      <c r="X876" s="1380"/>
      <c r="Y876" s="1380"/>
      <c r="Z876" s="1380"/>
      <c r="AA876" s="1380"/>
      <c r="AB876" s="1380"/>
      <c r="AC876" s="1381"/>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53">
        <f>SUM(W872:AC876)</f>
        <v>0</v>
      </c>
      <c r="X877" s="1654"/>
      <c r="Y877" s="1654"/>
      <c r="Z877" s="1654"/>
      <c r="AA877" s="1654"/>
      <c r="AB877" s="1654"/>
      <c r="AC877" s="1655"/>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54">
        <f>W845+W853+W860+W861+W870+W877+W847</f>
        <v>375000</v>
      </c>
      <c r="AD881" s="1654"/>
      <c r="AE881" s="1654"/>
      <c r="AF881" s="1654"/>
      <c r="AG881" s="1654"/>
      <c r="AH881" s="1655"/>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710">
        <f>O796+O776+G753</f>
        <v>75</v>
      </c>
      <c r="AD882" s="1710"/>
      <c r="AE882" s="1710"/>
      <c r="AF882" s="1710"/>
      <c r="AG882" s="1710"/>
      <c r="AH882" s="1711"/>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708" t="s">
        <v>33</v>
      </c>
      <c r="F883" s="1708"/>
      <c r="G883" s="1708"/>
      <c r="H883" s="1708"/>
      <c r="I883" s="1708"/>
      <c r="J883" s="1708"/>
      <c r="K883" s="1708"/>
      <c r="L883" s="1708"/>
      <c r="M883" s="1708"/>
      <c r="N883" s="1708"/>
      <c r="O883" s="1708"/>
      <c r="P883" s="1708"/>
      <c r="Q883" s="1708"/>
      <c r="R883" s="1708"/>
      <c r="S883" s="1708"/>
      <c r="T883" s="1708"/>
      <c r="U883" s="1708"/>
      <c r="V883" s="1708"/>
      <c r="W883" s="1708"/>
      <c r="X883" s="1708"/>
      <c r="Y883" s="1708"/>
      <c r="Z883" s="1708"/>
      <c r="AA883" s="1708"/>
      <c r="AB883" s="1709"/>
      <c r="AC883" s="1683">
        <f>IF(ISERROR((ROUNDDOWN(AC881/AC882,0))),0,(ROUNDDOWN(AC881/AC882,0)))</f>
        <v>5000</v>
      </c>
      <c r="AD883" s="1683"/>
      <c r="AE883" s="1683"/>
      <c r="AF883" s="1683"/>
      <c r="AG883" s="1683"/>
      <c r="AH883" s="1683"/>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724">
        <f>+'Sources and Uses Budget'!C75</f>
        <v>157194</v>
      </c>
      <c r="AD884" s="1725"/>
      <c r="AE884" s="1725"/>
      <c r="AF884" s="1725"/>
      <c r="AG884" s="1725"/>
      <c r="AH884" s="1725"/>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381"/>
      <c r="AD885" s="1372"/>
      <c r="AE885" s="1372"/>
      <c r="AF885" s="1372"/>
      <c r="AG885" s="1372"/>
      <c r="AH885" s="1372"/>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380">
        <v>12199</v>
      </c>
      <c r="AD886" s="1380"/>
      <c r="AE886" s="1380"/>
      <c r="AF886" s="1380"/>
      <c r="AG886" s="1380"/>
      <c r="AH886" s="1381"/>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380">
        <f>500*75</f>
        <v>37500</v>
      </c>
      <c r="AD887" s="1380"/>
      <c r="AE887" s="1380"/>
      <c r="AF887" s="1380"/>
      <c r="AG887" s="1380"/>
      <c r="AH887" s="1381"/>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1991</v>
      </c>
      <c r="AC888" s="1376"/>
      <c r="AD888" s="1377"/>
      <c r="AE888" s="1377"/>
      <c r="AF888" s="1377"/>
      <c r="AG888" s="1377"/>
      <c r="AH888" s="1378"/>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380"/>
      <c r="AD889" s="1380"/>
      <c r="AE889" s="1380"/>
      <c r="AF889" s="1380"/>
      <c r="AG889" s="1380"/>
      <c r="AH889" s="13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80"/>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20" t="s">
        <v>1016</v>
      </c>
      <c r="D891" s="1721"/>
      <c r="E891" s="1721"/>
      <c r="F891" s="1721"/>
      <c r="G891" s="1721"/>
      <c r="H891" s="1721"/>
      <c r="I891" s="1721"/>
      <c r="J891" s="1721"/>
      <c r="K891" s="1721"/>
      <c r="L891" s="1721"/>
      <c r="M891" s="1721"/>
      <c r="N891" s="1721"/>
      <c r="O891" s="1721"/>
      <c r="P891" s="1721"/>
      <c r="Q891" s="1721"/>
      <c r="R891" s="1721"/>
      <c r="S891" s="1721"/>
      <c r="T891" s="1721"/>
      <c r="U891" s="1721"/>
      <c r="V891" s="1721"/>
      <c r="W891" s="1721"/>
      <c r="X891" s="1721"/>
      <c r="Y891" s="1721"/>
      <c r="Z891" s="1721"/>
      <c r="AA891" s="1721"/>
      <c r="AB891" s="1722"/>
      <c r="AC891" s="1372"/>
      <c r="AD891" s="1372"/>
      <c r="AE891" s="1372"/>
      <c r="AF891" s="1372"/>
      <c r="AG891" s="1372"/>
      <c r="AH891" s="137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20" t="s">
        <v>1016</v>
      </c>
      <c r="D892" s="1721"/>
      <c r="E892" s="1721"/>
      <c r="F892" s="1721"/>
      <c r="G892" s="1721"/>
      <c r="H892" s="1721"/>
      <c r="I892" s="1721"/>
      <c r="J892" s="1721"/>
      <c r="K892" s="1721"/>
      <c r="L892" s="1721"/>
      <c r="M892" s="1721"/>
      <c r="N892" s="1721"/>
      <c r="O892" s="1721"/>
      <c r="P892" s="1721"/>
      <c r="Q892" s="1721"/>
      <c r="R892" s="1721"/>
      <c r="S892" s="1721"/>
      <c r="T892" s="1721"/>
      <c r="U892" s="1721"/>
      <c r="V892" s="1721"/>
      <c r="W892" s="1721"/>
      <c r="X892" s="1721"/>
      <c r="Y892" s="1721"/>
      <c r="Z892" s="1721"/>
      <c r="AA892" s="1721"/>
      <c r="AB892" s="1722"/>
      <c r="AC892" s="1372"/>
      <c r="AD892" s="1372"/>
      <c r="AE892" s="1372"/>
      <c r="AF892" s="1372"/>
      <c r="AG892" s="1372"/>
      <c r="AH892" s="137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379"/>
      <c r="AA896" s="1380"/>
      <c r="AB896" s="1380"/>
      <c r="AC896" s="1380"/>
      <c r="AD896" s="1380"/>
      <c r="AE896" s="1381"/>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379"/>
      <c r="AA897" s="1380"/>
      <c r="AB897" s="1380"/>
      <c r="AC897" s="1380"/>
      <c r="AD897" s="1380"/>
      <c r="AE897" s="1381"/>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379"/>
      <c r="AA898" s="1380"/>
      <c r="AB898" s="1380"/>
      <c r="AC898" s="1380"/>
      <c r="AD898" s="1380"/>
      <c r="AE898" s="1381"/>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53">
        <f>Z896-(Z897+Z898)</f>
        <v>0</v>
      </c>
      <c r="AA899" s="1654"/>
      <c r="AB899" s="1654"/>
      <c r="AC899" s="1654"/>
      <c r="AD899" s="1654"/>
      <c r="AE899" s="1655"/>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15"/>
      <c r="BE901" s="17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15"/>
      <c r="BE902" s="17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56"/>
      <c r="BE903" s="165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56"/>
      <c r="BE904" s="1656"/>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56"/>
      <c r="BE905" s="1656"/>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15"/>
      <c r="BE906" s="165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606" t="s">
        <v>101</v>
      </c>
      <c r="B907" s="1606"/>
      <c r="C907" s="1606"/>
      <c r="D907" s="1606"/>
      <c r="E907" s="1606"/>
      <c r="F907" s="1606"/>
      <c r="G907" s="1606"/>
      <c r="H907" s="1606"/>
      <c r="I907" s="1606"/>
      <c r="J907" s="1606"/>
      <c r="K907" s="1606"/>
      <c r="L907" s="1606"/>
      <c r="M907" s="1606"/>
      <c r="N907" s="1606"/>
      <c r="O907" s="1606"/>
      <c r="P907" s="1606"/>
      <c r="Q907" s="1606"/>
      <c r="R907" s="1606"/>
      <c r="S907" s="1606"/>
      <c r="T907" s="1606"/>
      <c r="U907" s="1606"/>
      <c r="V907" s="1606"/>
      <c r="W907" s="1606"/>
      <c r="X907" s="1606"/>
      <c r="Y907" s="1606"/>
      <c r="Z907" s="1606"/>
      <c r="AA907" s="1606"/>
      <c r="AB907" s="1606"/>
      <c r="AC907" s="1606"/>
      <c r="AD907" s="1606"/>
      <c r="AE907" s="1606"/>
      <c r="AF907" s="1606"/>
      <c r="AG907" s="1606"/>
      <c r="AH907" s="1606"/>
      <c r="AI907" s="1606"/>
      <c r="AJ907" s="1606"/>
      <c r="AK907" s="1606"/>
      <c r="AL907" s="1606"/>
      <c r="AM907" s="95"/>
      <c r="AN907" s="95"/>
      <c r="AO907" s="95"/>
      <c r="AP907" s="95"/>
      <c r="AQ907" s="95"/>
      <c r="AR907" s="95"/>
      <c r="AS907" s="95"/>
      <c r="AT907" s="95"/>
      <c r="AU907" s="95"/>
      <c r="AV907" s="95"/>
      <c r="AW907" s="95"/>
      <c r="AX907" s="95"/>
      <c r="AY907" s="95"/>
      <c r="AZ907" s="34"/>
      <c r="BB907" s="30"/>
      <c r="BC907" s="855"/>
      <c r="BD907" s="1719"/>
      <c r="BE907" s="1719"/>
      <c r="BF907" s="1719"/>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07"/>
      <c r="B908" s="1607"/>
      <c r="C908" s="1607"/>
      <c r="D908" s="1607"/>
      <c r="E908" s="1607"/>
      <c r="F908" s="1607"/>
      <c r="G908" s="1607"/>
      <c r="H908" s="1607"/>
      <c r="I908" s="1607"/>
      <c r="J908" s="1607"/>
      <c r="K908" s="1607"/>
      <c r="L908" s="1607"/>
      <c r="M908" s="1607"/>
      <c r="N908" s="1607"/>
      <c r="O908" s="1607"/>
      <c r="P908" s="1607"/>
      <c r="Q908" s="1607"/>
      <c r="R908" s="1607"/>
      <c r="S908" s="1607"/>
      <c r="T908" s="1607"/>
      <c r="U908" s="1607"/>
      <c r="V908" s="1607"/>
      <c r="W908" s="1607"/>
      <c r="X908" s="1607"/>
      <c r="Y908" s="1607"/>
      <c r="Z908" s="1607"/>
      <c r="AA908" s="1607"/>
      <c r="AB908" s="1607"/>
      <c r="AC908" s="1607"/>
      <c r="AD908" s="1607"/>
      <c r="AE908" s="1607"/>
      <c r="AF908" s="1607"/>
      <c r="AG908" s="1607"/>
      <c r="AH908" s="1607"/>
      <c r="AI908" s="1607"/>
      <c r="AJ908" s="1607"/>
      <c r="AK908" s="1607"/>
      <c r="AL908" s="1607"/>
      <c r="AM908" s="95"/>
      <c r="AN908" s="95"/>
      <c r="AO908" s="95"/>
      <c r="AP908" s="95"/>
      <c r="AQ908" s="95"/>
      <c r="AR908" s="95"/>
      <c r="AS908" s="95"/>
      <c r="AT908" s="95"/>
      <c r="AU908" s="95"/>
      <c r="AV908" s="95"/>
      <c r="AW908" s="95"/>
      <c r="AX908" s="95"/>
      <c r="AY908" s="95"/>
      <c r="AZ908" s="34"/>
      <c r="BB908" s="30"/>
      <c r="BC908" s="855"/>
      <c r="BD908" s="1645"/>
      <c r="BE908" s="1645"/>
      <c r="BF908" s="1645"/>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56"/>
      <c r="BE909" s="1656"/>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15"/>
      <c r="BE910" s="1656"/>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4" t="s">
        <v>835</v>
      </c>
      <c r="G912" s="1535"/>
      <c r="H912" s="1535"/>
      <c r="I912" s="1535"/>
      <c r="J912" s="1535"/>
      <c r="K912" s="1535"/>
      <c r="L912" s="1535"/>
      <c r="M912" s="1535"/>
      <c r="N912" s="1535"/>
      <c r="O912" s="1535"/>
      <c r="P912" s="1535"/>
      <c r="Q912" s="1535"/>
      <c r="R912" s="1535"/>
      <c r="S912" s="1535"/>
      <c r="T912" s="1536"/>
      <c r="U912" s="1395" t="s">
        <v>32</v>
      </c>
      <c r="V912" s="1396"/>
      <c r="W912" s="1396"/>
      <c r="X912" s="1396"/>
      <c r="Y912" s="1396"/>
      <c r="Z912" s="1396"/>
      <c r="AA912" s="43"/>
      <c r="AB912" s="105"/>
      <c r="AC912" s="105"/>
      <c r="AD912" s="105"/>
      <c r="AE912" s="105"/>
      <c r="AF912" s="106"/>
      <c r="AZ912" s="34"/>
      <c r="BA912" s="34"/>
      <c r="BB912" s="30"/>
      <c r="BC912" s="30"/>
      <c r="BD912" s="1715"/>
      <c r="BE912" s="1656"/>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98" t="s">
        <v>864</v>
      </c>
      <c r="G913" s="1399"/>
      <c r="H913" s="1399"/>
      <c r="I913" s="1399"/>
      <c r="J913" s="1399"/>
      <c r="K913" s="1399"/>
      <c r="L913" s="1399"/>
      <c r="M913" s="1399"/>
      <c r="N913" s="1399"/>
      <c r="O913" s="1399"/>
      <c r="P913" s="1399"/>
      <c r="Q913" s="1399"/>
      <c r="R913" s="1399"/>
      <c r="S913" s="1399"/>
      <c r="T913" s="1400"/>
      <c r="U913" s="1398"/>
      <c r="V913" s="1399"/>
      <c r="W913" s="1399"/>
      <c r="X913" s="1399"/>
      <c r="Y913" s="1399"/>
      <c r="Z913" s="1399"/>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401"/>
      <c r="G914" s="1402"/>
      <c r="H914" s="1402"/>
      <c r="I914" s="1402"/>
      <c r="J914" s="1402"/>
      <c r="K914" s="1402"/>
      <c r="L914" s="1402"/>
      <c r="M914" s="1402"/>
      <c r="N914" s="1402"/>
      <c r="O914" s="1402"/>
      <c r="P914" s="1402"/>
      <c r="Q914" s="1402"/>
      <c r="R914" s="1402"/>
      <c r="S914" s="1402"/>
      <c r="T914" s="1403"/>
      <c r="U914" s="1401"/>
      <c r="V914" s="1402"/>
      <c r="W914" s="1402"/>
      <c r="X914" s="1402"/>
      <c r="Y914" s="1402"/>
      <c r="Z914" s="1402"/>
      <c r="AA914" s="108"/>
      <c r="AB914" s="1716" t="s">
        <v>406</v>
      </c>
      <c r="AC914" s="1716"/>
      <c r="AD914" s="1716"/>
      <c r="AE914" s="1716"/>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519" t="s">
        <v>571</v>
      </c>
      <c r="V915" s="1520"/>
      <c r="W915" s="1520"/>
      <c r="X915" s="1520"/>
      <c r="Y915" s="1520"/>
      <c r="Z915" s="1521"/>
      <c r="AA915" s="1525">
        <f>AM564</f>
        <v>25216108</v>
      </c>
      <c r="AB915" s="1526"/>
      <c r="AC915" s="1526"/>
      <c r="AD915" s="1526"/>
      <c r="AE915" s="1526"/>
      <c r="AF915" s="1527"/>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519" t="s">
        <v>571</v>
      </c>
      <c r="V916" s="1520"/>
      <c r="W916" s="1520"/>
      <c r="X916" s="1520"/>
      <c r="Y916" s="1520"/>
      <c r="Z916" s="1521"/>
      <c r="AA916" s="1525">
        <f>AM565</f>
        <v>0</v>
      </c>
      <c r="AB916" s="1526"/>
      <c r="AC916" s="1526"/>
      <c r="AD916" s="1526"/>
      <c r="AE916" s="1526"/>
      <c r="AF916" s="1527"/>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519" t="s">
        <v>618</v>
      </c>
      <c r="V917" s="1520"/>
      <c r="W917" s="1520"/>
      <c r="X917" s="1520"/>
      <c r="Y917" s="1520"/>
      <c r="Z917" s="1521"/>
      <c r="AA917" s="1525"/>
      <c r="AB917" s="1526"/>
      <c r="AC917" s="1526"/>
      <c r="AD917" s="1526"/>
      <c r="AE917" s="1526"/>
      <c r="AF917" s="152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519" t="s">
        <v>571</v>
      </c>
      <c r="V918" s="1520"/>
      <c r="W918" s="1520"/>
      <c r="X918" s="1520"/>
      <c r="Y918" s="1520"/>
      <c r="Z918" s="1521"/>
      <c r="AA918" s="1525">
        <f>AO638+AO641</f>
        <v>15930009</v>
      </c>
      <c r="AB918" s="1526"/>
      <c r="AC918" s="1526"/>
      <c r="AD918" s="1526"/>
      <c r="AE918" s="1526"/>
      <c r="AF918" s="152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519" t="s">
        <v>618</v>
      </c>
      <c r="V919" s="1520"/>
      <c r="W919" s="1520"/>
      <c r="X919" s="1520"/>
      <c r="Y919" s="1520"/>
      <c r="Z919" s="1521"/>
      <c r="AA919" s="1525"/>
      <c r="AB919" s="1526"/>
      <c r="AC919" s="1526"/>
      <c r="AD919" s="1526"/>
      <c r="AE919" s="1526"/>
      <c r="AF919" s="152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519" t="s">
        <v>618</v>
      </c>
      <c r="V920" s="1520"/>
      <c r="W920" s="1520"/>
      <c r="X920" s="1520"/>
      <c r="Y920" s="1520"/>
      <c r="Z920" s="1521"/>
      <c r="AA920" s="1525"/>
      <c r="AB920" s="1526"/>
      <c r="AC920" s="1526"/>
      <c r="AD920" s="1526"/>
      <c r="AE920" s="1526"/>
      <c r="AF920" s="152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519" t="s">
        <v>618</v>
      </c>
      <c r="V921" s="1520"/>
      <c r="W921" s="1520"/>
      <c r="X921" s="1520"/>
      <c r="Y921" s="1520"/>
      <c r="Z921" s="1521"/>
      <c r="AA921" s="1525"/>
      <c r="AB921" s="1526"/>
      <c r="AC921" s="1526"/>
      <c r="AD921" s="1526"/>
      <c r="AE921" s="1526"/>
      <c r="AF921" s="152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519" t="s">
        <v>618</v>
      </c>
      <c r="V922" s="1520"/>
      <c r="W922" s="1520"/>
      <c r="X922" s="1520"/>
      <c r="Y922" s="1520"/>
      <c r="Z922" s="1521"/>
      <c r="AA922" s="1525"/>
      <c r="AB922" s="1526"/>
      <c r="AC922" s="1526"/>
      <c r="AD922" s="1526"/>
      <c r="AE922" s="1526"/>
      <c r="AF922" s="152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519" t="s">
        <v>618</v>
      </c>
      <c r="V923" s="1520"/>
      <c r="W923" s="1520"/>
      <c r="X923" s="1520"/>
      <c r="Y923" s="1520"/>
      <c r="Z923" s="1521"/>
      <c r="AA923" s="1525"/>
      <c r="AB923" s="1526"/>
      <c r="AC923" s="1526"/>
      <c r="AD923" s="1526"/>
      <c r="AE923" s="1526"/>
      <c r="AF923" s="152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519" t="s">
        <v>618</v>
      </c>
      <c r="V924" s="1520"/>
      <c r="W924" s="1520"/>
      <c r="X924" s="1520"/>
      <c r="Y924" s="1520"/>
      <c r="Z924" s="1521"/>
      <c r="AA924" s="1525"/>
      <c r="AB924" s="1526"/>
      <c r="AC924" s="1526"/>
      <c r="AD924" s="1526"/>
      <c r="AE924" s="1526"/>
      <c r="AF924" s="152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1459</v>
      </c>
      <c r="G925" s="5"/>
      <c r="H925" s="5"/>
      <c r="I925" s="5"/>
      <c r="J925" s="5"/>
      <c r="K925" s="5"/>
      <c r="L925" s="5"/>
      <c r="M925" s="5"/>
      <c r="N925" s="5"/>
      <c r="O925" s="5"/>
      <c r="P925" s="5"/>
      <c r="Q925" s="5"/>
      <c r="R925" s="5"/>
      <c r="S925" s="5"/>
      <c r="T925" s="46"/>
      <c r="U925" s="1519" t="s">
        <v>618</v>
      </c>
      <c r="V925" s="1520"/>
      <c r="W925" s="1520"/>
      <c r="X925" s="1520"/>
      <c r="Y925" s="1520"/>
      <c r="Z925" s="1521"/>
      <c r="AA925" s="1525"/>
      <c r="AB925" s="1526"/>
      <c r="AC925" s="1526"/>
      <c r="AD925" s="1526"/>
      <c r="AE925" s="1526"/>
      <c r="AF925" s="15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519" t="s">
        <v>618</v>
      </c>
      <c r="V926" s="1520"/>
      <c r="W926" s="1520"/>
      <c r="X926" s="1520"/>
      <c r="Y926" s="1520"/>
      <c r="Z926" s="1521"/>
      <c r="AA926" s="1525"/>
      <c r="AB926" s="1526"/>
      <c r="AC926" s="1526"/>
      <c r="AD926" s="1526"/>
      <c r="AE926" s="1526"/>
      <c r="AF926" s="152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519" t="s">
        <v>618</v>
      </c>
      <c r="V927" s="1520"/>
      <c r="W927" s="1520"/>
      <c r="X927" s="1520"/>
      <c r="Y927" s="1520"/>
      <c r="Z927" s="1521"/>
      <c r="AA927" s="1525"/>
      <c r="AB927" s="1526"/>
      <c r="AC927" s="1526"/>
      <c r="AD927" s="1526"/>
      <c r="AE927" s="1526"/>
      <c r="AF927" s="152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519" t="s">
        <v>618</v>
      </c>
      <c r="V928" s="1520"/>
      <c r="W928" s="1520"/>
      <c r="X928" s="1520"/>
      <c r="Y928" s="1520"/>
      <c r="Z928" s="1521"/>
      <c r="AA928" s="1525"/>
      <c r="AB928" s="1526"/>
      <c r="AC928" s="1526"/>
      <c r="AD928" s="1526"/>
      <c r="AE928" s="1526"/>
      <c r="AF928" s="1527"/>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519" t="s">
        <v>618</v>
      </c>
      <c r="V929" s="1520"/>
      <c r="W929" s="1520"/>
      <c r="X929" s="1520"/>
      <c r="Y929" s="1520"/>
      <c r="Z929" s="1521"/>
      <c r="AA929" s="1525"/>
      <c r="AB929" s="1526"/>
      <c r="AC929" s="1526"/>
      <c r="AD929" s="1526"/>
      <c r="AE929" s="1526"/>
      <c r="AF929" s="1527"/>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519" t="s">
        <v>696</v>
      </c>
      <c r="Q930" s="1520"/>
      <c r="R930" s="1520"/>
      <c r="S930" s="1520"/>
      <c r="T930" s="1521"/>
      <c r="U930" s="1519" t="s">
        <v>618</v>
      </c>
      <c r="V930" s="1520"/>
      <c r="W930" s="1520"/>
      <c r="X930" s="1520"/>
      <c r="Y930" s="1520"/>
      <c r="Z930" s="1521"/>
      <c r="AA930" s="1525"/>
      <c r="AB930" s="1526"/>
      <c r="AC930" s="1526"/>
      <c r="AD930" s="1526"/>
      <c r="AE930" s="1526"/>
      <c r="AF930" s="1527"/>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31" t="s">
        <v>340</v>
      </c>
      <c r="J931" s="1532"/>
      <c r="K931" s="1532"/>
      <c r="L931" s="1532"/>
      <c r="M931" s="1532"/>
      <c r="N931" s="1532"/>
      <c r="O931" s="1532"/>
      <c r="P931" s="1532"/>
      <c r="Q931" s="1532"/>
      <c r="R931" s="1532"/>
      <c r="S931" s="1532"/>
      <c r="T931" s="1533"/>
      <c r="U931" s="1519" t="s">
        <v>618</v>
      </c>
      <c r="V931" s="1520"/>
      <c r="W931" s="1520"/>
      <c r="X931" s="1520"/>
      <c r="Y931" s="1520"/>
      <c r="Z931" s="1521"/>
      <c r="AA931" s="1525"/>
      <c r="AB931" s="1526"/>
      <c r="AC931" s="1526"/>
      <c r="AD931" s="1526"/>
      <c r="AE931" s="1526"/>
      <c r="AF931" s="152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37" t="s">
        <v>340</v>
      </c>
      <c r="J932" s="1538"/>
      <c r="K932" s="1538"/>
      <c r="L932" s="1538"/>
      <c r="M932" s="1538"/>
      <c r="N932" s="1538"/>
      <c r="O932" s="1538"/>
      <c r="P932" s="1538"/>
      <c r="Q932" s="1538"/>
      <c r="R932" s="1538"/>
      <c r="S932" s="1538"/>
      <c r="T932" s="1539"/>
      <c r="U932" s="1519" t="s">
        <v>618</v>
      </c>
      <c r="V932" s="1520"/>
      <c r="W932" s="1520"/>
      <c r="X932" s="1520"/>
      <c r="Y932" s="1520"/>
      <c r="Z932" s="1521"/>
      <c r="AA932" s="1525"/>
      <c r="AB932" s="1526"/>
      <c r="AC932" s="1526"/>
      <c r="AD932" s="1526"/>
      <c r="AE932" s="1526"/>
      <c r="AF932" s="1527"/>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37" t="s">
        <v>340</v>
      </c>
      <c r="J933" s="1538"/>
      <c r="K933" s="1538"/>
      <c r="L933" s="1538"/>
      <c r="M933" s="1538"/>
      <c r="N933" s="1538"/>
      <c r="O933" s="1538"/>
      <c r="P933" s="1538"/>
      <c r="Q933" s="1538"/>
      <c r="R933" s="1538"/>
      <c r="S933" s="1538"/>
      <c r="T933" s="1539"/>
      <c r="U933" s="1519" t="s">
        <v>618</v>
      </c>
      <c r="V933" s="1520"/>
      <c r="W933" s="1520"/>
      <c r="X933" s="1520"/>
      <c r="Y933" s="1520"/>
      <c r="Z933" s="1521"/>
      <c r="AA933" s="1525"/>
      <c r="AB933" s="1526"/>
      <c r="AC933" s="1526"/>
      <c r="AD933" s="1526"/>
      <c r="AE933" s="1526"/>
      <c r="AF933" s="1527"/>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537" t="s">
        <v>340</v>
      </c>
      <c r="J934" s="1538"/>
      <c r="K934" s="1538"/>
      <c r="L934" s="1538"/>
      <c r="M934" s="1538"/>
      <c r="N934" s="1538"/>
      <c r="O934" s="1538"/>
      <c r="P934" s="1538"/>
      <c r="Q934" s="1538"/>
      <c r="R934" s="1538"/>
      <c r="S934" s="1538"/>
      <c r="T934" s="1539"/>
      <c r="U934" s="1519" t="s">
        <v>618</v>
      </c>
      <c r="V934" s="1520"/>
      <c r="W934" s="1520"/>
      <c r="X934" s="1520"/>
      <c r="Y934" s="1520"/>
      <c r="Z934" s="1521"/>
      <c r="AA934" s="1525"/>
      <c r="AB934" s="1526"/>
      <c r="AC934" s="1526"/>
      <c r="AD934" s="1526"/>
      <c r="AE934" s="1526"/>
      <c r="AF934" s="1527"/>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87"/>
      <c r="N939" s="1541"/>
      <c r="O939" s="1541"/>
      <c r="P939" s="1541"/>
      <c r="Q939" s="1541"/>
      <c r="R939" s="1541"/>
      <c r="S939" s="1542"/>
      <c r="U939" s="66" t="s">
        <v>11</v>
      </c>
      <c r="V939" s="5"/>
      <c r="W939" s="5"/>
      <c r="X939" s="5"/>
      <c r="Y939" s="5"/>
      <c r="Z939" s="5"/>
      <c r="AA939" s="5"/>
      <c r="AB939" s="5"/>
      <c r="AC939" s="5"/>
      <c r="AD939" s="46"/>
      <c r="AE939" s="1687"/>
      <c r="AF939" s="1541"/>
      <c r="AG939" s="1541"/>
      <c r="AH939" s="1541"/>
      <c r="AI939" s="1541"/>
      <c r="AJ939" s="1541"/>
      <c r="AK939" s="1542"/>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03"/>
      <c r="N940" s="1604"/>
      <c r="O940" s="1604"/>
      <c r="P940" s="1604"/>
      <c r="Q940" s="1604"/>
      <c r="R940" s="1604"/>
      <c r="S940" s="1605"/>
      <c r="U940" s="66" t="s">
        <v>12</v>
      </c>
      <c r="V940" s="5"/>
      <c r="W940" s="5"/>
      <c r="X940" s="5"/>
      <c r="Y940" s="5"/>
      <c r="Z940" s="5"/>
      <c r="AA940" s="5"/>
      <c r="AB940" s="5"/>
      <c r="AC940" s="5"/>
      <c r="AD940" s="46"/>
      <c r="AE940" s="1603"/>
      <c r="AF940" s="1604"/>
      <c r="AG940" s="1604"/>
      <c r="AH940" s="1604"/>
      <c r="AI940" s="1604"/>
      <c r="AJ940" s="1604"/>
      <c r="AK940" s="1605"/>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96" t="s">
        <v>313</v>
      </c>
      <c r="K941" s="1697"/>
      <c r="L941" s="1697"/>
      <c r="M941" s="1697"/>
      <c r="N941" s="1697"/>
      <c r="O941" s="1697"/>
      <c r="P941" s="1697"/>
      <c r="Q941" s="1697"/>
      <c r="R941" s="1697"/>
      <c r="S941" s="1698"/>
      <c r="U941" s="66" t="s">
        <v>929</v>
      </c>
      <c r="V941" s="5"/>
      <c r="W941" s="5"/>
      <c r="AB941" s="1696" t="s">
        <v>313</v>
      </c>
      <c r="AC941" s="1697"/>
      <c r="AD941" s="1697"/>
      <c r="AE941" s="1697"/>
      <c r="AF941" s="1697"/>
      <c r="AG941" s="1697"/>
      <c r="AH941" s="1697"/>
      <c r="AI941" s="1697"/>
      <c r="AJ941" s="1697"/>
      <c r="AK941" s="169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15"/>
      <c r="N942" s="1516"/>
      <c r="O942" s="1516"/>
      <c r="P942" s="1516"/>
      <c r="Q942" s="1516"/>
      <c r="R942" s="1516"/>
      <c r="S942" s="1517"/>
      <c r="U942" s="66" t="s">
        <v>13</v>
      </c>
      <c r="V942" s="5"/>
      <c r="W942" s="5"/>
      <c r="X942" s="5"/>
      <c r="Y942" s="5"/>
      <c r="Z942" s="5"/>
      <c r="AA942" s="5"/>
      <c r="AB942" s="5"/>
      <c r="AC942" s="5"/>
      <c r="AD942" s="46"/>
      <c r="AE942" s="1714"/>
      <c r="AF942" s="1516"/>
      <c r="AG942" s="1516"/>
      <c r="AH942" s="1516"/>
      <c r="AI942" s="1516"/>
      <c r="AJ942" s="1516"/>
      <c r="AK942" s="151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93"/>
      <c r="N943" s="1694"/>
      <c r="O943" s="1694"/>
      <c r="P943" s="1694"/>
      <c r="Q943" s="1694"/>
      <c r="R943" s="1694"/>
      <c r="S943" s="1695"/>
      <c r="U943" s="66" t="s">
        <v>14</v>
      </c>
      <c r="V943" s="5"/>
      <c r="W943" s="5"/>
      <c r="X943" s="5"/>
      <c r="Y943" s="5"/>
      <c r="Z943" s="5"/>
      <c r="AA943" s="5"/>
      <c r="AB943" s="5"/>
      <c r="AC943" s="5"/>
      <c r="AD943" s="46"/>
      <c r="AE943" s="1693"/>
      <c r="AF943" s="1694"/>
      <c r="AG943" s="1694"/>
      <c r="AH943" s="1694"/>
      <c r="AI943" s="1694"/>
      <c r="AJ943" s="1694"/>
      <c r="AK943" s="169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5"/>
      <c r="N944" s="1526"/>
      <c r="O944" s="1526"/>
      <c r="P944" s="1526"/>
      <c r="Q944" s="1526"/>
      <c r="R944" s="1526"/>
      <c r="S944" s="1527"/>
      <c r="U944" s="66" t="s">
        <v>15</v>
      </c>
      <c r="V944" s="5"/>
      <c r="W944" s="5"/>
      <c r="X944" s="5"/>
      <c r="Y944" s="5"/>
      <c r="Z944" s="5"/>
      <c r="AA944" s="5"/>
      <c r="AB944" s="5"/>
      <c r="AC944" s="5"/>
      <c r="AD944" s="46"/>
      <c r="AE944" s="1525"/>
      <c r="AF944" s="1526"/>
      <c r="AG944" s="1526"/>
      <c r="AH944" s="1526"/>
      <c r="AI944" s="1526"/>
      <c r="AJ944" s="1526"/>
      <c r="AK944" s="152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5"/>
      <c r="N945" s="1526"/>
      <c r="O945" s="1526"/>
      <c r="P945" s="1526"/>
      <c r="Q945" s="1526"/>
      <c r="R945" s="1526"/>
      <c r="S945" s="1527"/>
      <c r="U945" s="66" t="s">
        <v>16</v>
      </c>
      <c r="V945" s="5"/>
      <c r="W945" s="5"/>
      <c r="X945" s="5"/>
      <c r="Y945" s="5"/>
      <c r="Z945" s="5"/>
      <c r="AA945" s="5"/>
      <c r="AB945" s="5"/>
      <c r="AC945" s="5"/>
      <c r="AD945" s="46"/>
      <c r="AE945" s="1525"/>
      <c r="AF945" s="1526"/>
      <c r="AG945" s="1526"/>
      <c r="AH945" s="1526"/>
      <c r="AI945" s="1526"/>
      <c r="AJ945" s="1526"/>
      <c r="AK945" s="152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410"/>
      <c r="N946" s="1411"/>
      <c r="O946" s="1411"/>
      <c r="P946" s="1411"/>
      <c r="Q946" s="1411"/>
      <c r="R946" s="1411"/>
      <c r="S946" s="1412"/>
      <c r="U946" s="66" t="s">
        <v>597</v>
      </c>
      <c r="V946" s="5"/>
      <c r="W946" s="5"/>
      <c r="X946" s="5"/>
      <c r="Y946" s="5"/>
      <c r="Z946" s="5"/>
      <c r="AA946" s="5"/>
      <c r="AB946" s="5"/>
      <c r="AC946" s="5"/>
      <c r="AD946" s="46"/>
      <c r="AE946" s="1410"/>
      <c r="AF946" s="1411"/>
      <c r="AG946" s="1411"/>
      <c r="AH946" s="1411"/>
      <c r="AI946" s="1411"/>
      <c r="AJ946" s="1411"/>
      <c r="AK946" s="141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506"/>
      <c r="N951" s="1507"/>
      <c r="O951" s="1507"/>
      <c r="P951" s="1507"/>
      <c r="Q951" s="1507"/>
      <c r="R951" s="1507"/>
      <c r="S951" s="1508"/>
      <c r="T951" s="66" t="s">
        <v>833</v>
      </c>
      <c r="U951" s="5"/>
      <c r="V951" s="5"/>
      <c r="W951" s="5"/>
      <c r="X951" s="5"/>
      <c r="Y951" s="5"/>
      <c r="Z951" s="46"/>
      <c r="AA951" s="1506"/>
      <c r="AB951" s="1507"/>
      <c r="AC951" s="1507"/>
      <c r="AD951" s="1507"/>
      <c r="AE951" s="1507"/>
      <c r="AF951" s="1507"/>
      <c r="AG951" s="1508"/>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506"/>
      <c r="N952" s="1507"/>
      <c r="O952" s="1507"/>
      <c r="P952" s="1507"/>
      <c r="Q952" s="1507"/>
      <c r="R952" s="1507"/>
      <c r="S952" s="1508"/>
      <c r="T952" s="66" t="s">
        <v>832</v>
      </c>
      <c r="U952" s="5"/>
      <c r="V952" s="5"/>
      <c r="W952" s="5"/>
      <c r="X952" s="5"/>
      <c r="Y952" s="5"/>
      <c r="Z952" s="46"/>
      <c r="AA952" s="1506"/>
      <c r="AB952" s="1507"/>
      <c r="AC952" s="1507"/>
      <c r="AD952" s="1507"/>
      <c r="AE952" s="1507"/>
      <c r="AF952" s="1507"/>
      <c r="AG952" s="1508"/>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99" t="s">
        <v>618</v>
      </c>
      <c r="N953" s="1700"/>
      <c r="O953" s="1700"/>
      <c r="P953" s="1700"/>
      <c r="Q953" s="1700"/>
      <c r="R953" s="1700"/>
      <c r="S953" s="1701"/>
      <c r="T953" s="45" t="s">
        <v>343</v>
      </c>
      <c r="U953" s="5"/>
      <c r="V953" s="5"/>
      <c r="W953" s="5"/>
      <c r="X953" s="5"/>
      <c r="Y953" s="5"/>
      <c r="Z953" s="46"/>
      <c r="AA953" s="1506"/>
      <c r="AB953" s="1507"/>
      <c r="AC953" s="1507"/>
      <c r="AD953" s="1507"/>
      <c r="AE953" s="1507"/>
      <c r="AF953" s="1507"/>
      <c r="AG953" s="1508"/>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506"/>
      <c r="N954" s="1507"/>
      <c r="O954" s="1507"/>
      <c r="P954" s="1507"/>
      <c r="Q954" s="1507"/>
      <c r="R954" s="1507"/>
      <c r="S954" s="1508"/>
      <c r="T954" s="45" t="s">
        <v>344</v>
      </c>
      <c r="U954" s="5"/>
      <c r="V954" s="5"/>
      <c r="W954" s="5"/>
      <c r="X954" s="5"/>
      <c r="Y954" s="5"/>
      <c r="Z954" s="46"/>
      <c r="AA954" s="1506"/>
      <c r="AB954" s="1507"/>
      <c r="AC954" s="1507"/>
      <c r="AD954" s="1507"/>
      <c r="AE954" s="1507"/>
      <c r="AF954" s="1507"/>
      <c r="AG954" s="1508"/>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506"/>
      <c r="N955" s="1507"/>
      <c r="O955" s="1507"/>
      <c r="P955" s="1507"/>
      <c r="Q955" s="1507"/>
      <c r="R955" s="1507"/>
      <c r="S955" s="1508"/>
      <c r="T955" s="45" t="s">
        <v>391</v>
      </c>
      <c r="U955" s="5"/>
      <c r="V955" s="5"/>
      <c r="W955" s="5"/>
      <c r="X955" s="5"/>
      <c r="Y955" s="5"/>
      <c r="Z955" s="46"/>
      <c r="AA955" s="1506"/>
      <c r="AB955" s="1507"/>
      <c r="AC955" s="1507"/>
      <c r="AD955" s="1507"/>
      <c r="AE955" s="1507"/>
      <c r="AF955" s="1507"/>
      <c r="AG955" s="1508"/>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702" t="s">
        <v>313</v>
      </c>
      <c r="N956" s="1703"/>
      <c r="O956" s="1703"/>
      <c r="P956" s="1703"/>
      <c r="Q956" s="1703"/>
      <c r="R956" s="1703"/>
      <c r="S956" s="1704"/>
      <c r="T956" s="1528"/>
      <c r="U956" s="1529"/>
      <c r="V956" s="1529"/>
      <c r="W956" s="1529"/>
      <c r="X956" s="1529"/>
      <c r="Y956" s="1529"/>
      <c r="Z956" s="1530"/>
      <c r="AA956" s="1506"/>
      <c r="AB956" s="1507"/>
      <c r="AC956" s="1507"/>
      <c r="AD956" s="1507"/>
      <c r="AE956" s="1507"/>
      <c r="AF956" s="1507"/>
      <c r="AG956" s="1508"/>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506"/>
      <c r="N957" s="1507"/>
      <c r="O957" s="1507"/>
      <c r="P957" s="1507"/>
      <c r="Q957" s="1507"/>
      <c r="R957" s="1507"/>
      <c r="S957" s="1508"/>
      <c r="T957" s="1528"/>
      <c r="U957" s="1529"/>
      <c r="V957" s="1529"/>
      <c r="W957" s="1529"/>
      <c r="X957" s="1529"/>
      <c r="Y957" s="1529"/>
      <c r="Z957" s="1530"/>
      <c r="AA957" s="1506"/>
      <c r="AB957" s="1507"/>
      <c r="AC957" s="1507"/>
      <c r="AD957" s="1507"/>
      <c r="AE957" s="1507"/>
      <c r="AF957" s="1507"/>
      <c r="AG957" s="1508"/>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88" t="s">
        <v>696</v>
      </c>
      <c r="P958" s="1689"/>
      <c r="Q958" s="92"/>
      <c r="R958" s="92"/>
      <c r="S958" s="93"/>
      <c r="T958" s="41" t="s">
        <v>175</v>
      </c>
      <c r="U958" s="42"/>
      <c r="V958" s="42"/>
      <c r="W958" s="1509" t="s">
        <v>340</v>
      </c>
      <c r="X958" s="1510"/>
      <c r="Y958" s="1510"/>
      <c r="Z958" s="1510"/>
      <c r="AA958" s="1510"/>
      <c r="AB958" s="1510"/>
      <c r="AC958" s="1510"/>
      <c r="AD958" s="1510"/>
      <c r="AE958" s="1510"/>
      <c r="AF958" s="1510"/>
      <c r="AG958" s="1511"/>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56" t="s">
        <v>34</v>
      </c>
      <c r="G959" s="1342"/>
      <c r="H959" s="1342"/>
      <c r="I959" s="1342"/>
      <c r="J959" s="1342"/>
      <c r="K959" s="1342"/>
      <c r="L959" s="1342"/>
      <c r="M959" s="1506"/>
      <c r="N959" s="1507"/>
      <c r="O959" s="1507"/>
      <c r="P959" s="1507"/>
      <c r="Q959" s="1507"/>
      <c r="R959" s="1507"/>
      <c r="S959" s="1508"/>
      <c r="T959" s="47"/>
      <c r="U959" s="48"/>
      <c r="V959" s="48"/>
      <c r="W959" s="48"/>
      <c r="X959" s="48"/>
      <c r="Y959" s="48"/>
      <c r="Z959" s="124" t="s">
        <v>139</v>
      </c>
      <c r="AA959" s="1522"/>
      <c r="AB959" s="1523"/>
      <c r="AC959" s="1523"/>
      <c r="AD959" s="1523"/>
      <c r="AE959" s="1523"/>
      <c r="AF959" s="1523"/>
      <c r="AG959" s="1524"/>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77" t="s">
        <v>574</v>
      </c>
      <c r="B963" s="1577"/>
      <c r="C963" s="1577"/>
      <c r="D963" s="1577"/>
      <c r="E963" s="1577"/>
      <c r="F963" s="1577"/>
      <c r="G963" s="1577"/>
      <c r="H963" s="1577"/>
      <c r="I963" s="1577"/>
      <c r="J963" s="1577"/>
      <c r="K963" s="1577"/>
      <c r="L963" s="1577"/>
      <c r="M963" s="1577"/>
      <c r="N963" s="1577"/>
      <c r="O963" s="1577"/>
      <c r="P963" s="1577"/>
      <c r="Q963" s="1577"/>
      <c r="R963" s="1577"/>
      <c r="S963" s="1577"/>
      <c r="T963" s="1577"/>
      <c r="U963" s="1577"/>
      <c r="V963" s="1577"/>
      <c r="W963" s="1577"/>
      <c r="X963" s="1577"/>
      <c r="Y963" s="1577"/>
      <c r="Z963" s="1577"/>
      <c r="AA963" s="1577"/>
      <c r="AB963" s="1577"/>
      <c r="AC963" s="1577"/>
      <c r="AD963" s="1577"/>
      <c r="AE963" s="1577"/>
      <c r="AF963" s="1577"/>
      <c r="AG963" s="1577"/>
      <c r="AH963" s="1577"/>
      <c r="AI963" s="1577"/>
      <c r="AJ963" s="1577"/>
      <c r="AK963" s="1577"/>
      <c r="AL963" s="1577"/>
      <c r="AM963" s="1577"/>
      <c r="AN963" s="1577"/>
      <c r="AO963" s="1577"/>
      <c r="AP963" s="1577"/>
      <c r="AQ963" s="1577"/>
      <c r="AR963" s="1577"/>
      <c r="AS963" s="1577"/>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77"/>
      <c r="B964" s="1577"/>
      <c r="C964" s="1577"/>
      <c r="D964" s="1577"/>
      <c r="E964" s="1577"/>
      <c r="F964" s="1577"/>
      <c r="G964" s="1577"/>
      <c r="H964" s="1577"/>
      <c r="I964" s="1577"/>
      <c r="J964" s="1577"/>
      <c r="K964" s="1577"/>
      <c r="L964" s="1577"/>
      <c r="M964" s="1577"/>
      <c r="N964" s="1577"/>
      <c r="O964" s="1577"/>
      <c r="P964" s="1577"/>
      <c r="Q964" s="1577"/>
      <c r="R964" s="1577"/>
      <c r="S964" s="1577"/>
      <c r="T964" s="1577"/>
      <c r="U964" s="1577"/>
      <c r="V964" s="1577"/>
      <c r="W964" s="1577"/>
      <c r="X964" s="1577"/>
      <c r="Y964" s="1577"/>
      <c r="Z964" s="1577"/>
      <c r="AA964" s="1577"/>
      <c r="AB964" s="1577"/>
      <c r="AC964" s="1577"/>
      <c r="AD964" s="1577"/>
      <c r="AE964" s="1577"/>
      <c r="AF964" s="1577"/>
      <c r="AG964" s="1577"/>
      <c r="AH964" s="1577"/>
      <c r="AI964" s="1577"/>
      <c r="AJ964" s="1577"/>
      <c r="AK964" s="1577"/>
      <c r="AL964" s="1577"/>
      <c r="AM964" s="1577"/>
      <c r="AN964" s="1577"/>
      <c r="AO964" s="1577"/>
      <c r="AP964" s="1577"/>
      <c r="AQ964" s="1577"/>
      <c r="AR964" s="1577"/>
      <c r="AS964" s="1577"/>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56"/>
      <c r="BH965" s="1656"/>
      <c r="BI965" s="1656"/>
      <c r="BJ965" s="1656"/>
      <c r="BK965" s="1656"/>
      <c r="BL965" s="1656"/>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462" t="s">
        <v>665</v>
      </c>
      <c r="E968" s="1463"/>
      <c r="F968" s="1463"/>
      <c r="G968" s="1463"/>
      <c r="H968" s="1463"/>
      <c r="I968" s="1463"/>
      <c r="J968" s="1463"/>
      <c r="K968" s="1463"/>
      <c r="L968" s="1463"/>
      <c r="M968" s="1463"/>
      <c r="N968" s="1463"/>
      <c r="O968" s="1463"/>
      <c r="P968" s="1463"/>
      <c r="Q968" s="1464"/>
      <c r="R968" s="1462" t="s">
        <v>666</v>
      </c>
      <c r="S968" s="1463"/>
      <c r="T968" s="1463"/>
      <c r="U968" s="1463"/>
      <c r="V968" s="1463"/>
      <c r="W968" s="1463"/>
      <c r="X968" s="1463"/>
      <c r="Y968" s="1463"/>
      <c r="Z968" s="1463"/>
      <c r="AA968" s="1464"/>
      <c r="AB968" s="1462" t="s">
        <v>667</v>
      </c>
      <c r="AC968" s="1463"/>
      <c r="AD968" s="1463"/>
      <c r="AE968" s="1463"/>
      <c r="AF968" s="1463"/>
      <c r="AG968" s="1463"/>
      <c r="AH968" s="1463"/>
      <c r="AI968" s="1464"/>
      <c r="AJ968" s="1462" t="s">
        <v>668</v>
      </c>
      <c r="AK968" s="1463"/>
      <c r="AL968" s="1463"/>
      <c r="AM968" s="1463"/>
      <c r="AN968" s="1463"/>
      <c r="AO968" s="1463"/>
      <c r="AP968" s="1463"/>
      <c r="AQ968" s="1464"/>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459" t="s">
        <v>660</v>
      </c>
      <c r="E969" s="1460"/>
      <c r="F969" s="1460"/>
      <c r="G969" s="1460"/>
      <c r="H969" s="1460"/>
      <c r="I969" s="1460"/>
      <c r="J969" s="1460"/>
      <c r="K969" s="1460"/>
      <c r="L969" s="1460"/>
      <c r="M969" s="1460"/>
      <c r="N969" s="1460"/>
      <c r="O969" s="1460"/>
      <c r="P969" s="1460"/>
      <c r="Q969" s="1461"/>
      <c r="R969" s="1518">
        <f>IF(ISNA(IF($BN$799="4%",(INDEX($BP$809:$BT$866,MATCH($CB$799,$BO$809:$BO$866,0),MATCH(D969,$BP$808:$BT$808,0))),(INDEX($BW$809:$CA$866,MATCH($CB$799,$BV$809:$BV$866,0),MATCH(D969,$BW$808:$CA$808,0))))),0,IF($BN$799="4%",(INDEX($BP$809:$BT$866,MATCH($CB$799,$BO$809:$BO$866,0),MATCH(D969,$BP$808:$BT$808,0))),(INDEX($BW$809:$CA$866,MATCH($CB$799,$BV$809:$BV$866,0),MATCH(D969,$BW$808:$CA$808,0)))))</f>
        <v>246186</v>
      </c>
      <c r="S969" s="1518"/>
      <c r="T969" s="1518"/>
      <c r="U969" s="1518"/>
      <c r="V969" s="1518"/>
      <c r="W969" s="1518"/>
      <c r="X969" s="1518"/>
      <c r="Y969" s="1518"/>
      <c r="Z969" s="1518"/>
      <c r="AA969" s="1518"/>
      <c r="AB969" s="1407">
        <f>BN663</f>
        <v>0</v>
      </c>
      <c r="AC969" s="1408"/>
      <c r="AD969" s="1408"/>
      <c r="AE969" s="1408"/>
      <c r="AF969" s="1408"/>
      <c r="AG969" s="1408"/>
      <c r="AH969" s="1408"/>
      <c r="AI969" s="1409"/>
      <c r="AJ969" s="1440">
        <f>IF(ISERROR((R969*AB969)),0,(R969*AB969))</f>
        <v>0</v>
      </c>
      <c r="AK969" s="1441"/>
      <c r="AL969" s="1441"/>
      <c r="AM969" s="1441"/>
      <c r="AN969" s="1441"/>
      <c r="AO969" s="1441"/>
      <c r="AP969" s="1441"/>
      <c r="AQ969" s="1442"/>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59" t="s">
        <v>331</v>
      </c>
      <c r="E970" s="1460"/>
      <c r="F970" s="1460"/>
      <c r="G970" s="1460"/>
      <c r="H970" s="1460"/>
      <c r="I970" s="1460"/>
      <c r="J970" s="1460"/>
      <c r="K970" s="1460"/>
      <c r="L970" s="1460"/>
      <c r="M970" s="1460"/>
      <c r="N970" s="1460"/>
      <c r="O970" s="1460"/>
      <c r="P970" s="1460"/>
      <c r="Q970" s="1461"/>
      <c r="R970" s="1518">
        <f>IF(ISNA(IF($BN$799="4%",(INDEX($BP$809:$BT$866,MATCH($CB$799,$BO$809:$BO$866,0),MATCH(D970,$BP$808:$BT$808,0))),(INDEX($BW$809:$CA$866,MATCH($CB$799,$BV$809:$BV$866,0),MATCH(D970,$BW$808:$CA$808,0))))),0,IF($BN$799="4%",(INDEX($BP$809:$BT$866,MATCH($CB$799,$BO$809:$BO$866,0),MATCH(D970,$BP$808:$BT$808,0))),(INDEX($BW$809:$CA$866,MATCH($CB$799,$BV$809:$BV$866,0),MATCH(D970,$BW$808:$CA$808,0)))))</f>
        <v>283850</v>
      </c>
      <c r="S970" s="1518"/>
      <c r="T970" s="1518"/>
      <c r="U970" s="1518"/>
      <c r="V970" s="1518"/>
      <c r="W970" s="1518"/>
      <c r="X970" s="1518"/>
      <c r="Y970" s="1518"/>
      <c r="Z970" s="1518"/>
      <c r="AA970" s="1518"/>
      <c r="AB970" s="1407">
        <f>BS663</f>
        <v>8</v>
      </c>
      <c r="AC970" s="1408"/>
      <c r="AD970" s="1408"/>
      <c r="AE970" s="1408"/>
      <c r="AF970" s="1408"/>
      <c r="AG970" s="1408"/>
      <c r="AH970" s="1408"/>
      <c r="AI970" s="1409"/>
      <c r="AJ970" s="1440">
        <f>IF(ISERROR((R970*AB970)),0,(R970*AB970))</f>
        <v>2270800</v>
      </c>
      <c r="AK970" s="1441"/>
      <c r="AL970" s="1441"/>
      <c r="AM970" s="1441"/>
      <c r="AN970" s="1441"/>
      <c r="AO970" s="1441"/>
      <c r="AP970" s="1441"/>
      <c r="AQ970" s="1442"/>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59" t="s">
        <v>168</v>
      </c>
      <c r="E971" s="1460"/>
      <c r="F971" s="1460"/>
      <c r="G971" s="1460"/>
      <c r="H971" s="1460"/>
      <c r="I971" s="1460"/>
      <c r="J971" s="1460"/>
      <c r="K971" s="1460"/>
      <c r="L971" s="1460"/>
      <c r="M971" s="1460"/>
      <c r="N971" s="1460"/>
      <c r="O971" s="1460"/>
      <c r="P971" s="1460"/>
      <c r="Q971" s="1461"/>
      <c r="R971" s="1518">
        <f>IF(ISNA(IF($BN$799="4%",(INDEX($BP$809:$BT$866,MATCH($CB$799,$BO$809:$BO$866,0),MATCH(D971,$BP$808:$BT$808,0))),(INDEX($BW$809:$CA$866,MATCH($CB$799,$BV$809:$BV$866,0),MATCH(D971,$BW$808:$CA$808,0))))),0,IF($BN$799="4%",(INDEX($BP$809:$BT$866,MATCH($CB$799,$BO$809:$BO$866,0),MATCH(D971,$BP$808:$BT$808,0))),(INDEX($BW$809:$CA$866,MATCH($CB$799,$BV$809:$BV$866,0),MATCH(D971,$BW$808:$CA$808,0)))))</f>
        <v>342400</v>
      </c>
      <c r="S971" s="1518"/>
      <c r="T971" s="1518"/>
      <c r="U971" s="1518"/>
      <c r="V971" s="1518"/>
      <c r="W971" s="1518"/>
      <c r="X971" s="1518"/>
      <c r="Y971" s="1518"/>
      <c r="Z971" s="1518"/>
      <c r="AA971" s="1518"/>
      <c r="AB971" s="1407">
        <f>BX663</f>
        <v>24</v>
      </c>
      <c r="AC971" s="1408"/>
      <c r="AD971" s="1408"/>
      <c r="AE971" s="1408"/>
      <c r="AF971" s="1408"/>
      <c r="AG971" s="1408"/>
      <c r="AH971" s="1408"/>
      <c r="AI971" s="1409"/>
      <c r="AJ971" s="1440">
        <f>IF(ISERROR((R971*AB971)),0,(R971*AB971))</f>
        <v>8217600</v>
      </c>
      <c r="AK971" s="1441"/>
      <c r="AL971" s="1441"/>
      <c r="AM971" s="1441"/>
      <c r="AN971" s="1441"/>
      <c r="AO971" s="1441"/>
      <c r="AP971" s="1441"/>
      <c r="AQ971" s="1442"/>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59" t="s">
        <v>169</v>
      </c>
      <c r="E972" s="1460"/>
      <c r="F972" s="1460"/>
      <c r="G972" s="1460"/>
      <c r="H972" s="1460"/>
      <c r="I972" s="1460"/>
      <c r="J972" s="1460"/>
      <c r="K972" s="1460"/>
      <c r="L972" s="1460"/>
      <c r="M972" s="1460"/>
      <c r="N972" s="1460"/>
      <c r="O972" s="1460"/>
      <c r="P972" s="1460"/>
      <c r="Q972" s="1461"/>
      <c r="R972" s="1518">
        <f>IF(ISNA(IF($BN$799="4%",(INDEX($BP$809:$BT$866,MATCH($CB$799,$BO$809:$BO$866,0),MATCH(D972,$BP$808:$BT$808,0))),(INDEX($BW$809:$CA$866,MATCH($CB$799,$BV$809:$BV$866,0),MATCH(D972,$BW$808:$CA$808,0))))),0,IF($BN$799="4%",(INDEX($BP$809:$BT$866,MATCH($CB$799,$BO$809:$BO$866,0),MATCH(D972,$BP$808:$BT$808,0))),(INDEX($BW$809:$CA$866,MATCH($CB$799,$BV$809:$BV$866,0),MATCH(D972,$BW$808:$CA$808,0)))))</f>
        <v>438272</v>
      </c>
      <c r="S972" s="1518"/>
      <c r="T972" s="1518"/>
      <c r="U972" s="1518"/>
      <c r="V972" s="1518"/>
      <c r="W972" s="1518"/>
      <c r="X972" s="1518"/>
      <c r="Y972" s="1518"/>
      <c r="Z972" s="1518"/>
      <c r="AA972" s="1518"/>
      <c r="AB972" s="1407">
        <f>CC663</f>
        <v>33</v>
      </c>
      <c r="AC972" s="1408"/>
      <c r="AD972" s="1408"/>
      <c r="AE972" s="1408"/>
      <c r="AF972" s="1408"/>
      <c r="AG972" s="1408"/>
      <c r="AH972" s="1408"/>
      <c r="AI972" s="1409"/>
      <c r="AJ972" s="1440">
        <f>IF(ISERROR((R972*AB972)),0,(R972*AB972))</f>
        <v>14462976</v>
      </c>
      <c r="AK972" s="1441"/>
      <c r="AL972" s="1441"/>
      <c r="AM972" s="1441"/>
      <c r="AN972" s="1441"/>
      <c r="AO972" s="1441"/>
      <c r="AP972" s="1441"/>
      <c r="AQ972" s="1442"/>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59" t="s">
        <v>486</v>
      </c>
      <c r="E973" s="1460"/>
      <c r="F973" s="1460"/>
      <c r="G973" s="1460"/>
      <c r="H973" s="1460"/>
      <c r="I973" s="1460"/>
      <c r="J973" s="1460"/>
      <c r="K973" s="1460"/>
      <c r="L973" s="1460"/>
      <c r="M973" s="1460"/>
      <c r="N973" s="1460"/>
      <c r="O973" s="1460"/>
      <c r="P973" s="1460"/>
      <c r="Q973" s="1461"/>
      <c r="R973" s="1518">
        <f>IF(ISNA(IF($BN$799="4%",(INDEX($BP$809:$BT$866,MATCH($CB$799,$BO$809:$BO$866,0),MATCH(D973,$BP$808:$BT$808,0))),(INDEX($BW$809:$CA$866,MATCH($CB$799,$BV$809:$BV$866,0),MATCH(D973,$BW$808:$CA$808,0))))),0,IF($BN$799="4%",(INDEX($BP$809:$BT$866,MATCH($CB$799,$BO$809:$BO$866,0),MATCH(D973,$BP$808:$BT$808,0))),(INDEX($BW$809:$CA$866,MATCH($CB$799,$BV$809:$BV$866,0),MATCH(D973,$BW$808:$CA$808,0)))))</f>
        <v>488262</v>
      </c>
      <c r="S973" s="1518"/>
      <c r="T973" s="1518"/>
      <c r="U973" s="1518"/>
      <c r="V973" s="1518"/>
      <c r="W973" s="1518"/>
      <c r="X973" s="1518"/>
      <c r="Y973" s="1518"/>
      <c r="Z973" s="1518"/>
      <c r="AA973" s="1518"/>
      <c r="AB973" s="1407">
        <f>CM663+CH663</f>
        <v>10</v>
      </c>
      <c r="AC973" s="1408"/>
      <c r="AD973" s="1408"/>
      <c r="AE973" s="1408"/>
      <c r="AF973" s="1408"/>
      <c r="AG973" s="1408"/>
      <c r="AH973" s="1408"/>
      <c r="AI973" s="1409"/>
      <c r="AJ973" s="1440">
        <f>IF(ISERROR((R973*AB973)),0,(R973*AB973))</f>
        <v>4882620</v>
      </c>
      <c r="AK973" s="1441"/>
      <c r="AL973" s="1441"/>
      <c r="AM973" s="1441"/>
      <c r="AN973" s="1441"/>
      <c r="AO973" s="1441"/>
      <c r="AP973" s="1441"/>
      <c r="AQ973" s="1442"/>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88" t="s">
        <v>834</v>
      </c>
      <c r="C974" s="1489"/>
      <c r="D974" s="1489"/>
      <c r="E974" s="1489"/>
      <c r="F974" s="1489"/>
      <c r="G974" s="1489"/>
      <c r="H974" s="1489"/>
      <c r="I974" s="1489"/>
      <c r="J974" s="1489"/>
      <c r="K974" s="1489"/>
      <c r="L974" s="1489"/>
      <c r="M974" s="1489"/>
      <c r="N974" s="1489"/>
      <c r="O974" s="1489"/>
      <c r="P974" s="1489"/>
      <c r="Q974" s="1489"/>
      <c r="R974" s="1489"/>
      <c r="S974" s="1489"/>
      <c r="T974" s="1489"/>
      <c r="U974" s="1489"/>
      <c r="V974" s="1489"/>
      <c r="W974" s="1489"/>
      <c r="X974" s="1489"/>
      <c r="Y974" s="1489"/>
      <c r="Z974" s="1489"/>
      <c r="AA974" s="1490"/>
      <c r="AB974" s="1407">
        <f>SUM(AB969:AI973)</f>
        <v>75</v>
      </c>
      <c r="AC974" s="1408"/>
      <c r="AD974" s="1408"/>
      <c r="AE974" s="1408"/>
      <c r="AF974" s="1408"/>
      <c r="AG974" s="1408"/>
      <c r="AH974" s="1408"/>
      <c r="AI974" s="1409"/>
      <c r="AJ974" s="1440"/>
      <c r="AK974" s="1441"/>
      <c r="AL974" s="1441"/>
      <c r="AM974" s="1441"/>
      <c r="AN974" s="1441"/>
      <c r="AO974" s="1441"/>
      <c r="AP974" s="1441"/>
      <c r="AQ974" s="1442"/>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437" t="s">
        <v>538</v>
      </c>
      <c r="C975" s="1438"/>
      <c r="D975" s="1438"/>
      <c r="E975" s="1438"/>
      <c r="F975" s="1438"/>
      <c r="G975" s="1438"/>
      <c r="H975" s="1438"/>
      <c r="I975" s="1438"/>
      <c r="J975" s="1438"/>
      <c r="K975" s="1438"/>
      <c r="L975" s="1438"/>
      <c r="M975" s="1438"/>
      <c r="N975" s="1438"/>
      <c r="O975" s="1438"/>
      <c r="P975" s="1438"/>
      <c r="Q975" s="1438"/>
      <c r="R975" s="1438"/>
      <c r="S975" s="1438"/>
      <c r="T975" s="1438"/>
      <c r="U975" s="1438"/>
      <c r="V975" s="1438"/>
      <c r="W975" s="1438"/>
      <c r="X975" s="1438"/>
      <c r="Y975" s="1438"/>
      <c r="Z975" s="1438"/>
      <c r="AA975" s="1438"/>
      <c r="AB975" s="1438"/>
      <c r="AC975" s="1438"/>
      <c r="AD975" s="1438"/>
      <c r="AE975" s="1438"/>
      <c r="AF975" s="1438"/>
      <c r="AG975" s="1438"/>
      <c r="AH975" s="1438"/>
      <c r="AI975" s="1439"/>
      <c r="AJ975" s="1440">
        <f>SUM(AJ969:AQ973)</f>
        <v>29833996</v>
      </c>
      <c r="AK975" s="1441"/>
      <c r="AL975" s="1441"/>
      <c r="AM975" s="1441"/>
      <c r="AN975" s="1441"/>
      <c r="AO975" s="1441"/>
      <c r="AP975" s="1441"/>
      <c r="AQ975" s="1442"/>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43"/>
      <c r="C976" s="1444"/>
      <c r="D976" s="1444"/>
      <c r="E976" s="1444"/>
      <c r="F976" s="1444"/>
      <c r="G976" s="1444"/>
      <c r="H976" s="1444"/>
      <c r="I976" s="1444"/>
      <c r="J976" s="1444"/>
      <c r="K976" s="1444"/>
      <c r="L976" s="1444"/>
      <c r="M976" s="1444"/>
      <c r="N976" s="1444"/>
      <c r="O976" s="1444"/>
      <c r="P976" s="1444"/>
      <c r="Q976" s="1444"/>
      <c r="R976" s="1444"/>
      <c r="S976" s="1444"/>
      <c r="T976" s="1444"/>
      <c r="U976" s="1444"/>
      <c r="V976" s="1444"/>
      <c r="W976" s="1444"/>
      <c r="X976" s="1444"/>
      <c r="Y976" s="1444"/>
      <c r="Z976" s="1444"/>
      <c r="AA976" s="1444"/>
      <c r="AB976" s="1444"/>
      <c r="AC976" s="1444"/>
      <c r="AD976" s="1444"/>
      <c r="AE976" s="1445"/>
      <c r="AF976" s="1446" t="s">
        <v>693</v>
      </c>
      <c r="AG976" s="1447"/>
      <c r="AH976" s="1447"/>
      <c r="AI976" s="1448"/>
      <c r="AJ976" s="1443"/>
      <c r="AK976" s="1444"/>
      <c r="AL976" s="1444"/>
      <c r="AM976" s="1444"/>
      <c r="AN976" s="1444"/>
      <c r="AO976" s="1444"/>
      <c r="AP976" s="1444"/>
      <c r="AQ976" s="1445"/>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453" t="s">
        <v>1387</v>
      </c>
      <c r="E977" s="1454"/>
      <c r="F977" s="1454"/>
      <c r="G977" s="1454"/>
      <c r="H977" s="1454"/>
      <c r="I977" s="1454"/>
      <c r="J977" s="1454"/>
      <c r="K977" s="1454"/>
      <c r="L977" s="1454"/>
      <c r="M977" s="1454"/>
      <c r="N977" s="1454"/>
      <c r="O977" s="1454"/>
      <c r="P977" s="1454"/>
      <c r="Q977" s="1454"/>
      <c r="R977" s="1454"/>
      <c r="S977" s="1454"/>
      <c r="T977" s="1454"/>
      <c r="U977" s="1454"/>
      <c r="V977" s="1454"/>
      <c r="W977" s="1454"/>
      <c r="X977" s="1454"/>
      <c r="Y977" s="1454"/>
      <c r="Z977" s="1454"/>
      <c r="AA977" s="1454"/>
      <c r="AB977" s="1454"/>
      <c r="AC977" s="1454"/>
      <c r="AD977" s="1454"/>
      <c r="AE977" s="1455"/>
      <c r="AF977" s="79"/>
      <c r="AG977" s="1449" t="s">
        <v>571</v>
      </c>
      <c r="AH977" s="1450"/>
      <c r="AI977" s="87"/>
      <c r="AJ977" s="1470">
        <f>ROUND(IF(AND(AG977="yes",D979&gt;0),AJ975*0.2,0),0)</f>
        <v>5966799</v>
      </c>
      <c r="AK977" s="1471"/>
      <c r="AL977" s="1471"/>
      <c r="AM977" s="1471"/>
      <c r="AN977" s="1471"/>
      <c r="AO977" s="1471"/>
      <c r="AP977" s="1471"/>
      <c r="AQ977" s="1472"/>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91" t="s">
        <v>1388</v>
      </c>
      <c r="E978" s="1492"/>
      <c r="F978" s="1492"/>
      <c r="G978" s="1492"/>
      <c r="H978" s="1492"/>
      <c r="I978" s="1492"/>
      <c r="J978" s="1492"/>
      <c r="K978" s="1492"/>
      <c r="L978" s="1492"/>
      <c r="M978" s="1492"/>
      <c r="N978" s="1492"/>
      <c r="O978" s="1492"/>
      <c r="P978" s="1492"/>
      <c r="Q978" s="1492"/>
      <c r="R978" s="1492"/>
      <c r="S978" s="1492"/>
      <c r="T978" s="1492"/>
      <c r="U978" s="1492"/>
      <c r="V978" s="1492"/>
      <c r="W978" s="1492"/>
      <c r="X978" s="1492"/>
      <c r="Y978" s="1492"/>
      <c r="Z978" s="1492"/>
      <c r="AA978" s="1492"/>
      <c r="AB978" s="1492"/>
      <c r="AC978" s="1492"/>
      <c r="AD978" s="1492"/>
      <c r="AE978" s="1493"/>
      <c r="AF978" s="73"/>
      <c r="AG978" s="14"/>
      <c r="AH978" s="14"/>
      <c r="AI978" s="83"/>
      <c r="AJ978" s="1473"/>
      <c r="AK978" s="1474"/>
      <c r="AL978" s="1474"/>
      <c r="AM978" s="1474"/>
      <c r="AN978" s="1474"/>
      <c r="AO978" s="1474"/>
      <c r="AP978" s="1474"/>
      <c r="AQ978" s="1475"/>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494" t="s">
        <v>2705</v>
      </c>
      <c r="E979" s="1495"/>
      <c r="F979" s="1495"/>
      <c r="G979" s="1495"/>
      <c r="H979" s="1495"/>
      <c r="I979" s="1495"/>
      <c r="J979" s="1495"/>
      <c r="K979" s="1495"/>
      <c r="L979" s="1495"/>
      <c r="M979" s="1495"/>
      <c r="N979" s="1495"/>
      <c r="O979" s="1495"/>
      <c r="P979" s="1495"/>
      <c r="Q979" s="1495"/>
      <c r="R979" s="1495"/>
      <c r="S979" s="1495"/>
      <c r="T979" s="1495"/>
      <c r="U979" s="1495"/>
      <c r="V979" s="1495"/>
      <c r="W979" s="1495"/>
      <c r="X979" s="1495"/>
      <c r="Y979" s="1495"/>
      <c r="Z979" s="1495"/>
      <c r="AA979" s="1495"/>
      <c r="AB979" s="1495"/>
      <c r="AC979" s="1495"/>
      <c r="AD979" s="1495"/>
      <c r="AE979" s="1496"/>
      <c r="AF979" s="77"/>
      <c r="AG979" s="7"/>
      <c r="AH979" s="7"/>
      <c r="AI979" s="78"/>
      <c r="AJ979" s="1476"/>
      <c r="AK979" s="1477"/>
      <c r="AL979" s="1477"/>
      <c r="AM979" s="1477"/>
      <c r="AN979" s="1477"/>
      <c r="AO979" s="1477"/>
      <c r="AP979" s="1477"/>
      <c r="AQ979" s="1478"/>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34" t="s">
        <v>1475</v>
      </c>
      <c r="E980" s="1435"/>
      <c r="F980" s="1435"/>
      <c r="G980" s="1435"/>
      <c r="H980" s="1435"/>
      <c r="I980" s="1435"/>
      <c r="J980" s="1435"/>
      <c r="K980" s="1435"/>
      <c r="L980" s="1435"/>
      <c r="M980" s="1435"/>
      <c r="N980" s="1435"/>
      <c r="O980" s="1435"/>
      <c r="P980" s="1435"/>
      <c r="Q980" s="1435"/>
      <c r="R980" s="1435"/>
      <c r="S980" s="1435"/>
      <c r="T980" s="1435"/>
      <c r="U980" s="1435"/>
      <c r="V980" s="1435"/>
      <c r="W980" s="1435"/>
      <c r="X980" s="1435"/>
      <c r="Y980" s="1435"/>
      <c r="Z980" s="1435"/>
      <c r="AA980" s="1435"/>
      <c r="AB980" s="1435"/>
      <c r="AC980" s="1435"/>
      <c r="AD980" s="1435"/>
      <c r="AE980" s="1436"/>
      <c r="AF980" s="79"/>
      <c r="AG980" s="1451" t="s">
        <v>696</v>
      </c>
      <c r="AH980" s="1452"/>
      <c r="AI980" s="87"/>
      <c r="AJ980" s="1470">
        <f>ROUND(IF(AG980="yes",AJ975*0.05,0),0)</f>
        <v>0</v>
      </c>
      <c r="AK980" s="1471"/>
      <c r="AL980" s="1471"/>
      <c r="AM980" s="1471"/>
      <c r="AN980" s="1471"/>
      <c r="AO980" s="1471"/>
      <c r="AP980" s="1471"/>
      <c r="AQ980" s="1472"/>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491" t="s">
        <v>1473</v>
      </c>
      <c r="E981" s="1492"/>
      <c r="F981" s="1492"/>
      <c r="G981" s="1492"/>
      <c r="H981" s="1492"/>
      <c r="I981" s="1492"/>
      <c r="J981" s="1492"/>
      <c r="K981" s="1492"/>
      <c r="L981" s="1492"/>
      <c r="M981" s="1492"/>
      <c r="N981" s="1492"/>
      <c r="O981" s="1492"/>
      <c r="P981" s="1492"/>
      <c r="Q981" s="1492"/>
      <c r="R981" s="1492"/>
      <c r="S981" s="1492"/>
      <c r="T981" s="1492"/>
      <c r="U981" s="1492"/>
      <c r="V981" s="1492"/>
      <c r="W981" s="1492"/>
      <c r="X981" s="1492"/>
      <c r="Y981" s="1492"/>
      <c r="Z981" s="1492"/>
      <c r="AA981" s="1492"/>
      <c r="AB981" s="1492"/>
      <c r="AC981" s="1492"/>
      <c r="AD981" s="1492"/>
      <c r="AE981" s="1493"/>
      <c r="AF981" s="73"/>
      <c r="AG981" s="14"/>
      <c r="AH981" s="14"/>
      <c r="AI981" s="83"/>
      <c r="AJ981" s="1473"/>
      <c r="AK981" s="1474"/>
      <c r="AL981" s="1474"/>
      <c r="AM981" s="1474"/>
      <c r="AN981" s="1474"/>
      <c r="AO981" s="1474"/>
      <c r="AP981" s="1474"/>
      <c r="AQ981" s="1475"/>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91"/>
      <c r="E982" s="1492"/>
      <c r="F982" s="1492"/>
      <c r="G982" s="1492"/>
      <c r="H982" s="1492"/>
      <c r="I982" s="1492"/>
      <c r="J982" s="1492"/>
      <c r="K982" s="1492"/>
      <c r="L982" s="1492"/>
      <c r="M982" s="1492"/>
      <c r="N982" s="1492"/>
      <c r="O982" s="1492"/>
      <c r="P982" s="1492"/>
      <c r="Q982" s="1492"/>
      <c r="R982" s="1492"/>
      <c r="S982" s="1492"/>
      <c r="T982" s="1492"/>
      <c r="U982" s="1492"/>
      <c r="V982" s="1492"/>
      <c r="W982" s="1492"/>
      <c r="X982" s="1492"/>
      <c r="Y982" s="1492"/>
      <c r="Z982" s="1492"/>
      <c r="AA982" s="1492"/>
      <c r="AB982" s="1492"/>
      <c r="AC982" s="1492"/>
      <c r="AD982" s="1492"/>
      <c r="AE982" s="1493"/>
      <c r="AF982" s="73"/>
      <c r="AG982" s="14"/>
      <c r="AH982" s="14"/>
      <c r="AI982" s="83"/>
      <c r="AJ982" s="1473"/>
      <c r="AK982" s="1474"/>
      <c r="AL982" s="1474"/>
      <c r="AM982" s="1474"/>
      <c r="AN982" s="1474"/>
      <c r="AO982" s="1474"/>
      <c r="AP982" s="1474"/>
      <c r="AQ982" s="1475"/>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91"/>
      <c r="E983" s="1492"/>
      <c r="F983" s="1492"/>
      <c r="G983" s="1492"/>
      <c r="H983" s="1492"/>
      <c r="I983" s="1492"/>
      <c r="J983" s="1492"/>
      <c r="K983" s="1492"/>
      <c r="L983" s="1492"/>
      <c r="M983" s="1492"/>
      <c r="N983" s="1492"/>
      <c r="O983" s="1492"/>
      <c r="P983" s="1492"/>
      <c r="Q983" s="1492"/>
      <c r="R983" s="1492"/>
      <c r="S983" s="1492"/>
      <c r="T983" s="1492"/>
      <c r="U983" s="1492"/>
      <c r="V983" s="1492"/>
      <c r="W983" s="1492"/>
      <c r="X983" s="1492"/>
      <c r="Y983" s="1492"/>
      <c r="Z983" s="1492"/>
      <c r="AA983" s="1492"/>
      <c r="AB983" s="1492"/>
      <c r="AC983" s="1492"/>
      <c r="AD983" s="1492"/>
      <c r="AE983" s="1493"/>
      <c r="AF983" s="73"/>
      <c r="AG983" s="14"/>
      <c r="AH983" s="14"/>
      <c r="AI983" s="83"/>
      <c r="AJ983" s="1473"/>
      <c r="AK983" s="1474"/>
      <c r="AL983" s="1474"/>
      <c r="AM983" s="1474"/>
      <c r="AN983" s="1474"/>
      <c r="AO983" s="1474"/>
      <c r="AP983" s="1474"/>
      <c r="AQ983" s="1475"/>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91"/>
      <c r="E984" s="1492"/>
      <c r="F984" s="1492"/>
      <c r="G984" s="1492"/>
      <c r="H984" s="1492"/>
      <c r="I984" s="1492"/>
      <c r="J984" s="1492"/>
      <c r="K984" s="1492"/>
      <c r="L984" s="1492"/>
      <c r="M984" s="1492"/>
      <c r="N984" s="1492"/>
      <c r="O984" s="1492"/>
      <c r="P984" s="1492"/>
      <c r="Q984" s="1492"/>
      <c r="R984" s="1492"/>
      <c r="S984" s="1492"/>
      <c r="T984" s="1492"/>
      <c r="U984" s="1492"/>
      <c r="V984" s="1492"/>
      <c r="W984" s="1492"/>
      <c r="X984" s="1492"/>
      <c r="Y984" s="1492"/>
      <c r="Z984" s="1492"/>
      <c r="AA984" s="1492"/>
      <c r="AB984" s="1492"/>
      <c r="AC984" s="1492"/>
      <c r="AD984" s="1492"/>
      <c r="AE984" s="1493"/>
      <c r="AF984" s="73"/>
      <c r="AG984" s="14"/>
      <c r="AH984" s="14"/>
      <c r="AI984" s="83"/>
      <c r="AJ984" s="1473"/>
      <c r="AK984" s="1474"/>
      <c r="AL984" s="1474"/>
      <c r="AM984" s="1474"/>
      <c r="AN984" s="1474"/>
      <c r="AO984" s="1474"/>
      <c r="AP984" s="1474"/>
      <c r="AQ984" s="1475"/>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7"/>
      <c r="E985" s="1498"/>
      <c r="F985" s="1498"/>
      <c r="G985" s="1498"/>
      <c r="H985" s="1498"/>
      <c r="I985" s="1498"/>
      <c r="J985" s="1498"/>
      <c r="K985" s="1498"/>
      <c r="L985" s="1498"/>
      <c r="M985" s="1498"/>
      <c r="N985" s="1498"/>
      <c r="O985" s="1498"/>
      <c r="P985" s="1498"/>
      <c r="Q985" s="1498"/>
      <c r="R985" s="1498"/>
      <c r="S985" s="1498"/>
      <c r="T985" s="1498"/>
      <c r="U985" s="1498"/>
      <c r="V985" s="1498"/>
      <c r="W985" s="1498"/>
      <c r="X985" s="1498"/>
      <c r="Y985" s="1498"/>
      <c r="Z985" s="1498"/>
      <c r="AA985" s="1498"/>
      <c r="AB985" s="1498"/>
      <c r="AC985" s="1498"/>
      <c r="AD985" s="1498"/>
      <c r="AE985" s="1499"/>
      <c r="AF985" s="77"/>
      <c r="AG985" s="7"/>
      <c r="AH985" s="7"/>
      <c r="AI985" s="78"/>
      <c r="AJ985" s="1476"/>
      <c r="AK985" s="1477"/>
      <c r="AL985" s="1477"/>
      <c r="AM985" s="1477"/>
      <c r="AN985" s="1477"/>
      <c r="AO985" s="1477"/>
      <c r="AP985" s="1477"/>
      <c r="AQ985" s="1478"/>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434" t="s">
        <v>1997</v>
      </c>
      <c r="E986" s="1435"/>
      <c r="F986" s="1435"/>
      <c r="G986" s="1435"/>
      <c r="H986" s="1435"/>
      <c r="I986" s="1435"/>
      <c r="J986" s="1435"/>
      <c r="K986" s="1435"/>
      <c r="L986" s="1435"/>
      <c r="M986" s="1435"/>
      <c r="N986" s="1435"/>
      <c r="O986" s="1435"/>
      <c r="P986" s="1435"/>
      <c r="Q986" s="1435"/>
      <c r="R986" s="1435"/>
      <c r="S986" s="1435"/>
      <c r="T986" s="1435"/>
      <c r="U986" s="1435"/>
      <c r="V986" s="1435"/>
      <c r="W986" s="1435"/>
      <c r="X986" s="1435"/>
      <c r="Y986" s="1435"/>
      <c r="Z986" s="1435"/>
      <c r="AA986" s="1435"/>
      <c r="AB986" s="1435"/>
      <c r="AC986" s="1435"/>
      <c r="AD986" s="1435"/>
      <c r="AE986" s="1436"/>
      <c r="AF986" s="86"/>
      <c r="AG986" s="1451" t="s">
        <v>696</v>
      </c>
      <c r="AH986" s="1452"/>
      <c r="AI986" s="87"/>
      <c r="AJ986" s="1470">
        <f>ROUND(IF(AG986="yes",AJ975*0.1,0),0)</f>
        <v>0</v>
      </c>
      <c r="AK986" s="1471"/>
      <c r="AL986" s="1471"/>
      <c r="AM986" s="1471"/>
      <c r="AN986" s="1471"/>
      <c r="AO986" s="1471"/>
      <c r="AP986" s="1471"/>
      <c r="AQ986" s="1472"/>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28" t="s">
        <v>1474</v>
      </c>
      <c r="E987" s="1429"/>
      <c r="F987" s="1429"/>
      <c r="G987" s="1429"/>
      <c r="H987" s="1429"/>
      <c r="I987" s="1429"/>
      <c r="J987" s="1429"/>
      <c r="K987" s="1429"/>
      <c r="L987" s="1429"/>
      <c r="M987" s="1429"/>
      <c r="N987" s="1429"/>
      <c r="O987" s="1429"/>
      <c r="P987" s="1429"/>
      <c r="Q987" s="1429"/>
      <c r="R987" s="1429"/>
      <c r="S987" s="1429"/>
      <c r="T987" s="1429"/>
      <c r="U987" s="1429"/>
      <c r="V987" s="1429"/>
      <c r="W987" s="1429"/>
      <c r="X987" s="1429"/>
      <c r="Y987" s="1429"/>
      <c r="Z987" s="1429"/>
      <c r="AA987" s="1429"/>
      <c r="AB987" s="1429"/>
      <c r="AC987" s="1429"/>
      <c r="AD987" s="1429"/>
      <c r="AE987" s="1430"/>
      <c r="AF987" s="73"/>
      <c r="AI987" s="83"/>
      <c r="AJ987" s="1473"/>
      <c r="AK987" s="1474"/>
      <c r="AL987" s="1474"/>
      <c r="AM987" s="1474"/>
      <c r="AN987" s="1474"/>
      <c r="AO987" s="1474"/>
      <c r="AP987" s="1474"/>
      <c r="AQ987" s="1475"/>
      <c r="AR987" s="68"/>
      <c r="AS987" s="68"/>
      <c r="AT987" s="68"/>
      <c r="AU987" s="68"/>
      <c r="AV987" s="68"/>
      <c r="AW987" s="68"/>
      <c r="AX987" s="68"/>
      <c r="AY987" s="68"/>
      <c r="AZ987" s="34"/>
      <c r="BA987" s="954">
        <f>G753+O796</f>
        <v>74</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28"/>
      <c r="E988" s="1429"/>
      <c r="F988" s="1429"/>
      <c r="G988" s="1429"/>
      <c r="H988" s="1429"/>
      <c r="I988" s="1429"/>
      <c r="J988" s="1429"/>
      <c r="K988" s="1429"/>
      <c r="L988" s="1429"/>
      <c r="M988" s="1429"/>
      <c r="N988" s="1429"/>
      <c r="O988" s="1429"/>
      <c r="P988" s="1429"/>
      <c r="Q988" s="1429"/>
      <c r="R988" s="1429"/>
      <c r="S988" s="1429"/>
      <c r="T988" s="1429"/>
      <c r="U988" s="1429"/>
      <c r="V988" s="1429"/>
      <c r="W988" s="1429"/>
      <c r="X988" s="1429"/>
      <c r="Y988" s="1429"/>
      <c r="Z988" s="1429"/>
      <c r="AA988" s="1429"/>
      <c r="AB988" s="1429"/>
      <c r="AC988" s="1429"/>
      <c r="AD988" s="1429"/>
      <c r="AE988" s="1430"/>
      <c r="AF988" s="73"/>
      <c r="AG988" s="14"/>
      <c r="AH988" s="14"/>
      <c r="AI988" s="83"/>
      <c r="AJ988" s="1473"/>
      <c r="AK988" s="1474"/>
      <c r="AL988" s="1474"/>
      <c r="AM988" s="1474"/>
      <c r="AN988" s="1474"/>
      <c r="AO988" s="1474"/>
      <c r="AP988" s="1474"/>
      <c r="AQ988" s="1475"/>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6"/>
      <c r="E989" s="1457"/>
      <c r="F989" s="1457"/>
      <c r="G989" s="1457"/>
      <c r="H989" s="1457"/>
      <c r="I989" s="1457"/>
      <c r="J989" s="1457"/>
      <c r="K989" s="1457"/>
      <c r="L989" s="1457"/>
      <c r="M989" s="1457"/>
      <c r="N989" s="1457"/>
      <c r="O989" s="1457"/>
      <c r="P989" s="1457"/>
      <c r="Q989" s="1457"/>
      <c r="R989" s="1457"/>
      <c r="S989" s="1457"/>
      <c r="T989" s="1457"/>
      <c r="U989" s="1457"/>
      <c r="V989" s="1457"/>
      <c r="W989" s="1457"/>
      <c r="X989" s="1457"/>
      <c r="Y989" s="1457"/>
      <c r="Z989" s="1457"/>
      <c r="AA989" s="1457"/>
      <c r="AB989" s="1457"/>
      <c r="AC989" s="1457"/>
      <c r="AD989" s="1457"/>
      <c r="AE989" s="1458"/>
      <c r="AF989" s="77"/>
      <c r="AG989" s="7"/>
      <c r="AH989" s="7"/>
      <c r="AI989" s="78"/>
      <c r="AJ989" s="1476"/>
      <c r="AK989" s="1477"/>
      <c r="AL989" s="1477"/>
      <c r="AM989" s="1477"/>
      <c r="AN989" s="1477"/>
      <c r="AO989" s="1477"/>
      <c r="AP989" s="1477"/>
      <c r="AQ989" s="1478"/>
      <c r="AR989" s="68"/>
      <c r="AS989" s="68"/>
      <c r="AT989" s="68"/>
      <c r="AU989" s="68"/>
      <c r="AV989" s="68"/>
      <c r="AW989" s="68"/>
      <c r="AX989" s="68"/>
      <c r="AY989" s="68"/>
      <c r="AZ989" s="34"/>
      <c r="BA989" s="953">
        <f>ROUNDDOWN(X1027/I1027,2)</f>
        <v>0.66</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34" t="s">
        <v>1476</v>
      </c>
      <c r="E990" s="1435"/>
      <c r="F990" s="1435"/>
      <c r="G990" s="1435"/>
      <c r="H990" s="1435"/>
      <c r="I990" s="1435"/>
      <c r="J990" s="1435"/>
      <c r="K990" s="1435"/>
      <c r="L990" s="1435"/>
      <c r="M990" s="1435"/>
      <c r="N990" s="1435"/>
      <c r="O990" s="1435"/>
      <c r="P990" s="1435"/>
      <c r="Q990" s="1435"/>
      <c r="R990" s="1435"/>
      <c r="S990" s="1435"/>
      <c r="T990" s="1435"/>
      <c r="U990" s="1435"/>
      <c r="V990" s="1435"/>
      <c r="W990" s="1435"/>
      <c r="X990" s="1435"/>
      <c r="Y990" s="1435"/>
      <c r="Z990" s="1435"/>
      <c r="AA990" s="1435"/>
      <c r="AB990" s="1435"/>
      <c r="AC990" s="1435"/>
      <c r="AD990" s="1435"/>
      <c r="AE990" s="1436"/>
      <c r="AF990" s="79"/>
      <c r="AG990" s="1451" t="s">
        <v>571</v>
      </c>
      <c r="AH990" s="1452"/>
      <c r="AI990" s="87"/>
      <c r="AJ990" s="1470">
        <f>ROUND(IF(AG990="yes",AJ975*0.02,0),0)</f>
        <v>596680</v>
      </c>
      <c r="AK990" s="1471"/>
      <c r="AL990" s="1471"/>
      <c r="AM990" s="1471"/>
      <c r="AN990" s="1471"/>
      <c r="AO990" s="1471"/>
      <c r="AP990" s="1471"/>
      <c r="AQ990" s="1472"/>
      <c r="AR990" s="68"/>
      <c r="AS990" s="68"/>
      <c r="AT990" s="68"/>
      <c r="AU990" s="68"/>
      <c r="AV990" s="68"/>
      <c r="AW990" s="68"/>
      <c r="AX990" s="68"/>
      <c r="AY990" s="68"/>
      <c r="AZ990" s="34"/>
      <c r="BA990" s="953">
        <f>ROUNDDOWN(X1031/I1031,2)</f>
        <v>0.28000000000000003</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6" t="s">
        <v>1477</v>
      </c>
      <c r="E991" s="1457"/>
      <c r="F991" s="1457"/>
      <c r="G991" s="1457"/>
      <c r="H991" s="1457"/>
      <c r="I991" s="1457"/>
      <c r="J991" s="1457"/>
      <c r="K991" s="1457"/>
      <c r="L991" s="1457"/>
      <c r="M991" s="1457"/>
      <c r="N991" s="1457"/>
      <c r="O991" s="1457"/>
      <c r="P991" s="1457"/>
      <c r="Q991" s="1457"/>
      <c r="R991" s="1457"/>
      <c r="S991" s="1457"/>
      <c r="T991" s="1457"/>
      <c r="U991" s="1457"/>
      <c r="V991" s="1457"/>
      <c r="W991" s="1457"/>
      <c r="X991" s="1457"/>
      <c r="Y991" s="1457"/>
      <c r="Z991" s="1457"/>
      <c r="AA991" s="1457"/>
      <c r="AB991" s="1457"/>
      <c r="AC991" s="1457"/>
      <c r="AD991" s="1457"/>
      <c r="AE991" s="1458"/>
      <c r="AF991" s="77"/>
      <c r="AG991" s="7"/>
      <c r="AH991" s="7"/>
      <c r="AI991" s="78"/>
      <c r="AJ991" s="1476"/>
      <c r="AK991" s="1477"/>
      <c r="AL991" s="1477"/>
      <c r="AM991" s="1477"/>
      <c r="AN991" s="1477"/>
      <c r="AO991" s="1477"/>
      <c r="AP991" s="1477"/>
      <c r="AQ991" s="1478"/>
      <c r="AR991" s="68"/>
      <c r="AS991" s="68"/>
      <c r="AT991" s="68"/>
      <c r="AU991" s="68"/>
      <c r="AV991" s="68"/>
      <c r="AW991" s="68"/>
      <c r="AX991" s="68"/>
      <c r="AY991" s="68"/>
      <c r="BB991" s="34"/>
      <c r="BC991" s="34"/>
      <c r="BD991" s="34"/>
      <c r="BE991" s="34"/>
      <c r="BF991" s="34"/>
    </row>
    <row r="992" spans="1:110" ht="12.75" customHeight="1">
      <c r="A992" s="14"/>
      <c r="B992" s="79"/>
      <c r="C992" s="80" t="s">
        <v>221</v>
      </c>
      <c r="D992" s="1434" t="s">
        <v>1478</v>
      </c>
      <c r="E992" s="1435"/>
      <c r="F992" s="1435"/>
      <c r="G992" s="1435"/>
      <c r="H992" s="1435"/>
      <c r="I992" s="1435"/>
      <c r="J992" s="1435"/>
      <c r="K992" s="1435"/>
      <c r="L992" s="1435"/>
      <c r="M992" s="1435"/>
      <c r="N992" s="1435"/>
      <c r="O992" s="1435"/>
      <c r="P992" s="1435"/>
      <c r="Q992" s="1435"/>
      <c r="R992" s="1435"/>
      <c r="S992" s="1435"/>
      <c r="T992" s="1435"/>
      <c r="U992" s="1435"/>
      <c r="V992" s="1435"/>
      <c r="W992" s="1435"/>
      <c r="X992" s="1435"/>
      <c r="Y992" s="1435"/>
      <c r="Z992" s="1435"/>
      <c r="AA992" s="1435"/>
      <c r="AB992" s="1435"/>
      <c r="AC992" s="1435"/>
      <c r="AD992" s="1435"/>
      <c r="AE992" s="1436"/>
      <c r="AF992" s="79"/>
      <c r="AG992" s="1451" t="s">
        <v>696</v>
      </c>
      <c r="AH992" s="1452"/>
      <c r="AI992" s="79"/>
      <c r="AJ992" s="1470">
        <f>ROUND(IF(AG992="yes",AJ975*0.02,0),0)</f>
        <v>0</v>
      </c>
      <c r="AK992" s="1471"/>
      <c r="AL992" s="1471"/>
      <c r="AM992" s="1471"/>
      <c r="AN992" s="1471"/>
      <c r="AO992" s="1471"/>
      <c r="AP992" s="1471"/>
      <c r="AQ992" s="1472"/>
      <c r="AR992" s="68"/>
      <c r="AS992" s="68"/>
      <c r="AT992" s="68"/>
      <c r="AU992" s="68"/>
      <c r="AV992" s="68"/>
      <c r="AW992" s="68"/>
      <c r="AX992" s="68"/>
      <c r="AY992" s="68"/>
    </row>
    <row r="993" spans="1:53" ht="12.75" customHeight="1">
      <c r="A993" s="14"/>
      <c r="B993" s="73"/>
      <c r="C993" s="74"/>
      <c r="D993" s="1428" t="s">
        <v>1479</v>
      </c>
      <c r="E993" s="1429"/>
      <c r="F993" s="1429"/>
      <c r="G993" s="1429"/>
      <c r="H993" s="1429"/>
      <c r="I993" s="1429"/>
      <c r="J993" s="1429"/>
      <c r="K993" s="1429"/>
      <c r="L993" s="1429"/>
      <c r="M993" s="1429"/>
      <c r="N993" s="1429"/>
      <c r="O993" s="1429"/>
      <c r="P993" s="1429"/>
      <c r="Q993" s="1429"/>
      <c r="R993" s="1429"/>
      <c r="S993" s="1429"/>
      <c r="T993" s="1429"/>
      <c r="U993" s="1429"/>
      <c r="V993" s="1429"/>
      <c r="W993" s="1429"/>
      <c r="X993" s="1429"/>
      <c r="Y993" s="1429"/>
      <c r="Z993" s="1429"/>
      <c r="AA993" s="1429"/>
      <c r="AB993" s="1429"/>
      <c r="AC993" s="1429"/>
      <c r="AD993" s="1429"/>
      <c r="AE993" s="1430"/>
      <c r="AF993" s="73"/>
      <c r="AI993" s="14"/>
      <c r="AJ993" s="1473"/>
      <c r="AK993" s="1474"/>
      <c r="AL993" s="1474"/>
      <c r="AM993" s="1474"/>
      <c r="AN993" s="1474"/>
      <c r="AO993" s="1474"/>
      <c r="AP993" s="1474"/>
      <c r="AQ993" s="1475"/>
      <c r="AR993" s="68"/>
      <c r="AS993" s="68"/>
      <c r="AT993" s="68"/>
      <c r="AU993" s="68"/>
      <c r="AV993" s="68"/>
      <c r="AW993" s="68"/>
      <c r="AX993" s="68"/>
      <c r="AY993" s="68"/>
    </row>
    <row r="994" spans="1:53" ht="12.75" customHeight="1">
      <c r="A994" s="14"/>
      <c r="B994" s="75"/>
      <c r="C994" s="76"/>
      <c r="D994" s="1456"/>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77"/>
      <c r="AG994" s="7"/>
      <c r="AH994" s="7"/>
      <c r="AI994" s="78"/>
      <c r="AJ994" s="1476"/>
      <c r="AK994" s="1477"/>
      <c r="AL994" s="1477"/>
      <c r="AM994" s="1477"/>
      <c r="AN994" s="1477"/>
      <c r="AO994" s="1477"/>
      <c r="AP994" s="1477"/>
      <c r="AQ994" s="1478"/>
      <c r="AR994" s="68"/>
      <c r="AS994" s="68"/>
      <c r="AT994" s="68"/>
      <c r="AU994" s="68"/>
      <c r="AV994" s="68"/>
      <c r="AW994" s="68"/>
      <c r="AX994" s="68"/>
      <c r="AY994" s="68"/>
    </row>
    <row r="995" spans="1:53" ht="12.75" customHeight="1">
      <c r="A995" s="14"/>
      <c r="B995" s="79"/>
      <c r="C995" s="80" t="s">
        <v>224</v>
      </c>
      <c r="D995" s="1453" t="s">
        <v>1480</v>
      </c>
      <c r="E995" s="1454"/>
      <c r="F995" s="1454"/>
      <c r="G995" s="1454"/>
      <c r="H995" s="1454"/>
      <c r="I995" s="1454"/>
      <c r="J995" s="1454"/>
      <c r="K995" s="1454"/>
      <c r="L995" s="1454"/>
      <c r="M995" s="1454"/>
      <c r="N995" s="1454"/>
      <c r="O995" s="1454"/>
      <c r="P995" s="1454"/>
      <c r="Q995" s="1454"/>
      <c r="R995" s="1454"/>
      <c r="S995" s="1454"/>
      <c r="T995" s="1454"/>
      <c r="U995" s="1454"/>
      <c r="V995" s="1454"/>
      <c r="W995" s="1454"/>
      <c r="X995" s="1454"/>
      <c r="Y995" s="1454"/>
      <c r="Z995" s="1454"/>
      <c r="AA995" s="1454"/>
      <c r="AB995" s="1454"/>
      <c r="AC995" s="1454"/>
      <c r="AD995" s="1454"/>
      <c r="AE995" s="1455"/>
      <c r="AF995" s="79"/>
      <c r="AG995" s="1451" t="s">
        <v>696</v>
      </c>
      <c r="AH995" s="1452"/>
      <c r="AI995" s="87"/>
      <c r="AJ995" s="1470">
        <f>IF(AG995="yes",AJ975*BA995,0)</f>
        <v>0</v>
      </c>
      <c r="AK995" s="1471"/>
      <c r="AL995" s="1471"/>
      <c r="AM995" s="1471"/>
      <c r="AN995" s="1471"/>
      <c r="AO995" s="1471"/>
      <c r="AP995" s="1471"/>
      <c r="AQ995" s="1472"/>
      <c r="AR995" s="68"/>
      <c r="AS995" s="68"/>
      <c r="AT995" s="68"/>
      <c r="AU995" s="68"/>
      <c r="AV995" s="68"/>
      <c r="AW995" s="68"/>
      <c r="AX995" s="68"/>
      <c r="AY995" s="68"/>
      <c r="BA995" s="216">
        <f>IF(SUM(BA997:BA1005)&lt;=0.1,SUM(BA997:BA1005),0.1)</f>
        <v>0</v>
      </c>
    </row>
    <row r="996" spans="1:53" ht="12.75" customHeight="1">
      <c r="A996" s="14"/>
      <c r="B996" s="73"/>
      <c r="C996" s="74"/>
      <c r="D996" s="1428" t="s">
        <v>1481</v>
      </c>
      <c r="E996" s="1429"/>
      <c r="F996" s="1429"/>
      <c r="G996" s="1429"/>
      <c r="H996" s="1429"/>
      <c r="I996" s="1429"/>
      <c r="J996" s="1429"/>
      <c r="K996" s="1429"/>
      <c r="L996" s="1429"/>
      <c r="M996" s="1429"/>
      <c r="N996" s="1429"/>
      <c r="O996" s="1429"/>
      <c r="P996" s="1429"/>
      <c r="Q996" s="1429"/>
      <c r="R996" s="1429"/>
      <c r="S996" s="1429"/>
      <c r="T996" s="1429"/>
      <c r="U996" s="1429"/>
      <c r="V996" s="1429"/>
      <c r="W996" s="1429"/>
      <c r="X996" s="1429"/>
      <c r="Y996" s="1429"/>
      <c r="Z996" s="1429"/>
      <c r="AA996" s="1429"/>
      <c r="AB996" s="1429"/>
      <c r="AC996" s="1429"/>
      <c r="AD996" s="1429"/>
      <c r="AE996" s="1430"/>
      <c r="AF996" s="73"/>
      <c r="AG996" s="14"/>
      <c r="AH996" s="14"/>
      <c r="AI996" s="83"/>
      <c r="AJ996" s="1473"/>
      <c r="AK996" s="1474"/>
      <c r="AL996" s="1474"/>
      <c r="AM996" s="1474"/>
      <c r="AN996" s="1474"/>
      <c r="AO996" s="1474"/>
      <c r="AP996" s="1474"/>
      <c r="AQ996" s="1475"/>
      <c r="AR996" s="68"/>
      <c r="AS996" s="68"/>
      <c r="AT996" s="68"/>
      <c r="AU996" s="68"/>
      <c r="AV996" s="68"/>
      <c r="AW996" s="68"/>
      <c r="AX996" s="68"/>
      <c r="AY996" s="68"/>
    </row>
    <row r="997" spans="1:53" ht="12.75" customHeight="1">
      <c r="A997" s="14"/>
      <c r="B997" s="73"/>
      <c r="C997" s="74"/>
      <c r="D997" s="1428"/>
      <c r="E997" s="1429"/>
      <c r="F997" s="1429"/>
      <c r="G997" s="1429"/>
      <c r="H997" s="1429"/>
      <c r="I997" s="1429"/>
      <c r="J997" s="1429"/>
      <c r="K997" s="1429"/>
      <c r="L997" s="1429"/>
      <c r="M997" s="1429"/>
      <c r="N997" s="1429"/>
      <c r="O997" s="1429"/>
      <c r="P997" s="1429"/>
      <c r="Q997" s="1429"/>
      <c r="R997" s="1429"/>
      <c r="S997" s="1429"/>
      <c r="T997" s="1429"/>
      <c r="U997" s="1429"/>
      <c r="V997" s="1429"/>
      <c r="W997" s="1429"/>
      <c r="X997" s="1429"/>
      <c r="Y997" s="1429"/>
      <c r="Z997" s="1429"/>
      <c r="AA997" s="1429"/>
      <c r="AB997" s="1429"/>
      <c r="AC997" s="1429"/>
      <c r="AD997" s="1429"/>
      <c r="AE997" s="1430"/>
      <c r="AF997" s="73"/>
      <c r="AG997" s="14"/>
      <c r="AH997" s="14"/>
      <c r="AI997" s="83"/>
      <c r="AJ997" s="1473"/>
      <c r="AK997" s="1474"/>
      <c r="AL997" s="1474"/>
      <c r="AM997" s="1474"/>
      <c r="AN997" s="1474"/>
      <c r="AO997" s="1474"/>
      <c r="AP997" s="1474"/>
      <c r="AQ997" s="1475"/>
      <c r="AR997" s="68"/>
      <c r="AS997" s="68"/>
      <c r="AT997" s="68"/>
      <c r="AU997" s="68"/>
      <c r="AV997" s="68"/>
      <c r="AW997" s="68"/>
      <c r="AX997" s="68"/>
      <c r="AY997" s="68"/>
      <c r="BA997" s="214">
        <f>IF(A1044="Yes",0.05,0)</f>
        <v>0</v>
      </c>
    </row>
    <row r="998" spans="1:53" ht="15" customHeight="1">
      <c r="A998" s="14"/>
      <c r="B998" s="81"/>
      <c r="C998" s="82"/>
      <c r="D998" s="1456"/>
      <c r="E998" s="1457"/>
      <c r="F998" s="1457"/>
      <c r="G998" s="1457"/>
      <c r="H998" s="1457"/>
      <c r="I998" s="1457"/>
      <c r="J998" s="1457"/>
      <c r="K998" s="1457"/>
      <c r="L998" s="1457"/>
      <c r="M998" s="1457"/>
      <c r="N998" s="1457"/>
      <c r="O998" s="1457"/>
      <c r="P998" s="1457"/>
      <c r="Q998" s="1457"/>
      <c r="R998" s="1457"/>
      <c r="S998" s="1457"/>
      <c r="T998" s="1457"/>
      <c r="U998" s="1457"/>
      <c r="V998" s="1457"/>
      <c r="W998" s="1457"/>
      <c r="X998" s="1457"/>
      <c r="Y998" s="1457"/>
      <c r="Z998" s="1457"/>
      <c r="AA998" s="1457"/>
      <c r="AB998" s="1457"/>
      <c r="AC998" s="1457"/>
      <c r="AD998" s="1457"/>
      <c r="AE998" s="1458"/>
      <c r="AF998" s="77"/>
      <c r="AG998" s="7"/>
      <c r="AH998" s="7"/>
      <c r="AI998" s="78"/>
      <c r="AJ998" s="1476"/>
      <c r="AK998" s="1477"/>
      <c r="AL998" s="1477"/>
      <c r="AM998" s="1477"/>
      <c r="AN998" s="1477"/>
      <c r="AO998" s="1477"/>
      <c r="AP998" s="1477"/>
      <c r="AQ998" s="1478"/>
      <c r="AR998" s="68"/>
      <c r="AS998" s="68"/>
      <c r="AT998" s="68"/>
      <c r="AU998" s="68"/>
      <c r="AV998" s="68"/>
      <c r="AW998" s="68"/>
      <c r="AX998" s="68"/>
      <c r="AY998" s="68"/>
      <c r="BA998" s="214">
        <f>IF(A1050="Yes",0.02,0)</f>
        <v>0</v>
      </c>
    </row>
    <row r="999" spans="1:53" ht="15" customHeight="1">
      <c r="A999" s="14"/>
      <c r="B999" s="79"/>
      <c r="C999" s="80" t="s">
        <v>229</v>
      </c>
      <c r="D999" s="1422" t="s">
        <v>1482</v>
      </c>
      <c r="E999" s="1423"/>
      <c r="F999" s="1423"/>
      <c r="G999" s="1423"/>
      <c r="H999" s="1423"/>
      <c r="I999" s="1423"/>
      <c r="J999" s="1423"/>
      <c r="K999" s="1423"/>
      <c r="L999" s="1423"/>
      <c r="M999" s="1423"/>
      <c r="N999" s="1423"/>
      <c r="O999" s="1423"/>
      <c r="P999" s="1423"/>
      <c r="Q999" s="1423"/>
      <c r="R999" s="1423"/>
      <c r="S999" s="1423"/>
      <c r="T999" s="1423"/>
      <c r="U999" s="1423"/>
      <c r="V999" s="1423"/>
      <c r="W999" s="1423"/>
      <c r="X999" s="1423"/>
      <c r="Y999" s="1423"/>
      <c r="Z999" s="1423"/>
      <c r="AA999" s="1423"/>
      <c r="AB999" s="1423"/>
      <c r="AC999" s="1423"/>
      <c r="AD999" s="1423"/>
      <c r="AE999" s="1424"/>
      <c r="AF999" s="79"/>
      <c r="AG999" s="1451" t="s">
        <v>696</v>
      </c>
      <c r="AH999" s="1452"/>
      <c r="AI999" s="87"/>
      <c r="AJ999" s="1479"/>
      <c r="AK999" s="1480"/>
      <c r="AL999" s="1480"/>
      <c r="AM999" s="1480"/>
      <c r="AN999" s="1480"/>
      <c r="AO999" s="1480"/>
      <c r="AP999" s="1480"/>
      <c r="AQ999" s="1481"/>
      <c r="AR999" s="68"/>
      <c r="AS999" s="68"/>
      <c r="AT999" s="68"/>
      <c r="AU999" s="68"/>
      <c r="AV999" s="68"/>
      <c r="AW999" s="68"/>
      <c r="AX999" s="68"/>
      <c r="AY999" s="68"/>
      <c r="BA999" s="214">
        <f>IF(A1056="Yes",0.04,0)</f>
        <v>0</v>
      </c>
    </row>
    <row r="1000" spans="1:53" ht="12.75">
      <c r="A1000" s="14"/>
      <c r="B1000" s="81"/>
      <c r="C1000" s="84"/>
      <c r="D1000" s="1425"/>
      <c r="E1000" s="1426"/>
      <c r="F1000" s="1426"/>
      <c r="G1000" s="1426"/>
      <c r="H1000" s="1426"/>
      <c r="I1000" s="1426"/>
      <c r="J1000" s="1426"/>
      <c r="K1000" s="1426"/>
      <c r="L1000" s="1426"/>
      <c r="M1000" s="1426"/>
      <c r="N1000" s="1426"/>
      <c r="O1000" s="1426"/>
      <c r="P1000" s="1426"/>
      <c r="Q1000" s="1426"/>
      <c r="R1000" s="1426"/>
      <c r="S1000" s="1426"/>
      <c r="T1000" s="1426"/>
      <c r="U1000" s="1426"/>
      <c r="V1000" s="1426"/>
      <c r="W1000" s="1426"/>
      <c r="X1000" s="1426"/>
      <c r="Y1000" s="1426"/>
      <c r="Z1000" s="1426"/>
      <c r="AA1000" s="1426"/>
      <c r="AB1000" s="1426"/>
      <c r="AC1000" s="1426"/>
      <c r="AD1000" s="1426"/>
      <c r="AE1000" s="1427"/>
      <c r="AF1000" s="1500">
        <f>IF(AG999="yes","Please Select Type and Enter Amount:",0)</f>
        <v>0</v>
      </c>
      <c r="AG1000" s="1501"/>
      <c r="AH1000" s="1501"/>
      <c r="AI1000" s="1502"/>
      <c r="AJ1000" s="1482"/>
      <c r="AK1000" s="1483"/>
      <c r="AL1000" s="1483"/>
      <c r="AM1000" s="1483"/>
      <c r="AN1000" s="1483"/>
      <c r="AO1000" s="1483"/>
      <c r="AP1000" s="1483"/>
      <c r="AQ1000" s="1484"/>
      <c r="AR1000" s="68"/>
      <c r="AS1000" s="68"/>
      <c r="AT1000" s="68"/>
      <c r="AU1000" s="68"/>
      <c r="AV1000" s="68"/>
      <c r="AW1000" s="68"/>
      <c r="AX1000" s="68"/>
      <c r="AY1000" s="68"/>
      <c r="BA1000" s="214">
        <f>IF(A1063="Yes",0.04,0)</f>
        <v>0</v>
      </c>
    </row>
    <row r="1001" spans="1:53" ht="12.75" customHeight="1">
      <c r="A1001" s="14"/>
      <c r="B1001" s="81"/>
      <c r="C1001" s="84"/>
      <c r="D1001" s="1428" t="s">
        <v>1483</v>
      </c>
      <c r="E1001" s="1429"/>
      <c r="F1001" s="1429"/>
      <c r="G1001" s="1429"/>
      <c r="H1001" s="1429"/>
      <c r="I1001" s="1429"/>
      <c r="J1001" s="1429"/>
      <c r="K1001" s="1429"/>
      <c r="L1001" s="1429"/>
      <c r="M1001" s="1429"/>
      <c r="N1001" s="1429"/>
      <c r="O1001" s="1429"/>
      <c r="P1001" s="1429"/>
      <c r="Q1001" s="1429"/>
      <c r="R1001" s="1429"/>
      <c r="S1001" s="1429"/>
      <c r="T1001" s="1429"/>
      <c r="U1001" s="1429"/>
      <c r="V1001" s="1429"/>
      <c r="W1001" s="1429"/>
      <c r="X1001" s="1429"/>
      <c r="Y1001" s="1429"/>
      <c r="Z1001" s="1429"/>
      <c r="AA1001" s="1429"/>
      <c r="AB1001" s="1429"/>
      <c r="AC1001" s="1429"/>
      <c r="AD1001" s="1429"/>
      <c r="AE1001" s="1430"/>
      <c r="AF1001" s="1500"/>
      <c r="AG1001" s="1501"/>
      <c r="AH1001" s="1501"/>
      <c r="AI1001" s="1502"/>
      <c r="AJ1001" s="1482"/>
      <c r="AK1001" s="1483"/>
      <c r="AL1001" s="1483"/>
      <c r="AM1001" s="1483"/>
      <c r="AN1001" s="1483"/>
      <c r="AO1001" s="1483"/>
      <c r="AP1001" s="1483"/>
      <c r="AQ1001" s="1484"/>
      <c r="AR1001" s="68"/>
      <c r="AS1001" s="68"/>
      <c r="AT1001" s="68"/>
      <c r="AU1001" s="68"/>
      <c r="AV1001" s="68"/>
      <c r="AW1001" s="68"/>
      <c r="AX1001" s="68"/>
      <c r="AY1001" s="68"/>
      <c r="BA1001" s="214">
        <f>IF(A1066="Yes",0.01,0)</f>
        <v>0</v>
      </c>
    </row>
    <row r="1002" spans="1:53" ht="12.75" customHeight="1">
      <c r="A1002" s="14"/>
      <c r="B1002" s="81"/>
      <c r="C1002" s="84"/>
      <c r="D1002" s="1428"/>
      <c r="E1002" s="1429"/>
      <c r="F1002" s="1429"/>
      <c r="G1002" s="1429"/>
      <c r="H1002" s="1429"/>
      <c r="I1002" s="1429"/>
      <c r="J1002" s="1429"/>
      <c r="K1002" s="1429"/>
      <c r="L1002" s="1429"/>
      <c r="M1002" s="1429"/>
      <c r="N1002" s="1429"/>
      <c r="O1002" s="1429"/>
      <c r="P1002" s="1429"/>
      <c r="Q1002" s="1429"/>
      <c r="R1002" s="1429"/>
      <c r="S1002" s="1429"/>
      <c r="T1002" s="1429"/>
      <c r="U1002" s="1429"/>
      <c r="V1002" s="1429"/>
      <c r="W1002" s="1429"/>
      <c r="X1002" s="1429"/>
      <c r="Y1002" s="1429"/>
      <c r="Z1002" s="1429"/>
      <c r="AA1002" s="1429"/>
      <c r="AB1002" s="1429"/>
      <c r="AC1002" s="1429"/>
      <c r="AD1002" s="1429"/>
      <c r="AE1002" s="1430"/>
      <c r="AF1002" s="1500"/>
      <c r="AG1002" s="1501"/>
      <c r="AH1002" s="1501"/>
      <c r="AI1002" s="1502"/>
      <c r="AJ1002" s="1482"/>
      <c r="AK1002" s="1483"/>
      <c r="AL1002" s="1483"/>
      <c r="AM1002" s="1483"/>
      <c r="AN1002" s="1483"/>
      <c r="AO1002" s="1483"/>
      <c r="AP1002" s="1483"/>
      <c r="AQ1002" s="1484"/>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431" t="s">
        <v>618</v>
      </c>
      <c r="K1003" s="1432"/>
      <c r="L1003" s="1432"/>
      <c r="M1003" s="1432"/>
      <c r="N1003" s="1432"/>
      <c r="O1003" s="1432"/>
      <c r="P1003" s="1432"/>
      <c r="Q1003" s="1432"/>
      <c r="R1003" s="1432"/>
      <c r="S1003" s="1432"/>
      <c r="T1003" s="1432"/>
      <c r="U1003" s="1432"/>
      <c r="V1003" s="1432"/>
      <c r="W1003" s="1432"/>
      <c r="X1003" s="1432"/>
      <c r="Y1003" s="1432"/>
      <c r="Z1003" s="1432"/>
      <c r="AA1003" s="1432"/>
      <c r="AB1003" s="1432"/>
      <c r="AC1003" s="1432"/>
      <c r="AD1003" s="1432"/>
      <c r="AE1003" s="1433"/>
      <c r="AF1003" s="1503"/>
      <c r="AG1003" s="1504"/>
      <c r="AH1003" s="1504"/>
      <c r="AI1003" s="1505"/>
      <c r="AJ1003" s="1485"/>
      <c r="AK1003" s="1486"/>
      <c r="AL1003" s="1486"/>
      <c r="AM1003" s="1486"/>
      <c r="AN1003" s="1486"/>
      <c r="AO1003" s="1486"/>
      <c r="AP1003" s="1486"/>
      <c r="AQ1003" s="1487"/>
      <c r="AR1003" s="68"/>
      <c r="AS1003" s="68"/>
      <c r="AT1003" s="68"/>
      <c r="AU1003" s="68"/>
      <c r="AV1003" s="68"/>
      <c r="AW1003" s="68"/>
      <c r="AX1003" s="68"/>
      <c r="AY1003" s="68"/>
      <c r="BA1003" s="214">
        <f>IF(A1074="Yes",0.01,0)</f>
        <v>0</v>
      </c>
    </row>
    <row r="1004" spans="1:53" ht="12.75" customHeight="1">
      <c r="A1004" s="14"/>
      <c r="B1004" s="79"/>
      <c r="C1004" s="80" t="s">
        <v>235</v>
      </c>
      <c r="D1004" s="1434" t="s">
        <v>1484</v>
      </c>
      <c r="E1004" s="1435"/>
      <c r="F1004" s="1435"/>
      <c r="G1004" s="1435"/>
      <c r="H1004" s="1435"/>
      <c r="I1004" s="1435"/>
      <c r="J1004" s="1435"/>
      <c r="K1004" s="1435"/>
      <c r="L1004" s="1435"/>
      <c r="M1004" s="1435"/>
      <c r="N1004" s="1435"/>
      <c r="O1004" s="1435"/>
      <c r="P1004" s="1435"/>
      <c r="Q1004" s="1435"/>
      <c r="R1004" s="1435"/>
      <c r="S1004" s="1435"/>
      <c r="T1004" s="1435"/>
      <c r="U1004" s="1435"/>
      <c r="V1004" s="1435"/>
      <c r="W1004" s="1435"/>
      <c r="X1004" s="1435"/>
      <c r="Y1004" s="1435"/>
      <c r="Z1004" s="1435"/>
      <c r="AA1004" s="1435"/>
      <c r="AB1004" s="1435"/>
      <c r="AC1004" s="1435"/>
      <c r="AD1004" s="1435"/>
      <c r="AE1004" s="1436"/>
      <c r="AF1004" s="79"/>
      <c r="AG1004" s="1451" t="s">
        <v>571</v>
      </c>
      <c r="AH1004" s="1452"/>
      <c r="AI1004" s="87"/>
      <c r="AJ1004" s="1479">
        <f>'Sources and Uses Budget'!C85</f>
        <v>1374843</v>
      </c>
      <c r="AK1004" s="1480"/>
      <c r="AL1004" s="1480"/>
      <c r="AM1004" s="1480"/>
      <c r="AN1004" s="1480"/>
      <c r="AO1004" s="1480"/>
      <c r="AP1004" s="1480"/>
      <c r="AQ1004" s="1481"/>
      <c r="AR1004" s="68"/>
      <c r="AS1004" s="68"/>
      <c r="AT1004" s="68"/>
      <c r="AU1004" s="68"/>
      <c r="AV1004" s="68"/>
      <c r="AW1004" s="68"/>
      <c r="AX1004" s="68"/>
      <c r="AY1004" s="68"/>
      <c r="BA1004" s="214">
        <f>IF(A1078="Yes",0.02,0)</f>
        <v>0</v>
      </c>
    </row>
    <row r="1005" spans="1:53" ht="12.75" customHeight="1">
      <c r="A1005" s="14"/>
      <c r="B1005" s="73"/>
      <c r="C1005" s="74"/>
      <c r="D1005" s="1428" t="s">
        <v>2004</v>
      </c>
      <c r="E1005" s="1429"/>
      <c r="F1005" s="1429"/>
      <c r="G1005" s="1429"/>
      <c r="H1005" s="1429"/>
      <c r="I1005" s="1429"/>
      <c r="J1005" s="1429"/>
      <c r="K1005" s="1429"/>
      <c r="L1005" s="1429"/>
      <c r="M1005" s="1429"/>
      <c r="N1005" s="1429"/>
      <c r="O1005" s="1429"/>
      <c r="P1005" s="1429"/>
      <c r="Q1005" s="1429"/>
      <c r="R1005" s="1429"/>
      <c r="S1005" s="1429"/>
      <c r="T1005" s="1429"/>
      <c r="U1005" s="1429"/>
      <c r="V1005" s="1429"/>
      <c r="W1005" s="1429"/>
      <c r="X1005" s="1429"/>
      <c r="Y1005" s="1429"/>
      <c r="Z1005" s="1429"/>
      <c r="AA1005" s="1429"/>
      <c r="AB1005" s="1429"/>
      <c r="AC1005" s="1429"/>
      <c r="AD1005" s="1429"/>
      <c r="AE1005" s="1430"/>
      <c r="AF1005" s="1416" t="str">
        <f>IF(AG1004="yes","Please Enter Amount:",0)</f>
        <v>Please Enter Amount:</v>
      </c>
      <c r="AG1005" s="1417"/>
      <c r="AH1005" s="1417"/>
      <c r="AI1005" s="1418"/>
      <c r="AJ1005" s="1482"/>
      <c r="AK1005" s="1483"/>
      <c r="AL1005" s="1483"/>
      <c r="AM1005" s="1483"/>
      <c r="AN1005" s="1483"/>
      <c r="AO1005" s="1483"/>
      <c r="AP1005" s="1483"/>
      <c r="AQ1005" s="1484"/>
      <c r="AR1005" s="68"/>
      <c r="AS1005" s="68"/>
      <c r="AT1005" s="68"/>
      <c r="AU1005" s="68"/>
      <c r="AV1005" s="68"/>
      <c r="AW1005" s="68"/>
      <c r="AX1005" s="68"/>
      <c r="AY1005" s="68"/>
      <c r="BA1005" s="215">
        <f>IF(A1082="Yes",0.02,0)</f>
        <v>0</v>
      </c>
    </row>
    <row r="1006" spans="1:53" ht="12.75" customHeight="1">
      <c r="A1006" s="14"/>
      <c r="B1006" s="73"/>
      <c r="C1006" s="74"/>
      <c r="D1006" s="1428"/>
      <c r="E1006" s="1429"/>
      <c r="F1006" s="1429"/>
      <c r="G1006" s="1429"/>
      <c r="H1006" s="1429"/>
      <c r="I1006" s="1429"/>
      <c r="J1006" s="1429"/>
      <c r="K1006" s="1429"/>
      <c r="L1006" s="1429"/>
      <c r="M1006" s="1429"/>
      <c r="N1006" s="1429"/>
      <c r="O1006" s="1429"/>
      <c r="P1006" s="1429"/>
      <c r="Q1006" s="1429"/>
      <c r="R1006" s="1429"/>
      <c r="S1006" s="1429"/>
      <c r="T1006" s="1429"/>
      <c r="U1006" s="1429"/>
      <c r="V1006" s="1429"/>
      <c r="W1006" s="1429"/>
      <c r="X1006" s="1429"/>
      <c r="Y1006" s="1429"/>
      <c r="Z1006" s="1429"/>
      <c r="AA1006" s="1429"/>
      <c r="AB1006" s="1429"/>
      <c r="AC1006" s="1429"/>
      <c r="AD1006" s="1429"/>
      <c r="AE1006" s="1430"/>
      <c r="AF1006" s="1416"/>
      <c r="AG1006" s="1417"/>
      <c r="AH1006" s="1417"/>
      <c r="AI1006" s="1418"/>
      <c r="AJ1006" s="1482"/>
      <c r="AK1006" s="1483"/>
      <c r="AL1006" s="1483"/>
      <c r="AM1006" s="1483"/>
      <c r="AN1006" s="1483"/>
      <c r="AO1006" s="1483"/>
      <c r="AP1006" s="1483"/>
      <c r="AQ1006" s="1484"/>
      <c r="AR1006" s="68"/>
      <c r="AS1006" s="68"/>
      <c r="AT1006" s="68"/>
      <c r="AU1006" s="68"/>
      <c r="AV1006" s="68"/>
      <c r="AW1006" s="68"/>
      <c r="AX1006" s="68"/>
      <c r="AY1006" s="68"/>
    </row>
    <row r="1007" spans="1:53" ht="12.75" customHeight="1">
      <c r="A1007" s="14"/>
      <c r="B1007" s="85"/>
      <c r="C1007" s="84"/>
      <c r="D1007" s="1456"/>
      <c r="E1007" s="1457"/>
      <c r="F1007" s="1457"/>
      <c r="G1007" s="1457"/>
      <c r="H1007" s="1457"/>
      <c r="I1007" s="1457"/>
      <c r="J1007" s="1457"/>
      <c r="K1007" s="1457"/>
      <c r="L1007" s="1457"/>
      <c r="M1007" s="1457"/>
      <c r="N1007" s="1457"/>
      <c r="O1007" s="1457"/>
      <c r="P1007" s="1457"/>
      <c r="Q1007" s="1457"/>
      <c r="R1007" s="1457"/>
      <c r="S1007" s="1457"/>
      <c r="T1007" s="1457"/>
      <c r="U1007" s="1457"/>
      <c r="V1007" s="1457"/>
      <c r="W1007" s="1457"/>
      <c r="X1007" s="1457"/>
      <c r="Y1007" s="1457"/>
      <c r="Z1007" s="1457"/>
      <c r="AA1007" s="1457"/>
      <c r="AB1007" s="1457"/>
      <c r="AC1007" s="1457"/>
      <c r="AD1007" s="1457"/>
      <c r="AE1007" s="1458"/>
      <c r="AF1007" s="1419"/>
      <c r="AG1007" s="1420"/>
      <c r="AH1007" s="1420"/>
      <c r="AI1007" s="1421"/>
      <c r="AJ1007" s="1485"/>
      <c r="AK1007" s="1486"/>
      <c r="AL1007" s="1486"/>
      <c r="AM1007" s="1486"/>
      <c r="AN1007" s="1486"/>
      <c r="AO1007" s="1486"/>
      <c r="AP1007" s="1486"/>
      <c r="AQ1007" s="1487"/>
      <c r="AR1007" s="68"/>
      <c r="AS1007" s="68"/>
      <c r="AT1007" s="68"/>
      <c r="AU1007" s="68"/>
      <c r="AV1007" s="68"/>
      <c r="AW1007" s="68"/>
      <c r="AX1007" s="68"/>
      <c r="AY1007" s="68"/>
    </row>
    <row r="1008" spans="1:53" ht="12.75" customHeight="1">
      <c r="A1008" s="14"/>
      <c r="B1008" s="79"/>
      <c r="C1008" s="80" t="s">
        <v>240</v>
      </c>
      <c r="D1008" s="1453" t="s">
        <v>1485</v>
      </c>
      <c r="E1008" s="1454"/>
      <c r="F1008" s="1454"/>
      <c r="G1008" s="1454"/>
      <c r="H1008" s="1454"/>
      <c r="I1008" s="1454"/>
      <c r="J1008" s="1454"/>
      <c r="K1008" s="1454"/>
      <c r="L1008" s="1454"/>
      <c r="M1008" s="1454"/>
      <c r="N1008" s="1454"/>
      <c r="O1008" s="1454"/>
      <c r="P1008" s="1454"/>
      <c r="Q1008" s="1454"/>
      <c r="R1008" s="1454"/>
      <c r="S1008" s="1454"/>
      <c r="T1008" s="1454"/>
      <c r="U1008" s="1454"/>
      <c r="V1008" s="1454"/>
      <c r="W1008" s="1454"/>
      <c r="X1008" s="1454"/>
      <c r="Y1008" s="1454"/>
      <c r="Z1008" s="1454"/>
      <c r="AA1008" s="1454"/>
      <c r="AB1008" s="1454"/>
      <c r="AC1008" s="1454"/>
      <c r="AD1008" s="1454"/>
      <c r="AE1008" s="1455"/>
      <c r="AF1008" s="79"/>
      <c r="AG1008" s="1451" t="s">
        <v>696</v>
      </c>
      <c r="AH1008" s="1452"/>
      <c r="AI1008" s="87"/>
      <c r="AJ1008" s="1470">
        <f>ROUND(IF(AG1008="yes",(AJ975*0.1),0),0)</f>
        <v>0</v>
      </c>
      <c r="AK1008" s="1471"/>
      <c r="AL1008" s="1471"/>
      <c r="AM1008" s="1471"/>
      <c r="AN1008" s="1471"/>
      <c r="AO1008" s="1471"/>
      <c r="AP1008" s="1471"/>
      <c r="AQ1008" s="1472"/>
      <c r="AR1008" s="68"/>
      <c r="AS1008" s="68"/>
      <c r="AT1008" s="68"/>
      <c r="AU1008" s="68"/>
      <c r="AV1008" s="68"/>
      <c r="AW1008" s="68"/>
      <c r="AX1008" s="68"/>
      <c r="AY1008" s="68"/>
    </row>
    <row r="1009" spans="1:51" ht="12.75" customHeight="1">
      <c r="A1009" s="14"/>
      <c r="B1009" s="73"/>
      <c r="C1009" s="74"/>
      <c r="D1009" s="1428" t="s">
        <v>1486</v>
      </c>
      <c r="E1009" s="1429"/>
      <c r="F1009" s="1429"/>
      <c r="G1009" s="1429"/>
      <c r="H1009" s="1429"/>
      <c r="I1009" s="1429"/>
      <c r="J1009" s="1429"/>
      <c r="K1009" s="1429"/>
      <c r="L1009" s="1429"/>
      <c r="M1009" s="1429"/>
      <c r="N1009" s="1429"/>
      <c r="O1009" s="1429"/>
      <c r="P1009" s="1429"/>
      <c r="Q1009" s="1429"/>
      <c r="R1009" s="1429"/>
      <c r="S1009" s="1429"/>
      <c r="T1009" s="1429"/>
      <c r="U1009" s="1429"/>
      <c r="V1009" s="1429"/>
      <c r="W1009" s="1429"/>
      <c r="X1009" s="1429"/>
      <c r="Y1009" s="1429"/>
      <c r="Z1009" s="1429"/>
      <c r="AA1009" s="1429"/>
      <c r="AB1009" s="1429"/>
      <c r="AC1009" s="1429"/>
      <c r="AD1009" s="1429"/>
      <c r="AE1009" s="1430"/>
      <c r="AF1009" s="73"/>
      <c r="AG1009" s="14"/>
      <c r="AH1009" s="14"/>
      <c r="AI1009" s="83"/>
      <c r="AJ1009" s="1473"/>
      <c r="AK1009" s="1474"/>
      <c r="AL1009" s="1474"/>
      <c r="AM1009" s="1474"/>
      <c r="AN1009" s="1474"/>
      <c r="AO1009" s="1474"/>
      <c r="AP1009" s="1474"/>
      <c r="AQ1009" s="1475"/>
      <c r="AR1009" s="68"/>
      <c r="AS1009" s="68"/>
      <c r="AT1009" s="68"/>
      <c r="AU1009" s="68"/>
      <c r="AV1009" s="68"/>
      <c r="AW1009" s="68"/>
      <c r="AX1009" s="68"/>
      <c r="AY1009" s="68"/>
    </row>
    <row r="1010" spans="1:51" ht="12.75" customHeight="1">
      <c r="A1010" s="14"/>
      <c r="B1010" s="77"/>
      <c r="C1010" s="74"/>
      <c r="D1010" s="1456"/>
      <c r="E1010" s="1457"/>
      <c r="F1010" s="1457"/>
      <c r="G1010" s="1457"/>
      <c r="H1010" s="1457"/>
      <c r="I1010" s="1457"/>
      <c r="J1010" s="1457"/>
      <c r="K1010" s="1457"/>
      <c r="L1010" s="1457"/>
      <c r="M1010" s="1457"/>
      <c r="N1010" s="1457"/>
      <c r="O1010" s="1457"/>
      <c r="P1010" s="1457"/>
      <c r="Q1010" s="1457"/>
      <c r="R1010" s="1457"/>
      <c r="S1010" s="1457"/>
      <c r="T1010" s="1457"/>
      <c r="U1010" s="1457"/>
      <c r="V1010" s="1457"/>
      <c r="W1010" s="1457"/>
      <c r="X1010" s="1457"/>
      <c r="Y1010" s="1457"/>
      <c r="Z1010" s="1457"/>
      <c r="AA1010" s="1457"/>
      <c r="AB1010" s="1457"/>
      <c r="AC1010" s="1457"/>
      <c r="AD1010" s="1457"/>
      <c r="AE1010" s="1458"/>
      <c r="AF1010" s="73"/>
      <c r="AG1010" s="14"/>
      <c r="AH1010" s="14"/>
      <c r="AI1010" s="83"/>
      <c r="AJ1010" s="1476"/>
      <c r="AK1010" s="1477"/>
      <c r="AL1010" s="1477"/>
      <c r="AM1010" s="1477"/>
      <c r="AN1010" s="1477"/>
      <c r="AO1010" s="1477"/>
      <c r="AP1010" s="1477"/>
      <c r="AQ1010" s="1478"/>
      <c r="AR1010" s="68"/>
      <c r="AS1010" s="68"/>
      <c r="AT1010" s="68"/>
      <c r="AU1010" s="68"/>
      <c r="AV1010" s="68"/>
      <c r="AW1010" s="68"/>
      <c r="AX1010" s="68"/>
      <c r="AY1010" s="68"/>
    </row>
    <row r="1011" spans="1:51" ht="12.75" customHeight="1">
      <c r="A1011" s="14"/>
      <c r="B1011" s="73"/>
      <c r="C1011" s="370" t="s">
        <v>715</v>
      </c>
      <c r="D1011" s="1434" t="s">
        <v>2000</v>
      </c>
      <c r="E1011" s="1435"/>
      <c r="F1011" s="1435"/>
      <c r="G1011" s="1435"/>
      <c r="H1011" s="1435"/>
      <c r="I1011" s="1435"/>
      <c r="J1011" s="1435"/>
      <c r="K1011" s="1435"/>
      <c r="L1011" s="1435"/>
      <c r="M1011" s="1435"/>
      <c r="N1011" s="1435"/>
      <c r="O1011" s="1435"/>
      <c r="P1011" s="1435"/>
      <c r="Q1011" s="1435"/>
      <c r="R1011" s="1435"/>
      <c r="S1011" s="1435"/>
      <c r="T1011" s="1435"/>
      <c r="U1011" s="1435"/>
      <c r="V1011" s="1435"/>
      <c r="W1011" s="1435"/>
      <c r="X1011" s="1435"/>
      <c r="Y1011" s="1435"/>
      <c r="Z1011" s="1435"/>
      <c r="AA1011" s="1435"/>
      <c r="AB1011" s="1435"/>
      <c r="AC1011" s="1435"/>
      <c r="AD1011" s="1435"/>
      <c r="AE1011" s="1436"/>
      <c r="AF1011" s="79"/>
      <c r="AG1011" s="1451" t="s">
        <v>696</v>
      </c>
      <c r="AH1011" s="1452"/>
      <c r="AI1011" s="87"/>
      <c r="AJ1011" s="1470">
        <f>ROUND(IF(AG1011="yes",(AJ975*0.15),0),0)</f>
        <v>0</v>
      </c>
      <c r="AK1011" s="1471"/>
      <c r="AL1011" s="1471"/>
      <c r="AM1011" s="1471"/>
      <c r="AN1011" s="1471"/>
      <c r="AO1011" s="1471"/>
      <c r="AP1011" s="1471"/>
      <c r="AQ1011" s="1472"/>
      <c r="AR1011" s="68"/>
      <c r="AS1011" s="68"/>
      <c r="AT1011" s="68"/>
      <c r="AU1011" s="68"/>
      <c r="AV1011" s="68"/>
      <c r="AW1011" s="68"/>
      <c r="AX1011" s="68"/>
      <c r="AY1011" s="68"/>
    </row>
    <row r="1012" spans="1:51" ht="12.75" customHeight="1">
      <c r="A1012" s="14"/>
      <c r="B1012" s="73"/>
      <c r="C1012" s="74"/>
      <c r="D1012" s="1465" t="s">
        <v>2001</v>
      </c>
      <c r="E1012" s="1250"/>
      <c r="F1012" s="1250"/>
      <c r="G1012" s="1250"/>
      <c r="H1012" s="1250"/>
      <c r="I1012" s="1250"/>
      <c r="J1012" s="1250"/>
      <c r="K1012" s="1250"/>
      <c r="L1012" s="1250"/>
      <c r="M1012" s="1250"/>
      <c r="N1012" s="1250"/>
      <c r="O1012" s="1250"/>
      <c r="P1012" s="1250"/>
      <c r="Q1012" s="1250"/>
      <c r="R1012" s="1250"/>
      <c r="S1012" s="1250"/>
      <c r="T1012" s="1250"/>
      <c r="U1012" s="1250"/>
      <c r="V1012" s="1250"/>
      <c r="W1012" s="1250"/>
      <c r="X1012" s="1250"/>
      <c r="Y1012" s="1250"/>
      <c r="Z1012" s="1250"/>
      <c r="AA1012" s="1250"/>
      <c r="AB1012" s="1250"/>
      <c r="AC1012" s="1250"/>
      <c r="AD1012" s="1250"/>
      <c r="AE1012" s="1466"/>
      <c r="AF1012" s="955"/>
      <c r="AG1012" s="956"/>
      <c r="AH1012" s="956"/>
      <c r="AI1012" s="957"/>
      <c r="AJ1012" s="1473"/>
      <c r="AK1012" s="1474"/>
      <c r="AL1012" s="1474"/>
      <c r="AM1012" s="1474"/>
      <c r="AN1012" s="1474"/>
      <c r="AO1012" s="1474"/>
      <c r="AP1012" s="1474"/>
      <c r="AQ1012" s="1475"/>
      <c r="AR1012" s="68"/>
      <c r="AS1012" s="68"/>
      <c r="AT1012" s="68"/>
      <c r="AU1012" s="68"/>
      <c r="AV1012" s="68"/>
      <c r="AW1012" s="68"/>
      <c r="AX1012" s="68"/>
      <c r="AY1012" s="68"/>
    </row>
    <row r="1013" spans="1:51" ht="12.75" customHeight="1">
      <c r="A1013" s="14"/>
      <c r="B1013" s="73"/>
      <c r="C1013" s="74"/>
      <c r="D1013" s="1465"/>
      <c r="E1013" s="1250"/>
      <c r="F1013" s="1250"/>
      <c r="G1013" s="1250"/>
      <c r="H1013" s="1250"/>
      <c r="I1013" s="1250"/>
      <c r="J1013" s="1250"/>
      <c r="K1013" s="1250"/>
      <c r="L1013" s="1250"/>
      <c r="M1013" s="1250"/>
      <c r="N1013" s="1250"/>
      <c r="O1013" s="1250"/>
      <c r="P1013" s="1250"/>
      <c r="Q1013" s="1250"/>
      <c r="R1013" s="1250"/>
      <c r="S1013" s="1250"/>
      <c r="T1013" s="1250"/>
      <c r="U1013" s="1250"/>
      <c r="V1013" s="1250"/>
      <c r="W1013" s="1250"/>
      <c r="X1013" s="1250"/>
      <c r="Y1013" s="1250"/>
      <c r="Z1013" s="1250"/>
      <c r="AA1013" s="1250"/>
      <c r="AB1013" s="1250"/>
      <c r="AC1013" s="1250"/>
      <c r="AD1013" s="1250"/>
      <c r="AE1013" s="1466"/>
      <c r="AF1013" s="955"/>
      <c r="AG1013" s="956"/>
      <c r="AH1013" s="956"/>
      <c r="AI1013" s="957"/>
      <c r="AJ1013" s="1473"/>
      <c r="AK1013" s="1474"/>
      <c r="AL1013" s="1474"/>
      <c r="AM1013" s="1474"/>
      <c r="AN1013" s="1474"/>
      <c r="AO1013" s="1474"/>
      <c r="AP1013" s="1474"/>
      <c r="AQ1013" s="1475"/>
      <c r="AR1013" s="68"/>
      <c r="AS1013" s="68"/>
      <c r="AT1013" s="68"/>
      <c r="AU1013" s="68"/>
      <c r="AV1013" s="68"/>
      <c r="AW1013" s="68"/>
      <c r="AX1013" s="68"/>
      <c r="AY1013" s="68"/>
    </row>
    <row r="1014" spans="1:51" ht="12.75" customHeight="1">
      <c r="A1014" s="14"/>
      <c r="B1014" s="73"/>
      <c r="C1014" s="74"/>
      <c r="D1014" s="1467"/>
      <c r="E1014" s="1468"/>
      <c r="F1014" s="1468"/>
      <c r="G1014" s="1468"/>
      <c r="H1014" s="1468"/>
      <c r="I1014" s="1468"/>
      <c r="J1014" s="1468"/>
      <c r="K1014" s="1468"/>
      <c r="L1014" s="1468"/>
      <c r="M1014" s="1468"/>
      <c r="N1014" s="1468"/>
      <c r="O1014" s="1468"/>
      <c r="P1014" s="1468"/>
      <c r="Q1014" s="1468"/>
      <c r="R1014" s="1468"/>
      <c r="S1014" s="1468"/>
      <c r="T1014" s="1468"/>
      <c r="U1014" s="1468"/>
      <c r="V1014" s="1468"/>
      <c r="W1014" s="1468"/>
      <c r="X1014" s="1468"/>
      <c r="Y1014" s="1468"/>
      <c r="Z1014" s="1468"/>
      <c r="AA1014" s="1468"/>
      <c r="AB1014" s="1468"/>
      <c r="AC1014" s="1468"/>
      <c r="AD1014" s="1468"/>
      <c r="AE1014" s="1469"/>
      <c r="AF1014" s="958"/>
      <c r="AG1014" s="959"/>
      <c r="AH1014" s="959"/>
      <c r="AI1014" s="960"/>
      <c r="AJ1014" s="1476"/>
      <c r="AK1014" s="1477"/>
      <c r="AL1014" s="1477"/>
      <c r="AM1014" s="1477"/>
      <c r="AN1014" s="1477"/>
      <c r="AO1014" s="1477"/>
      <c r="AP1014" s="1477"/>
      <c r="AQ1014" s="1478"/>
      <c r="AR1014" s="68"/>
      <c r="AS1014" s="68"/>
      <c r="AT1014" s="68"/>
      <c r="AU1014" s="68"/>
      <c r="AV1014" s="68"/>
      <c r="AW1014" s="68"/>
      <c r="AX1014" s="68"/>
      <c r="AY1014" s="68"/>
    </row>
    <row r="1015" spans="1:51" ht="12.75" customHeight="1">
      <c r="A1015" s="14"/>
      <c r="B1015" s="73"/>
      <c r="C1015" s="370" t="s">
        <v>715</v>
      </c>
      <c r="D1015" s="1453" t="s">
        <v>2002</v>
      </c>
      <c r="E1015" s="1454"/>
      <c r="F1015" s="1454"/>
      <c r="G1015" s="1454"/>
      <c r="H1015" s="1454"/>
      <c r="I1015" s="1454"/>
      <c r="J1015" s="1454"/>
      <c r="K1015" s="1454"/>
      <c r="L1015" s="1454"/>
      <c r="M1015" s="1454"/>
      <c r="N1015" s="1454"/>
      <c r="O1015" s="1454"/>
      <c r="P1015" s="1454"/>
      <c r="Q1015" s="1454"/>
      <c r="R1015" s="1454"/>
      <c r="S1015" s="1454"/>
      <c r="T1015" s="1454"/>
      <c r="U1015" s="1454"/>
      <c r="V1015" s="1454"/>
      <c r="W1015" s="1454"/>
      <c r="X1015" s="1454"/>
      <c r="Y1015" s="1454"/>
      <c r="Z1015" s="1454"/>
      <c r="AA1015" s="1454"/>
      <c r="AB1015" s="1454"/>
      <c r="AC1015" s="1454"/>
      <c r="AD1015" s="1454"/>
      <c r="AE1015" s="1455"/>
      <c r="AF1015" s="73"/>
      <c r="AG1015" s="1551" t="s">
        <v>696</v>
      </c>
      <c r="AH1015" s="1552"/>
      <c r="AI1015" s="83"/>
      <c r="AJ1015" s="1470">
        <f>ROUND(IF(AND(AG1015="yes",AJ1011=0),(AJ975*0.1),0),0)</f>
        <v>0</v>
      </c>
      <c r="AK1015" s="1471"/>
      <c r="AL1015" s="1471"/>
      <c r="AM1015" s="1471"/>
      <c r="AN1015" s="1471"/>
      <c r="AO1015" s="1471"/>
      <c r="AP1015" s="1471"/>
      <c r="AQ1015" s="1472"/>
      <c r="AR1015" s="68"/>
      <c r="AS1015" s="68"/>
      <c r="AT1015" s="68"/>
      <c r="AU1015" s="68"/>
      <c r="AV1015" s="68"/>
      <c r="AW1015" s="68"/>
      <c r="AX1015" s="68"/>
      <c r="AY1015" s="68"/>
    </row>
    <row r="1016" spans="1:51" ht="12.75" customHeight="1">
      <c r="A1016" s="14"/>
      <c r="B1016" s="73"/>
      <c r="C1016" s="74"/>
      <c r="D1016" s="1465" t="s">
        <v>2003</v>
      </c>
      <c r="E1016" s="1250"/>
      <c r="F1016" s="1250"/>
      <c r="G1016" s="1250"/>
      <c r="H1016" s="1250"/>
      <c r="I1016" s="1250"/>
      <c r="J1016" s="1250"/>
      <c r="K1016" s="1250"/>
      <c r="L1016" s="1250"/>
      <c r="M1016" s="1250"/>
      <c r="N1016" s="1250"/>
      <c r="O1016" s="1250"/>
      <c r="P1016" s="1250"/>
      <c r="Q1016" s="1250"/>
      <c r="R1016" s="1250"/>
      <c r="S1016" s="1250"/>
      <c r="T1016" s="1250"/>
      <c r="U1016" s="1250"/>
      <c r="V1016" s="1250"/>
      <c r="W1016" s="1250"/>
      <c r="X1016" s="1250"/>
      <c r="Y1016" s="1250"/>
      <c r="Z1016" s="1250"/>
      <c r="AA1016" s="1250"/>
      <c r="AB1016" s="1250"/>
      <c r="AC1016" s="1250"/>
      <c r="AD1016" s="1250"/>
      <c r="AE1016" s="1466"/>
      <c r="AF1016" s="73"/>
      <c r="AG1016" s="14"/>
      <c r="AH1016" s="14"/>
      <c r="AI1016" s="83"/>
      <c r="AJ1016" s="1473"/>
      <c r="AK1016" s="1474"/>
      <c r="AL1016" s="1474"/>
      <c r="AM1016" s="1474"/>
      <c r="AN1016" s="1474"/>
      <c r="AO1016" s="1474"/>
      <c r="AP1016" s="1474"/>
      <c r="AQ1016" s="1475"/>
      <c r="AR1016" s="68"/>
      <c r="AS1016" s="68"/>
      <c r="AT1016" s="68"/>
      <c r="AU1016" s="68"/>
      <c r="AV1016" s="68"/>
      <c r="AW1016" s="68"/>
      <c r="AX1016" s="68"/>
      <c r="AY1016" s="68"/>
    </row>
    <row r="1017" spans="1:51" ht="12.75" customHeight="1">
      <c r="A1017" s="14"/>
      <c r="B1017" s="73"/>
      <c r="C1017" s="74"/>
      <c r="D1017" s="1465"/>
      <c r="E1017" s="1250"/>
      <c r="F1017" s="1250"/>
      <c r="G1017" s="1250"/>
      <c r="H1017" s="1250"/>
      <c r="I1017" s="1250"/>
      <c r="J1017" s="1250"/>
      <c r="K1017" s="1250"/>
      <c r="L1017" s="1250"/>
      <c r="M1017" s="1250"/>
      <c r="N1017" s="1250"/>
      <c r="O1017" s="1250"/>
      <c r="P1017" s="1250"/>
      <c r="Q1017" s="1250"/>
      <c r="R1017" s="1250"/>
      <c r="S1017" s="1250"/>
      <c r="T1017" s="1250"/>
      <c r="U1017" s="1250"/>
      <c r="V1017" s="1250"/>
      <c r="W1017" s="1250"/>
      <c r="X1017" s="1250"/>
      <c r="Y1017" s="1250"/>
      <c r="Z1017" s="1250"/>
      <c r="AA1017" s="1250"/>
      <c r="AB1017" s="1250"/>
      <c r="AC1017" s="1250"/>
      <c r="AD1017" s="1250"/>
      <c r="AE1017" s="1466"/>
      <c r="AF1017" s="73"/>
      <c r="AG1017" s="14"/>
      <c r="AH1017" s="14"/>
      <c r="AI1017" s="83"/>
      <c r="AJ1017" s="1473"/>
      <c r="AK1017" s="1474"/>
      <c r="AL1017" s="1474"/>
      <c r="AM1017" s="1474"/>
      <c r="AN1017" s="1474"/>
      <c r="AO1017" s="1474"/>
      <c r="AP1017" s="1474"/>
      <c r="AQ1017" s="1475"/>
      <c r="AR1017" s="68"/>
      <c r="AS1017" s="68"/>
      <c r="AT1017" s="68"/>
      <c r="AU1017" s="68"/>
      <c r="AV1017" s="68"/>
      <c r="AW1017" s="68"/>
      <c r="AX1017" s="68"/>
      <c r="AY1017" s="68"/>
    </row>
    <row r="1018" spans="1:51" ht="12.75" customHeight="1">
      <c r="A1018" s="14"/>
      <c r="B1018" s="73"/>
      <c r="C1018" s="74"/>
      <c r="D1018" s="1465"/>
      <c r="E1018" s="1250"/>
      <c r="F1018" s="1250"/>
      <c r="G1018" s="1250"/>
      <c r="H1018" s="1250"/>
      <c r="I1018" s="1250"/>
      <c r="J1018" s="1250"/>
      <c r="K1018" s="1250"/>
      <c r="L1018" s="1250"/>
      <c r="M1018" s="1250"/>
      <c r="N1018" s="1250"/>
      <c r="O1018" s="1250"/>
      <c r="P1018" s="1250"/>
      <c r="Q1018" s="1250"/>
      <c r="R1018" s="1250"/>
      <c r="S1018" s="1250"/>
      <c r="T1018" s="1250"/>
      <c r="U1018" s="1250"/>
      <c r="V1018" s="1250"/>
      <c r="W1018" s="1250"/>
      <c r="X1018" s="1250"/>
      <c r="Y1018" s="1250"/>
      <c r="Z1018" s="1250"/>
      <c r="AA1018" s="1250"/>
      <c r="AB1018" s="1250"/>
      <c r="AC1018" s="1250"/>
      <c r="AD1018" s="1250"/>
      <c r="AE1018" s="1466"/>
      <c r="AF1018" s="73"/>
      <c r="AG1018" s="14"/>
      <c r="AH1018" s="14"/>
      <c r="AI1018" s="83"/>
      <c r="AJ1018" s="1473"/>
      <c r="AK1018" s="1474"/>
      <c r="AL1018" s="1474"/>
      <c r="AM1018" s="1474"/>
      <c r="AN1018" s="1474"/>
      <c r="AO1018" s="1474"/>
      <c r="AP1018" s="1474"/>
      <c r="AQ1018" s="1475"/>
      <c r="AR1018" s="68"/>
      <c r="AS1018" s="68"/>
      <c r="AT1018" s="68"/>
      <c r="AU1018" s="68"/>
      <c r="AV1018" s="68"/>
      <c r="AW1018" s="68"/>
      <c r="AX1018" s="68"/>
      <c r="AY1018" s="68"/>
    </row>
    <row r="1019" spans="1:51" ht="12.75" customHeight="1">
      <c r="A1019" s="14"/>
      <c r="B1019" s="73"/>
      <c r="C1019" s="74"/>
      <c r="D1019" s="1467"/>
      <c r="E1019" s="1468"/>
      <c r="F1019" s="1468"/>
      <c r="G1019" s="1468"/>
      <c r="H1019" s="1468"/>
      <c r="I1019" s="1468"/>
      <c r="J1019" s="1468"/>
      <c r="K1019" s="1468"/>
      <c r="L1019" s="1468"/>
      <c r="M1019" s="1468"/>
      <c r="N1019" s="1468"/>
      <c r="O1019" s="1468"/>
      <c r="P1019" s="1468"/>
      <c r="Q1019" s="1468"/>
      <c r="R1019" s="1468"/>
      <c r="S1019" s="1468"/>
      <c r="T1019" s="1468"/>
      <c r="U1019" s="1468"/>
      <c r="V1019" s="1468"/>
      <c r="W1019" s="1468"/>
      <c r="X1019" s="1468"/>
      <c r="Y1019" s="1468"/>
      <c r="Z1019" s="1468"/>
      <c r="AA1019" s="1468"/>
      <c r="AB1019" s="1468"/>
      <c r="AC1019" s="1468"/>
      <c r="AD1019" s="1468"/>
      <c r="AE1019" s="1469"/>
      <c r="AF1019" s="73"/>
      <c r="AG1019" s="14"/>
      <c r="AH1019" s="14"/>
      <c r="AI1019" s="83"/>
      <c r="AJ1019" s="1473"/>
      <c r="AK1019" s="1474"/>
      <c r="AL1019" s="1474"/>
      <c r="AM1019" s="1474"/>
      <c r="AN1019" s="1474"/>
      <c r="AO1019" s="1474"/>
      <c r="AP1019" s="1474"/>
      <c r="AQ1019" s="1475"/>
      <c r="AR1019" s="68"/>
      <c r="AS1019" s="68"/>
      <c r="AT1019" s="68"/>
      <c r="AU1019" s="68"/>
      <c r="AV1019" s="68"/>
      <c r="AW1019" s="68"/>
      <c r="AX1019" s="68"/>
      <c r="AY1019" s="68"/>
    </row>
    <row r="1020" spans="1:51" ht="12.75" customHeight="1">
      <c r="A1020" s="14"/>
      <c r="B1020" s="79"/>
      <c r="C1020" s="131" t="s">
        <v>1088</v>
      </c>
      <c r="D1020" s="1434" t="s">
        <v>1487</v>
      </c>
      <c r="E1020" s="1435"/>
      <c r="F1020" s="1435"/>
      <c r="G1020" s="1435"/>
      <c r="H1020" s="1435"/>
      <c r="I1020" s="1435"/>
      <c r="J1020" s="1435"/>
      <c r="K1020" s="1435"/>
      <c r="L1020" s="1435"/>
      <c r="M1020" s="1435"/>
      <c r="N1020" s="1435"/>
      <c r="O1020" s="1435"/>
      <c r="P1020" s="1435"/>
      <c r="Q1020" s="1435"/>
      <c r="R1020" s="1435"/>
      <c r="S1020" s="1435"/>
      <c r="T1020" s="1435"/>
      <c r="U1020" s="1435"/>
      <c r="V1020" s="1435"/>
      <c r="W1020" s="1435"/>
      <c r="X1020" s="1435"/>
      <c r="Y1020" s="1435"/>
      <c r="Z1020" s="1435"/>
      <c r="AA1020" s="1435"/>
      <c r="AB1020" s="1435"/>
      <c r="AC1020" s="1435"/>
      <c r="AD1020" s="1435"/>
      <c r="AE1020" s="1436"/>
      <c r="AF1020" s="79"/>
      <c r="AG1020" s="1451" t="s">
        <v>571</v>
      </c>
      <c r="AH1020" s="1452"/>
      <c r="AI1020" s="87"/>
      <c r="AJ1020" s="1470">
        <f>ROUND(IF(AG1020="yes",(AJ975*0.1),0),0)</f>
        <v>2983400</v>
      </c>
      <c r="AK1020" s="1471"/>
      <c r="AL1020" s="1471"/>
      <c r="AM1020" s="1471"/>
      <c r="AN1020" s="1471"/>
      <c r="AO1020" s="1471"/>
      <c r="AP1020" s="1471"/>
      <c r="AQ1020" s="1472"/>
      <c r="AR1020" s="68"/>
      <c r="AS1020" s="68"/>
      <c r="AT1020" s="68"/>
      <c r="AU1020" s="68"/>
      <c r="AV1020" s="68"/>
      <c r="AW1020" s="68"/>
      <c r="AX1020" s="68"/>
      <c r="AY1020" s="68"/>
    </row>
    <row r="1021" spans="1:51" ht="12.75" customHeight="1">
      <c r="A1021" s="14"/>
      <c r="B1021" s="73"/>
      <c r="C1021" s="74"/>
      <c r="D1021" s="1428" t="s">
        <v>2591</v>
      </c>
      <c r="E1021" s="1429"/>
      <c r="F1021" s="1429"/>
      <c r="G1021" s="1429"/>
      <c r="H1021" s="1429"/>
      <c r="I1021" s="1429"/>
      <c r="J1021" s="1429"/>
      <c r="K1021" s="1429"/>
      <c r="L1021" s="1429"/>
      <c r="M1021" s="1429"/>
      <c r="N1021" s="1429"/>
      <c r="O1021" s="1429"/>
      <c r="P1021" s="1429"/>
      <c r="Q1021" s="1429"/>
      <c r="R1021" s="1429"/>
      <c r="S1021" s="1429"/>
      <c r="T1021" s="1429"/>
      <c r="U1021" s="1429"/>
      <c r="V1021" s="1429"/>
      <c r="W1021" s="1429"/>
      <c r="X1021" s="1429"/>
      <c r="Y1021" s="1429"/>
      <c r="Z1021" s="1429"/>
      <c r="AA1021" s="1429"/>
      <c r="AB1021" s="1429"/>
      <c r="AC1021" s="1429"/>
      <c r="AD1021" s="1429"/>
      <c r="AE1021" s="1430"/>
      <c r="AF1021" s="73"/>
      <c r="AG1021" s="14"/>
      <c r="AH1021" s="14"/>
      <c r="AI1021" s="83"/>
      <c r="AJ1021" s="1473"/>
      <c r="AK1021" s="1474"/>
      <c r="AL1021" s="1474"/>
      <c r="AM1021" s="1474"/>
      <c r="AN1021" s="1474"/>
      <c r="AO1021" s="1474"/>
      <c r="AP1021" s="1474"/>
      <c r="AQ1021" s="1475"/>
      <c r="AR1021" s="68"/>
      <c r="AS1021" s="68"/>
      <c r="AT1021" s="68"/>
      <c r="AU1021" s="68"/>
      <c r="AV1021" s="68"/>
      <c r="AW1021" s="68"/>
      <c r="AX1021" s="68"/>
      <c r="AY1021" s="68"/>
    </row>
    <row r="1022" spans="1:51" ht="12.75" customHeight="1">
      <c r="A1022" s="14"/>
      <c r="B1022" s="73"/>
      <c r="C1022" s="74"/>
      <c r="D1022" s="1428"/>
      <c r="E1022" s="1429"/>
      <c r="F1022" s="1429"/>
      <c r="G1022" s="1429"/>
      <c r="H1022" s="1429"/>
      <c r="I1022" s="1429"/>
      <c r="J1022" s="1429"/>
      <c r="K1022" s="1429"/>
      <c r="L1022" s="1429"/>
      <c r="M1022" s="1429"/>
      <c r="N1022" s="1429"/>
      <c r="O1022" s="1429"/>
      <c r="P1022" s="1429"/>
      <c r="Q1022" s="1429"/>
      <c r="R1022" s="1429"/>
      <c r="S1022" s="1429"/>
      <c r="T1022" s="1429"/>
      <c r="U1022" s="1429"/>
      <c r="V1022" s="1429"/>
      <c r="W1022" s="1429"/>
      <c r="X1022" s="1429"/>
      <c r="Y1022" s="1429"/>
      <c r="Z1022" s="1429"/>
      <c r="AA1022" s="1429"/>
      <c r="AB1022" s="1429"/>
      <c r="AC1022" s="1429"/>
      <c r="AD1022" s="1429"/>
      <c r="AE1022" s="1430"/>
      <c r="AF1022" s="73"/>
      <c r="AG1022" s="14"/>
      <c r="AH1022" s="14"/>
      <c r="AI1022" s="83"/>
      <c r="AJ1022" s="1473"/>
      <c r="AK1022" s="1474"/>
      <c r="AL1022" s="1474"/>
      <c r="AM1022" s="1474"/>
      <c r="AN1022" s="1474"/>
      <c r="AO1022" s="1474"/>
      <c r="AP1022" s="1474"/>
      <c r="AQ1022" s="1475"/>
      <c r="AR1022" s="68"/>
      <c r="AS1022" s="68"/>
      <c r="AT1022" s="68"/>
      <c r="AU1022" s="68"/>
      <c r="AV1022" s="68"/>
      <c r="AW1022" s="68"/>
      <c r="AX1022" s="68"/>
      <c r="AY1022" s="68"/>
    </row>
    <row r="1023" spans="1:51" ht="12.75" customHeight="1">
      <c r="A1023" s="14"/>
      <c r="B1023" s="73"/>
      <c r="C1023" s="74"/>
      <c r="D1023" s="1456"/>
      <c r="E1023" s="1457"/>
      <c r="F1023" s="1457"/>
      <c r="G1023" s="1457"/>
      <c r="H1023" s="1457"/>
      <c r="I1023" s="1457"/>
      <c r="J1023" s="1457"/>
      <c r="K1023" s="1457"/>
      <c r="L1023" s="1457"/>
      <c r="M1023" s="1457"/>
      <c r="N1023" s="1457"/>
      <c r="O1023" s="1457"/>
      <c r="P1023" s="1457"/>
      <c r="Q1023" s="1457"/>
      <c r="R1023" s="1457"/>
      <c r="S1023" s="1457"/>
      <c r="T1023" s="1457"/>
      <c r="U1023" s="1457"/>
      <c r="V1023" s="1457"/>
      <c r="W1023" s="1457"/>
      <c r="X1023" s="1457"/>
      <c r="Y1023" s="1457"/>
      <c r="Z1023" s="1457"/>
      <c r="AA1023" s="1457"/>
      <c r="AB1023" s="1457"/>
      <c r="AC1023" s="1457"/>
      <c r="AD1023" s="1457"/>
      <c r="AE1023" s="1458"/>
      <c r="AF1023" s="73"/>
      <c r="AG1023" s="14"/>
      <c r="AH1023" s="14"/>
      <c r="AI1023" s="83"/>
      <c r="AJ1023" s="1476"/>
      <c r="AK1023" s="1477"/>
      <c r="AL1023" s="1477"/>
      <c r="AM1023" s="1477"/>
      <c r="AN1023" s="1477"/>
      <c r="AO1023" s="1477"/>
      <c r="AP1023" s="1477"/>
      <c r="AQ1023" s="1478"/>
      <c r="AR1023" s="68"/>
      <c r="AS1023" s="68"/>
      <c r="AT1023" s="68"/>
      <c r="AU1023" s="68"/>
      <c r="AV1023" s="68"/>
      <c r="AW1023" s="68"/>
      <c r="AX1023" s="68"/>
      <c r="AY1023" s="68"/>
    </row>
    <row r="1024" spans="1:51" ht="12.75" customHeight="1">
      <c r="A1024" s="14"/>
      <c r="B1024" s="79"/>
      <c r="C1024" s="131" t="s">
        <v>1998</v>
      </c>
      <c r="D1024" s="1453" t="s">
        <v>2184</v>
      </c>
      <c r="E1024" s="1454"/>
      <c r="F1024" s="1454"/>
      <c r="G1024" s="1454"/>
      <c r="H1024" s="1454"/>
      <c r="I1024" s="1454"/>
      <c r="J1024" s="1454"/>
      <c r="K1024" s="1454"/>
      <c r="L1024" s="1454"/>
      <c r="M1024" s="1454"/>
      <c r="N1024" s="1454"/>
      <c r="O1024" s="1454"/>
      <c r="P1024" s="1454"/>
      <c r="Q1024" s="1454"/>
      <c r="R1024" s="1454"/>
      <c r="S1024" s="1454"/>
      <c r="T1024" s="1454"/>
      <c r="U1024" s="1454"/>
      <c r="V1024" s="1454"/>
      <c r="W1024" s="1454"/>
      <c r="X1024" s="1454"/>
      <c r="Y1024" s="1454"/>
      <c r="Z1024" s="1454"/>
      <c r="AA1024" s="1454"/>
      <c r="AB1024" s="1454"/>
      <c r="AC1024" s="1454"/>
      <c r="AD1024" s="1454"/>
      <c r="AE1024" s="1455"/>
      <c r="AF1024" s="79"/>
      <c r="AG1024" s="1549" t="str">
        <f>IF(X1027&gt;0,"Yes","No")</f>
        <v>Yes</v>
      </c>
      <c r="AH1024" s="1550"/>
      <c r="AI1024" s="87"/>
      <c r="AJ1024" s="1470">
        <f>IF((X1027=0),0,BA989*AJ975)</f>
        <v>19690437.359999999</v>
      </c>
      <c r="AK1024" s="1471"/>
      <c r="AL1024" s="1471"/>
      <c r="AM1024" s="1471"/>
      <c r="AN1024" s="1471"/>
      <c r="AO1024" s="1471"/>
      <c r="AP1024" s="1471"/>
      <c r="AQ1024" s="1472"/>
      <c r="AR1024" s="68"/>
      <c r="AS1024" s="68"/>
      <c r="AT1024" s="68"/>
      <c r="AU1024" s="68"/>
      <c r="AV1024" s="68"/>
      <c r="AW1024" s="68"/>
      <c r="AX1024" s="68"/>
      <c r="AY1024" s="68"/>
    </row>
    <row r="1025" spans="1:51" ht="12.75" customHeight="1">
      <c r="A1025" s="14"/>
      <c r="B1025" s="73"/>
      <c r="C1025" s="480"/>
      <c r="D1025" s="1428" t="s">
        <v>1489</v>
      </c>
      <c r="E1025" s="1429"/>
      <c r="F1025" s="1429"/>
      <c r="G1025" s="1429"/>
      <c r="H1025" s="1429"/>
      <c r="I1025" s="1429"/>
      <c r="J1025" s="1429"/>
      <c r="K1025" s="1429"/>
      <c r="L1025" s="1429"/>
      <c r="M1025" s="1429"/>
      <c r="N1025" s="1429"/>
      <c r="O1025" s="1429"/>
      <c r="P1025" s="1429"/>
      <c r="Q1025" s="1429"/>
      <c r="R1025" s="1429"/>
      <c r="S1025" s="1429"/>
      <c r="T1025" s="1429"/>
      <c r="U1025" s="1429"/>
      <c r="V1025" s="1429"/>
      <c r="W1025" s="1429"/>
      <c r="X1025" s="1429"/>
      <c r="Y1025" s="1429"/>
      <c r="Z1025" s="1429"/>
      <c r="AA1025" s="1429"/>
      <c r="AB1025" s="1429"/>
      <c r="AC1025" s="1429"/>
      <c r="AD1025" s="1429"/>
      <c r="AE1025" s="1430"/>
      <c r="AF1025" s="73"/>
      <c r="AG1025" s="481"/>
      <c r="AH1025" s="481"/>
      <c r="AI1025" s="83"/>
      <c r="AJ1025" s="1473"/>
      <c r="AK1025" s="1474"/>
      <c r="AL1025" s="1474"/>
      <c r="AM1025" s="1474"/>
      <c r="AN1025" s="1474"/>
      <c r="AO1025" s="1474"/>
      <c r="AP1025" s="1474"/>
      <c r="AQ1025" s="1475"/>
      <c r="AR1025" s="68"/>
      <c r="AS1025" s="68"/>
      <c r="AT1025" s="68"/>
      <c r="AU1025" s="68"/>
      <c r="AV1025" s="68"/>
      <c r="AW1025" s="68"/>
      <c r="AX1025" s="68"/>
      <c r="AY1025" s="68"/>
    </row>
    <row r="1026" spans="1:51" ht="12.75" customHeight="1">
      <c r="A1026" s="14"/>
      <c r="B1026" s="73"/>
      <c r="C1026" s="480"/>
      <c r="D1026" s="1428"/>
      <c r="E1026" s="1429"/>
      <c r="F1026" s="1429"/>
      <c r="G1026" s="1429"/>
      <c r="H1026" s="1429"/>
      <c r="I1026" s="1429"/>
      <c r="J1026" s="1429"/>
      <c r="K1026" s="1429"/>
      <c r="L1026" s="1429"/>
      <c r="M1026" s="1429"/>
      <c r="N1026" s="1429"/>
      <c r="O1026" s="1429"/>
      <c r="P1026" s="1429"/>
      <c r="Q1026" s="1429"/>
      <c r="R1026" s="1429"/>
      <c r="S1026" s="1429"/>
      <c r="T1026" s="1429"/>
      <c r="U1026" s="1429"/>
      <c r="V1026" s="1429"/>
      <c r="W1026" s="1429"/>
      <c r="X1026" s="1429"/>
      <c r="Y1026" s="1429"/>
      <c r="Z1026" s="1429"/>
      <c r="AA1026" s="1429"/>
      <c r="AB1026" s="1429"/>
      <c r="AC1026" s="1429"/>
      <c r="AD1026" s="1429"/>
      <c r="AE1026" s="1430"/>
      <c r="AF1026" s="73"/>
      <c r="AG1026" s="481"/>
      <c r="AH1026" s="481"/>
      <c r="AI1026" s="83"/>
      <c r="AJ1026" s="1473"/>
      <c r="AK1026" s="1474"/>
      <c r="AL1026" s="1474"/>
      <c r="AM1026" s="1474"/>
      <c r="AN1026" s="1474"/>
      <c r="AO1026" s="1474"/>
      <c r="AP1026" s="1474"/>
      <c r="AQ1026" s="1475"/>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547">
        <f>BA987</f>
        <v>74</v>
      </c>
      <c r="J1027" s="1548"/>
      <c r="K1027" s="7"/>
      <c r="L1027" s="133"/>
      <c r="M1027" s="133"/>
      <c r="N1027" s="133"/>
      <c r="O1027" s="133"/>
      <c r="P1027" s="133"/>
      <c r="Q1027" s="133"/>
      <c r="R1027" s="133"/>
      <c r="S1027" s="133"/>
      <c r="T1027" s="133"/>
      <c r="U1027" s="133"/>
      <c r="V1027" s="134" t="s">
        <v>1033</v>
      </c>
      <c r="W1027" s="48"/>
      <c r="X1027" s="1545">
        <f>BG635</f>
        <v>49</v>
      </c>
      <c r="Y1027" s="1546"/>
      <c r="Z1027" s="48"/>
      <c r="AA1027" s="48"/>
      <c r="AB1027" s="48"/>
      <c r="AC1027" s="48"/>
      <c r="AD1027" s="48"/>
      <c r="AE1027" s="49"/>
      <c r="AF1027" s="964"/>
      <c r="AG1027" s="965"/>
      <c r="AH1027" s="965"/>
      <c r="AI1027" s="966"/>
      <c r="AJ1027" s="1476"/>
      <c r="AK1027" s="1477"/>
      <c r="AL1027" s="1477"/>
      <c r="AM1027" s="1477"/>
      <c r="AN1027" s="1477"/>
      <c r="AO1027" s="1477"/>
      <c r="AP1027" s="1477"/>
      <c r="AQ1027" s="1478"/>
      <c r="AR1027" s="68"/>
      <c r="AS1027" s="68"/>
      <c r="AT1027" s="68"/>
      <c r="AU1027" s="68"/>
      <c r="AV1027" s="68"/>
      <c r="AW1027" s="68"/>
      <c r="AX1027" s="68"/>
      <c r="AY1027" s="68"/>
    </row>
    <row r="1028" spans="1:51" ht="12.75" customHeight="1">
      <c r="A1028" s="14"/>
      <c r="B1028" s="79"/>
      <c r="C1028" s="131" t="s">
        <v>1999</v>
      </c>
      <c r="D1028" s="1434" t="s">
        <v>2185</v>
      </c>
      <c r="E1028" s="1435"/>
      <c r="F1028" s="1435"/>
      <c r="G1028" s="1435"/>
      <c r="H1028" s="1435"/>
      <c r="I1028" s="1435"/>
      <c r="J1028" s="1435"/>
      <c r="K1028" s="1435"/>
      <c r="L1028" s="1435"/>
      <c r="M1028" s="1435"/>
      <c r="N1028" s="1435"/>
      <c r="O1028" s="1435"/>
      <c r="P1028" s="1435"/>
      <c r="Q1028" s="1435"/>
      <c r="R1028" s="1435"/>
      <c r="S1028" s="1435"/>
      <c r="T1028" s="1435"/>
      <c r="U1028" s="1435"/>
      <c r="V1028" s="1435"/>
      <c r="W1028" s="1435"/>
      <c r="X1028" s="1435"/>
      <c r="Y1028" s="1435"/>
      <c r="Z1028" s="1435"/>
      <c r="AA1028" s="1435"/>
      <c r="AB1028" s="1435"/>
      <c r="AC1028" s="1435"/>
      <c r="AD1028" s="1435"/>
      <c r="AE1028" s="1436"/>
      <c r="AF1028" s="73"/>
      <c r="AG1028" s="1549" t="str">
        <f>IF(X1031&gt;0,"Yes","No")</f>
        <v>Yes</v>
      </c>
      <c r="AH1028" s="1550"/>
      <c r="AI1028" s="83"/>
      <c r="AJ1028" s="1470">
        <f>IF((X1031=0),0,(2*BA990)*AJ975)</f>
        <v>16707037.760000002</v>
      </c>
      <c r="AK1028" s="1471"/>
      <c r="AL1028" s="1471"/>
      <c r="AM1028" s="1471"/>
      <c r="AN1028" s="1471"/>
      <c r="AO1028" s="1471"/>
      <c r="AP1028" s="1471"/>
      <c r="AQ1028" s="1472"/>
      <c r="AR1028" s="68"/>
      <c r="AS1028" s="68"/>
      <c r="AT1028" s="68"/>
      <c r="AU1028" s="68"/>
      <c r="AV1028" s="68"/>
      <c r="AW1028" s="68"/>
      <c r="AX1028" s="68"/>
      <c r="AY1028" s="68"/>
    </row>
    <row r="1029" spans="1:51" ht="12.75" customHeight="1">
      <c r="A1029" s="14"/>
      <c r="B1029" s="73"/>
      <c r="C1029" s="480"/>
      <c r="D1029" s="1428" t="s">
        <v>1488</v>
      </c>
      <c r="E1029" s="1429"/>
      <c r="F1029" s="1429"/>
      <c r="G1029" s="1429"/>
      <c r="H1029" s="1429"/>
      <c r="I1029" s="1429"/>
      <c r="J1029" s="1429"/>
      <c r="K1029" s="1429"/>
      <c r="L1029" s="1429"/>
      <c r="M1029" s="1429"/>
      <c r="N1029" s="1429"/>
      <c r="O1029" s="1429"/>
      <c r="P1029" s="1429"/>
      <c r="Q1029" s="1429"/>
      <c r="R1029" s="1429"/>
      <c r="S1029" s="1429"/>
      <c r="T1029" s="1429"/>
      <c r="U1029" s="1429"/>
      <c r="V1029" s="1429"/>
      <c r="W1029" s="1429"/>
      <c r="X1029" s="1429"/>
      <c r="Y1029" s="1429"/>
      <c r="Z1029" s="1429"/>
      <c r="AA1029" s="1429"/>
      <c r="AB1029" s="1429"/>
      <c r="AC1029" s="1429"/>
      <c r="AD1029" s="1429"/>
      <c r="AE1029" s="1430"/>
      <c r="AF1029" s="73"/>
      <c r="AG1029" s="481"/>
      <c r="AH1029" s="481"/>
      <c r="AI1029" s="83"/>
      <c r="AJ1029" s="1473"/>
      <c r="AK1029" s="1474"/>
      <c r="AL1029" s="1474"/>
      <c r="AM1029" s="1474"/>
      <c r="AN1029" s="1474"/>
      <c r="AO1029" s="1474"/>
      <c r="AP1029" s="1474"/>
      <c r="AQ1029" s="1475"/>
      <c r="AR1029" s="68"/>
      <c r="AS1029" s="68"/>
      <c r="AT1029" s="68"/>
      <c r="AU1029" s="68"/>
      <c r="AV1029" s="68"/>
      <c r="AW1029" s="68"/>
      <c r="AX1029" s="68"/>
      <c r="AY1029" s="68"/>
    </row>
    <row r="1030" spans="1:51" ht="12.75" customHeight="1">
      <c r="A1030" s="14"/>
      <c r="B1030" s="73"/>
      <c r="C1030" s="83"/>
      <c r="D1030" s="1428"/>
      <c r="E1030" s="1429"/>
      <c r="F1030" s="1429"/>
      <c r="G1030" s="1429"/>
      <c r="H1030" s="1429"/>
      <c r="I1030" s="1429"/>
      <c r="J1030" s="1429"/>
      <c r="K1030" s="1429"/>
      <c r="L1030" s="1429"/>
      <c r="M1030" s="1429"/>
      <c r="N1030" s="1429"/>
      <c r="O1030" s="1429"/>
      <c r="P1030" s="1429"/>
      <c r="Q1030" s="1429"/>
      <c r="R1030" s="1429"/>
      <c r="S1030" s="1429"/>
      <c r="T1030" s="1429"/>
      <c r="U1030" s="1429"/>
      <c r="V1030" s="1429"/>
      <c r="W1030" s="1429"/>
      <c r="X1030" s="1429"/>
      <c r="Y1030" s="1429"/>
      <c r="Z1030" s="1429"/>
      <c r="AA1030" s="1429"/>
      <c r="AB1030" s="1429"/>
      <c r="AC1030" s="1429"/>
      <c r="AD1030" s="1429"/>
      <c r="AE1030" s="1430"/>
      <c r="AF1030" s="961"/>
      <c r="AG1030" s="962"/>
      <c r="AH1030" s="962"/>
      <c r="AI1030" s="963"/>
      <c r="AJ1030" s="1473"/>
      <c r="AK1030" s="1474"/>
      <c r="AL1030" s="1474"/>
      <c r="AM1030" s="1474"/>
      <c r="AN1030" s="1474"/>
      <c r="AO1030" s="1474"/>
      <c r="AP1030" s="1474"/>
      <c r="AQ1030" s="1475"/>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547">
        <f>BA987</f>
        <v>74</v>
      </c>
      <c r="J1031" s="1548"/>
      <c r="K1031" s="14"/>
      <c r="L1031" s="133"/>
      <c r="M1031" s="133"/>
      <c r="N1031" s="133"/>
      <c r="O1031" s="133"/>
      <c r="P1031" s="133"/>
      <c r="Q1031" s="133"/>
      <c r="R1031" s="133"/>
      <c r="S1031" s="133"/>
      <c r="T1031" s="133"/>
      <c r="U1031" s="133"/>
      <c r="V1031" s="134" t="s">
        <v>1034</v>
      </c>
      <c r="X1031" s="1545">
        <f>BK635</f>
        <v>21</v>
      </c>
      <c r="Y1031" s="1546"/>
      <c r="AF1031" s="964"/>
      <c r="AG1031" s="965"/>
      <c r="AH1031" s="965"/>
      <c r="AI1031" s="966"/>
      <c r="AJ1031" s="1476"/>
      <c r="AK1031" s="1477"/>
      <c r="AL1031" s="1477"/>
      <c r="AM1031" s="1477"/>
      <c r="AN1031" s="1477"/>
      <c r="AO1031" s="1477"/>
      <c r="AP1031" s="1477"/>
      <c r="AQ1031" s="1478"/>
      <c r="AR1031" s="68"/>
      <c r="AS1031" s="68"/>
      <c r="AT1031" s="68"/>
      <c r="AU1031" s="68"/>
      <c r="AV1031" s="68"/>
      <c r="AW1031" s="68"/>
      <c r="AX1031" s="68"/>
      <c r="AY1031" s="68"/>
    </row>
    <row r="1032" spans="1:51" ht="12.75" customHeight="1">
      <c r="A1032" s="14"/>
      <c r="B1032" s="102"/>
      <c r="C1032" s="103"/>
      <c r="D1032" s="1543" t="s">
        <v>539</v>
      </c>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4"/>
      <c r="AJ1032" s="1553">
        <f>SUM(AJ975:AQ1031)</f>
        <v>77153193.120000005</v>
      </c>
      <c r="AK1032" s="1554"/>
      <c r="AL1032" s="1554"/>
      <c r="AM1032" s="1554"/>
      <c r="AN1032" s="1554"/>
      <c r="AO1032" s="1554"/>
      <c r="AP1032" s="1554"/>
      <c r="AQ1032" s="1555"/>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652">
        <f>IF(ISNA(IF((AJ999&gt;(AJ975*0.15)),"(f) cannot be greater than 15% of unadjusted eligible basis.",0)),"",(IF((AJ999&gt;(AJ975*0.15)),"(f) cannot be greater than 15% of unadjusted eligible basis.",0)))</f>
        <v>0</v>
      </c>
      <c r="C1039" s="1652"/>
      <c r="D1039" s="1652"/>
      <c r="E1039" s="1652"/>
      <c r="F1039" s="1652"/>
      <c r="G1039" s="1652"/>
      <c r="H1039" s="1652"/>
      <c r="I1039" s="1652"/>
      <c r="J1039" s="1652"/>
      <c r="K1039" s="1652"/>
      <c r="L1039" s="1652"/>
      <c r="M1039" s="1652"/>
      <c r="N1039" s="1652"/>
      <c r="O1039" s="1652"/>
      <c r="P1039" s="1652"/>
      <c r="Q1039" s="1652"/>
      <c r="R1039" s="1652"/>
      <c r="S1039" s="1652"/>
      <c r="T1039" s="1652"/>
      <c r="U1039" s="1652"/>
      <c r="V1039" s="1652"/>
      <c r="W1039" s="1652"/>
      <c r="X1039" s="1652"/>
      <c r="Y1039" s="1652"/>
      <c r="Z1039" s="1652"/>
      <c r="AA1039" s="1652"/>
      <c r="AB1039" s="1652"/>
      <c r="AC1039" s="1652"/>
      <c r="AD1039" s="1652"/>
      <c r="AE1039" s="1652"/>
      <c r="AF1039" s="1652"/>
      <c r="AG1039" s="1652"/>
      <c r="AH1039" s="1652"/>
      <c r="AI1039" s="1652"/>
      <c r="AJ1039" s="1652"/>
      <c r="AK1039" s="1652"/>
      <c r="AL1039" s="68"/>
      <c r="AM1039" s="68"/>
      <c r="AN1039" s="68"/>
      <c r="AO1039" s="68"/>
      <c r="AP1039" s="68"/>
      <c r="AQ1039" s="68"/>
      <c r="AR1039" s="68"/>
      <c r="AS1039" s="68"/>
      <c r="AT1039" s="68"/>
      <c r="AU1039" s="68"/>
      <c r="AV1039" s="68"/>
      <c r="AW1039" s="68"/>
      <c r="AX1039" s="68"/>
      <c r="AY1039" s="68"/>
    </row>
    <row r="1040" spans="1:51" ht="12.6" customHeight="1" thickBot="1">
      <c r="A1040" s="1686" t="s">
        <v>837</v>
      </c>
      <c r="B1040" s="1686"/>
      <c r="C1040" s="1686"/>
      <c r="D1040" s="1686"/>
      <c r="E1040" s="1686"/>
      <c r="F1040" s="1686"/>
      <c r="G1040" s="1686"/>
      <c r="H1040" s="1686"/>
      <c r="I1040" s="1686"/>
      <c r="J1040" s="1686"/>
      <c r="K1040" s="1686"/>
      <c r="L1040" s="1686"/>
      <c r="M1040" s="1686"/>
      <c r="N1040" s="1686"/>
      <c r="O1040" s="1686"/>
      <c r="P1040" s="1686"/>
      <c r="Q1040" s="1686"/>
      <c r="R1040" s="1686"/>
      <c r="S1040" s="1686"/>
      <c r="T1040" s="1686"/>
      <c r="U1040" s="1686"/>
      <c r="V1040" s="1686"/>
      <c r="W1040" s="1686"/>
      <c r="X1040" s="1686"/>
      <c r="Y1040" s="1686"/>
      <c r="Z1040" s="1686"/>
      <c r="AA1040" s="1686"/>
      <c r="AB1040" s="1686"/>
      <c r="AC1040" s="1686"/>
      <c r="AD1040" s="1686"/>
      <c r="AE1040" s="1686"/>
      <c r="AF1040" s="1686"/>
      <c r="AG1040" s="1686"/>
      <c r="AH1040" s="1686"/>
      <c r="AI1040" s="1686"/>
      <c r="AJ1040" s="1686"/>
      <c r="AK1040" s="1686"/>
      <c r="AL1040" s="1686"/>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9" t="s">
        <v>618</v>
      </c>
      <c r="B1044" s="1359"/>
      <c r="C1044" s="8">
        <v>1</v>
      </c>
      <c r="D1044" s="1246" t="s">
        <v>1192</v>
      </c>
      <c r="E1044" s="1246"/>
      <c r="F1044" s="1246"/>
      <c r="G1044" s="1246"/>
      <c r="H1044" s="1246"/>
      <c r="I1044" s="1246"/>
      <c r="J1044" s="1246"/>
      <c r="K1044" s="1246"/>
      <c r="L1044" s="1246"/>
      <c r="M1044" s="1246"/>
      <c r="N1044" s="1246"/>
      <c r="O1044" s="1246"/>
      <c r="P1044" s="1246"/>
      <c r="Q1044" s="1246"/>
      <c r="R1044" s="1246"/>
      <c r="S1044" s="1246"/>
      <c r="T1044" s="1246"/>
      <c r="U1044" s="1246"/>
      <c r="V1044" s="1246"/>
      <c r="W1044" s="1246"/>
      <c r="X1044" s="1246"/>
      <c r="Y1044" s="1246"/>
      <c r="Z1044" s="1246"/>
      <c r="AA1044" s="1246"/>
      <c r="AB1044" s="1246"/>
      <c r="AC1044" s="1246"/>
      <c r="AD1044" s="1246"/>
      <c r="AE1044" s="1246"/>
      <c r="AF1044" s="1246"/>
      <c r="AG1044" s="1246"/>
      <c r="AH1044" s="1246"/>
      <c r="AI1044" s="1246"/>
      <c r="AJ1044" s="1246"/>
      <c r="AK1044" s="1246"/>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6"/>
      <c r="E1045" s="1246"/>
      <c r="F1045" s="1246"/>
      <c r="G1045" s="1246"/>
      <c r="H1045" s="1246"/>
      <c r="I1045" s="1246"/>
      <c r="J1045" s="1246"/>
      <c r="K1045" s="1246"/>
      <c r="L1045" s="1246"/>
      <c r="M1045" s="1246"/>
      <c r="N1045" s="1246"/>
      <c r="O1045" s="1246"/>
      <c r="P1045" s="1246"/>
      <c r="Q1045" s="1246"/>
      <c r="R1045" s="1246"/>
      <c r="S1045" s="1246"/>
      <c r="T1045" s="1246"/>
      <c r="U1045" s="1246"/>
      <c r="V1045" s="1246"/>
      <c r="W1045" s="1246"/>
      <c r="X1045" s="1246"/>
      <c r="Y1045" s="1246"/>
      <c r="Z1045" s="1246"/>
      <c r="AA1045" s="1246"/>
      <c r="AB1045" s="1246"/>
      <c r="AC1045" s="1246"/>
      <c r="AD1045" s="1246"/>
      <c r="AE1045" s="1246"/>
      <c r="AF1045" s="1246"/>
      <c r="AG1045" s="1246"/>
      <c r="AH1045" s="1246"/>
      <c r="AI1045" s="1246"/>
      <c r="AJ1045" s="1246"/>
      <c r="AK1045" s="1246"/>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6"/>
      <c r="E1046" s="1246"/>
      <c r="F1046" s="1246"/>
      <c r="G1046" s="1246"/>
      <c r="H1046" s="1246"/>
      <c r="I1046" s="1246"/>
      <c r="J1046" s="1246"/>
      <c r="K1046" s="1246"/>
      <c r="L1046" s="1246"/>
      <c r="M1046" s="1246"/>
      <c r="N1046" s="1246"/>
      <c r="O1046" s="1246"/>
      <c r="P1046" s="1246"/>
      <c r="Q1046" s="1246"/>
      <c r="R1046" s="1246"/>
      <c r="S1046" s="1246"/>
      <c r="T1046" s="1246"/>
      <c r="U1046" s="1246"/>
      <c r="V1046" s="1246"/>
      <c r="W1046" s="1246"/>
      <c r="X1046" s="1246"/>
      <c r="Y1046" s="1246"/>
      <c r="Z1046" s="1246"/>
      <c r="AA1046" s="1246"/>
      <c r="AB1046" s="1246"/>
      <c r="AC1046" s="1246"/>
      <c r="AD1046" s="1246"/>
      <c r="AE1046" s="1246"/>
      <c r="AF1046" s="1246"/>
      <c r="AG1046" s="1246"/>
      <c r="AH1046" s="1246"/>
      <c r="AI1046" s="1246"/>
      <c r="AJ1046" s="1246"/>
      <c r="AK1046" s="1246"/>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6"/>
      <c r="E1047" s="1246"/>
      <c r="F1047" s="1246"/>
      <c r="G1047" s="1246"/>
      <c r="H1047" s="1246"/>
      <c r="I1047" s="1246"/>
      <c r="J1047" s="1246"/>
      <c r="K1047" s="1246"/>
      <c r="L1047" s="1246"/>
      <c r="M1047" s="1246"/>
      <c r="N1047" s="1246"/>
      <c r="O1047" s="1246"/>
      <c r="P1047" s="1246"/>
      <c r="Q1047" s="1246"/>
      <c r="R1047" s="1246"/>
      <c r="S1047" s="1246"/>
      <c r="T1047" s="1246"/>
      <c r="U1047" s="1246"/>
      <c r="V1047" s="1246"/>
      <c r="W1047" s="1246"/>
      <c r="X1047" s="1246"/>
      <c r="Y1047" s="1246"/>
      <c r="Z1047" s="1246"/>
      <c r="AA1047" s="1246"/>
      <c r="AB1047" s="1246"/>
      <c r="AC1047" s="1246"/>
      <c r="AD1047" s="1246"/>
      <c r="AE1047" s="1246"/>
      <c r="AF1047" s="1246"/>
      <c r="AG1047" s="1246"/>
      <c r="AH1047" s="1246"/>
      <c r="AI1047" s="1246"/>
      <c r="AJ1047" s="1246"/>
      <c r="AK1047" s="1246"/>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6"/>
      <c r="E1048" s="1246"/>
      <c r="F1048" s="1246"/>
      <c r="G1048" s="1246"/>
      <c r="H1048" s="1246"/>
      <c r="I1048" s="1246"/>
      <c r="J1048" s="1246"/>
      <c r="K1048" s="1246"/>
      <c r="L1048" s="1246"/>
      <c r="M1048" s="1246"/>
      <c r="N1048" s="1246"/>
      <c r="O1048" s="1246"/>
      <c r="P1048" s="1246"/>
      <c r="Q1048" s="1246"/>
      <c r="R1048" s="1246"/>
      <c r="S1048" s="1246"/>
      <c r="T1048" s="1246"/>
      <c r="U1048" s="1246"/>
      <c r="V1048" s="1246"/>
      <c r="W1048" s="1246"/>
      <c r="X1048" s="1246"/>
      <c r="Y1048" s="1246"/>
      <c r="Z1048" s="1246"/>
      <c r="AA1048" s="1246"/>
      <c r="AB1048" s="1246"/>
      <c r="AC1048" s="1246"/>
      <c r="AD1048" s="1246"/>
      <c r="AE1048" s="1246"/>
      <c r="AF1048" s="1246"/>
      <c r="AG1048" s="1246"/>
      <c r="AH1048" s="1246"/>
      <c r="AI1048" s="1246"/>
      <c r="AJ1048" s="1246"/>
      <c r="AK1048" s="1246"/>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6"/>
      <c r="E1049" s="1246"/>
      <c r="F1049" s="1246"/>
      <c r="G1049" s="1246"/>
      <c r="H1049" s="1246"/>
      <c r="I1049" s="1246"/>
      <c r="J1049" s="1246"/>
      <c r="K1049" s="1246"/>
      <c r="L1049" s="1246"/>
      <c r="M1049" s="1246"/>
      <c r="N1049" s="1246"/>
      <c r="O1049" s="1246"/>
      <c r="P1049" s="1246"/>
      <c r="Q1049" s="1246"/>
      <c r="R1049" s="1246"/>
      <c r="S1049" s="1246"/>
      <c r="T1049" s="1246"/>
      <c r="U1049" s="1246"/>
      <c r="V1049" s="1246"/>
      <c r="W1049" s="1246"/>
      <c r="X1049" s="1246"/>
      <c r="Y1049" s="1246"/>
      <c r="Z1049" s="1246"/>
      <c r="AA1049" s="1246"/>
      <c r="AB1049" s="1246"/>
      <c r="AC1049" s="1246"/>
      <c r="AD1049" s="1246"/>
      <c r="AE1049" s="1246"/>
      <c r="AF1049" s="1246"/>
      <c r="AG1049" s="1246"/>
      <c r="AH1049" s="1246"/>
      <c r="AI1049" s="1246"/>
      <c r="AJ1049" s="1246"/>
      <c r="AK1049" s="1246"/>
      <c r="AL1049" s="68"/>
      <c r="AM1049" s="68"/>
      <c r="AN1049" s="68"/>
      <c r="AO1049" s="68"/>
      <c r="AP1049" s="68"/>
      <c r="AQ1049" s="68"/>
      <c r="AR1049" s="68"/>
      <c r="AS1049" s="68"/>
      <c r="AT1049" s="68"/>
      <c r="AU1049" s="68"/>
      <c r="AV1049" s="68"/>
      <c r="AW1049" s="68"/>
      <c r="AX1049" s="68"/>
      <c r="AY1049" s="68"/>
    </row>
    <row r="1050" spans="1:51" ht="12.6" customHeight="1">
      <c r="A1050" s="1359" t="s">
        <v>618</v>
      </c>
      <c r="B1050" s="1359"/>
      <c r="C1050" s="8">
        <v>2</v>
      </c>
      <c r="D1050" s="1246" t="s">
        <v>1191</v>
      </c>
      <c r="E1050" s="1246"/>
      <c r="F1050" s="1246"/>
      <c r="G1050" s="1246"/>
      <c r="H1050" s="1246"/>
      <c r="I1050" s="1246"/>
      <c r="J1050" s="1246"/>
      <c r="K1050" s="1246"/>
      <c r="L1050" s="1246"/>
      <c r="M1050" s="1246"/>
      <c r="N1050" s="1246"/>
      <c r="O1050" s="1246"/>
      <c r="P1050" s="1246"/>
      <c r="Q1050" s="1246"/>
      <c r="R1050" s="1246"/>
      <c r="S1050" s="1246"/>
      <c r="T1050" s="1246"/>
      <c r="U1050" s="1246"/>
      <c r="V1050" s="1246"/>
      <c r="W1050" s="1246"/>
      <c r="X1050" s="1246"/>
      <c r="Y1050" s="1246"/>
      <c r="Z1050" s="1246"/>
      <c r="AA1050" s="1246"/>
      <c r="AB1050" s="1246"/>
      <c r="AC1050" s="1246"/>
      <c r="AD1050" s="1246"/>
      <c r="AE1050" s="1246"/>
      <c r="AF1050" s="1246"/>
      <c r="AG1050" s="1246"/>
      <c r="AH1050" s="1246"/>
      <c r="AI1050" s="1246"/>
      <c r="AJ1050" s="1246"/>
      <c r="AK1050" s="1246"/>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6"/>
      <c r="E1051" s="1246"/>
      <c r="F1051" s="1246"/>
      <c r="G1051" s="1246"/>
      <c r="H1051" s="1246"/>
      <c r="I1051" s="1246"/>
      <c r="J1051" s="1246"/>
      <c r="K1051" s="1246"/>
      <c r="L1051" s="1246"/>
      <c r="M1051" s="1246"/>
      <c r="N1051" s="1246"/>
      <c r="O1051" s="1246"/>
      <c r="P1051" s="1246"/>
      <c r="Q1051" s="1246"/>
      <c r="R1051" s="1246"/>
      <c r="S1051" s="1246"/>
      <c r="T1051" s="1246"/>
      <c r="U1051" s="1246"/>
      <c r="V1051" s="1246"/>
      <c r="W1051" s="1246"/>
      <c r="X1051" s="1246"/>
      <c r="Y1051" s="1246"/>
      <c r="Z1051" s="1246"/>
      <c r="AA1051" s="1246"/>
      <c r="AB1051" s="1246"/>
      <c r="AC1051" s="1246"/>
      <c r="AD1051" s="1246"/>
      <c r="AE1051" s="1246"/>
      <c r="AF1051" s="1246"/>
      <c r="AG1051" s="1246"/>
      <c r="AH1051" s="1246"/>
      <c r="AI1051" s="1246"/>
      <c r="AJ1051" s="1246"/>
      <c r="AK1051" s="1246"/>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6"/>
      <c r="E1052" s="1246"/>
      <c r="F1052" s="1246"/>
      <c r="G1052" s="1246"/>
      <c r="H1052" s="1246"/>
      <c r="I1052" s="1246"/>
      <c r="J1052" s="1246"/>
      <c r="K1052" s="1246"/>
      <c r="L1052" s="1246"/>
      <c r="M1052" s="1246"/>
      <c r="N1052" s="1246"/>
      <c r="O1052" s="1246"/>
      <c r="P1052" s="1246"/>
      <c r="Q1052" s="1246"/>
      <c r="R1052" s="1246"/>
      <c r="S1052" s="1246"/>
      <c r="T1052" s="1246"/>
      <c r="U1052" s="1246"/>
      <c r="V1052" s="1246"/>
      <c r="W1052" s="1246"/>
      <c r="X1052" s="1246"/>
      <c r="Y1052" s="1246"/>
      <c r="Z1052" s="1246"/>
      <c r="AA1052" s="1246"/>
      <c r="AB1052" s="1246"/>
      <c r="AC1052" s="1246"/>
      <c r="AD1052" s="1246"/>
      <c r="AE1052" s="1246"/>
      <c r="AF1052" s="1246"/>
      <c r="AG1052" s="1246"/>
      <c r="AH1052" s="1246"/>
      <c r="AI1052" s="1246"/>
      <c r="AJ1052" s="1246"/>
      <c r="AK1052" s="1246"/>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6"/>
      <c r="E1053" s="1246"/>
      <c r="F1053" s="1246"/>
      <c r="G1053" s="1246"/>
      <c r="H1053" s="1246"/>
      <c r="I1053" s="1246"/>
      <c r="J1053" s="1246"/>
      <c r="K1053" s="1246"/>
      <c r="L1053" s="1246"/>
      <c r="M1053" s="1246"/>
      <c r="N1053" s="1246"/>
      <c r="O1053" s="1246"/>
      <c r="P1053" s="1246"/>
      <c r="Q1053" s="1246"/>
      <c r="R1053" s="1246"/>
      <c r="S1053" s="1246"/>
      <c r="T1053" s="1246"/>
      <c r="U1053" s="1246"/>
      <c r="V1053" s="1246"/>
      <c r="W1053" s="1246"/>
      <c r="X1053" s="1246"/>
      <c r="Y1053" s="1246"/>
      <c r="Z1053" s="1246"/>
      <c r="AA1053" s="1246"/>
      <c r="AB1053" s="1246"/>
      <c r="AC1053" s="1246"/>
      <c r="AD1053" s="1246"/>
      <c r="AE1053" s="1246"/>
      <c r="AF1053" s="1246"/>
      <c r="AG1053" s="1246"/>
      <c r="AH1053" s="1246"/>
      <c r="AI1053" s="1246"/>
      <c r="AJ1053" s="1246"/>
      <c r="AK1053" s="1246"/>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6"/>
      <c r="E1054" s="1246"/>
      <c r="F1054" s="1246"/>
      <c r="G1054" s="1246"/>
      <c r="H1054" s="1246"/>
      <c r="I1054" s="1246"/>
      <c r="J1054" s="1246"/>
      <c r="K1054" s="1246"/>
      <c r="L1054" s="1246"/>
      <c r="M1054" s="1246"/>
      <c r="N1054" s="1246"/>
      <c r="O1054" s="1246"/>
      <c r="P1054" s="1246"/>
      <c r="Q1054" s="1246"/>
      <c r="R1054" s="1246"/>
      <c r="S1054" s="1246"/>
      <c r="T1054" s="1246"/>
      <c r="U1054" s="1246"/>
      <c r="V1054" s="1246"/>
      <c r="W1054" s="1246"/>
      <c r="X1054" s="1246"/>
      <c r="Y1054" s="1246"/>
      <c r="Z1054" s="1246"/>
      <c r="AA1054" s="1246"/>
      <c r="AB1054" s="1246"/>
      <c r="AC1054" s="1246"/>
      <c r="AD1054" s="1246"/>
      <c r="AE1054" s="1246"/>
      <c r="AF1054" s="1246"/>
      <c r="AG1054" s="1246"/>
      <c r="AH1054" s="1246"/>
      <c r="AI1054" s="1246"/>
      <c r="AJ1054" s="1246"/>
      <c r="AK1054" s="1246"/>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6"/>
      <c r="E1055" s="1246"/>
      <c r="F1055" s="1246"/>
      <c r="G1055" s="1246"/>
      <c r="H1055" s="1246"/>
      <c r="I1055" s="1246"/>
      <c r="J1055" s="1246"/>
      <c r="K1055" s="1246"/>
      <c r="L1055" s="1246"/>
      <c r="M1055" s="1246"/>
      <c r="N1055" s="1246"/>
      <c r="O1055" s="1246"/>
      <c r="P1055" s="1246"/>
      <c r="Q1055" s="1246"/>
      <c r="R1055" s="1246"/>
      <c r="S1055" s="1246"/>
      <c r="T1055" s="1246"/>
      <c r="U1055" s="1246"/>
      <c r="V1055" s="1246"/>
      <c r="W1055" s="1246"/>
      <c r="X1055" s="1246"/>
      <c r="Y1055" s="1246"/>
      <c r="Z1055" s="1246"/>
      <c r="AA1055" s="1246"/>
      <c r="AB1055" s="1246"/>
      <c r="AC1055" s="1246"/>
      <c r="AD1055" s="1246"/>
      <c r="AE1055" s="1246"/>
      <c r="AF1055" s="1246"/>
      <c r="AG1055" s="1246"/>
      <c r="AH1055" s="1246"/>
      <c r="AI1055" s="1246"/>
      <c r="AJ1055" s="1246"/>
      <c r="AK1055" s="1246"/>
    </row>
    <row r="1056" spans="1:51" ht="12.6" customHeight="1">
      <c r="A1056" s="1359" t="s">
        <v>618</v>
      </c>
      <c r="B1056" s="1359"/>
      <c r="C1056" s="8">
        <v>3</v>
      </c>
      <c r="D1056" s="1246" t="s">
        <v>1472</v>
      </c>
      <c r="E1056" s="1246"/>
      <c r="F1056" s="1246"/>
      <c r="G1056" s="1246"/>
      <c r="H1056" s="1246"/>
      <c r="I1056" s="1246"/>
      <c r="J1056" s="1246"/>
      <c r="K1056" s="1246"/>
      <c r="L1056" s="1246"/>
      <c r="M1056" s="1246"/>
      <c r="N1056" s="1246"/>
      <c r="O1056" s="1246"/>
      <c r="P1056" s="1246"/>
      <c r="Q1056" s="1246"/>
      <c r="R1056" s="1246"/>
      <c r="S1056" s="1246"/>
      <c r="T1056" s="1246"/>
      <c r="U1056" s="1246"/>
      <c r="V1056" s="1246"/>
      <c r="W1056" s="1246"/>
      <c r="X1056" s="1246"/>
      <c r="Y1056" s="1246"/>
      <c r="Z1056" s="1246"/>
      <c r="AA1056" s="1246"/>
      <c r="AB1056" s="1246"/>
      <c r="AC1056" s="1246"/>
      <c r="AD1056" s="1246"/>
      <c r="AE1056" s="1246"/>
      <c r="AF1056" s="1246"/>
      <c r="AG1056" s="1246"/>
      <c r="AH1056" s="1246"/>
      <c r="AI1056" s="1246"/>
      <c r="AJ1056" s="1246"/>
      <c r="AK1056" s="1246"/>
    </row>
    <row r="1057" spans="1:37" ht="12.6" customHeight="1">
      <c r="A1057" s="4"/>
      <c r="B1057" s="4"/>
      <c r="C1057" s="8"/>
      <c r="D1057" s="1246"/>
      <c r="E1057" s="1246"/>
      <c r="F1057" s="1246"/>
      <c r="G1057" s="1246"/>
      <c r="H1057" s="1246"/>
      <c r="I1057" s="1246"/>
      <c r="J1057" s="1246"/>
      <c r="K1057" s="1246"/>
      <c r="L1057" s="1246"/>
      <c r="M1057" s="1246"/>
      <c r="N1057" s="1246"/>
      <c r="O1057" s="1246"/>
      <c r="P1057" s="1246"/>
      <c r="Q1057" s="1246"/>
      <c r="R1057" s="1246"/>
      <c r="S1057" s="1246"/>
      <c r="T1057" s="1246"/>
      <c r="U1057" s="1246"/>
      <c r="V1057" s="1246"/>
      <c r="W1057" s="1246"/>
      <c r="X1057" s="1246"/>
      <c r="Y1057" s="1246"/>
      <c r="Z1057" s="1246"/>
      <c r="AA1057" s="1246"/>
      <c r="AB1057" s="1246"/>
      <c r="AC1057" s="1246"/>
      <c r="AD1057" s="1246"/>
      <c r="AE1057" s="1246"/>
      <c r="AF1057" s="1246"/>
      <c r="AG1057" s="1246"/>
      <c r="AH1057" s="1246"/>
      <c r="AI1057" s="1246"/>
      <c r="AJ1057" s="1246"/>
      <c r="AK1057" s="1246"/>
    </row>
    <row r="1058" spans="1:37" ht="12.6" customHeight="1">
      <c r="A1058" s="4"/>
      <c r="B1058" s="4"/>
      <c r="C1058" s="8"/>
      <c r="D1058" s="1246"/>
      <c r="E1058" s="1246"/>
      <c r="F1058" s="1246"/>
      <c r="G1058" s="1246"/>
      <c r="H1058" s="1246"/>
      <c r="I1058" s="1246"/>
      <c r="J1058" s="1246"/>
      <c r="K1058" s="1246"/>
      <c r="L1058" s="1246"/>
      <c r="M1058" s="1246"/>
      <c r="N1058" s="1246"/>
      <c r="O1058" s="1246"/>
      <c r="P1058" s="1246"/>
      <c r="Q1058" s="1246"/>
      <c r="R1058" s="1246"/>
      <c r="S1058" s="1246"/>
      <c r="T1058" s="1246"/>
      <c r="U1058" s="1246"/>
      <c r="V1058" s="1246"/>
      <c r="W1058" s="1246"/>
      <c r="X1058" s="1246"/>
      <c r="Y1058" s="1246"/>
      <c r="Z1058" s="1246"/>
      <c r="AA1058" s="1246"/>
      <c r="AB1058" s="1246"/>
      <c r="AC1058" s="1246"/>
      <c r="AD1058" s="1246"/>
      <c r="AE1058" s="1246"/>
      <c r="AF1058" s="1246"/>
      <c r="AG1058" s="1246"/>
      <c r="AH1058" s="1246"/>
      <c r="AI1058" s="1246"/>
      <c r="AJ1058" s="1246"/>
      <c r="AK1058" s="1246"/>
    </row>
    <row r="1059" spans="1:37" ht="12.6" customHeight="1">
      <c r="A1059" s="35"/>
      <c r="B1059" s="25"/>
      <c r="C1059" s="8"/>
      <c r="D1059" s="1246"/>
      <c r="E1059" s="1246"/>
      <c r="F1059" s="1246"/>
      <c r="G1059" s="1246"/>
      <c r="H1059" s="1246"/>
      <c r="I1059" s="1246"/>
      <c r="J1059" s="1246"/>
      <c r="K1059" s="1246"/>
      <c r="L1059" s="1246"/>
      <c r="M1059" s="1246"/>
      <c r="N1059" s="1246"/>
      <c r="O1059" s="1246"/>
      <c r="P1059" s="1246"/>
      <c r="Q1059" s="1246"/>
      <c r="R1059" s="1246"/>
      <c r="S1059" s="1246"/>
      <c r="T1059" s="1246"/>
      <c r="U1059" s="1246"/>
      <c r="V1059" s="1246"/>
      <c r="W1059" s="1246"/>
      <c r="X1059" s="1246"/>
      <c r="Y1059" s="1246"/>
      <c r="Z1059" s="1246"/>
      <c r="AA1059" s="1246"/>
      <c r="AB1059" s="1246"/>
      <c r="AC1059" s="1246"/>
      <c r="AD1059" s="1246"/>
      <c r="AE1059" s="1246"/>
      <c r="AF1059" s="1246"/>
      <c r="AG1059" s="1246"/>
      <c r="AH1059" s="1246"/>
      <c r="AI1059" s="1246"/>
      <c r="AJ1059" s="1246"/>
      <c r="AK1059" s="1246"/>
    </row>
    <row r="1060" spans="1:37" ht="12.6" customHeight="1">
      <c r="A1060" s="35"/>
      <c r="B1060" s="25"/>
      <c r="C1060" s="8"/>
      <c r="D1060" s="1246"/>
      <c r="E1060" s="1246"/>
      <c r="F1060" s="1246"/>
      <c r="G1060" s="1246"/>
      <c r="H1060" s="1246"/>
      <c r="I1060" s="1246"/>
      <c r="J1060" s="1246"/>
      <c r="K1060" s="1246"/>
      <c r="L1060" s="1246"/>
      <c r="M1060" s="1246"/>
      <c r="N1060" s="1246"/>
      <c r="O1060" s="1246"/>
      <c r="P1060" s="1246"/>
      <c r="Q1060" s="1246"/>
      <c r="R1060" s="1246"/>
      <c r="S1060" s="1246"/>
      <c r="T1060" s="1246"/>
      <c r="U1060" s="1246"/>
      <c r="V1060" s="1246"/>
      <c r="W1060" s="1246"/>
      <c r="X1060" s="1246"/>
      <c r="Y1060" s="1246"/>
      <c r="Z1060" s="1246"/>
      <c r="AA1060" s="1246"/>
      <c r="AB1060" s="1246"/>
      <c r="AC1060" s="1246"/>
      <c r="AD1060" s="1246"/>
      <c r="AE1060" s="1246"/>
      <c r="AF1060" s="1246"/>
      <c r="AG1060" s="1246"/>
      <c r="AH1060" s="1246"/>
      <c r="AI1060" s="1246"/>
      <c r="AJ1060" s="1246"/>
      <c r="AK1060" s="1246"/>
    </row>
    <row r="1061" spans="1:37" ht="12.6" customHeight="1">
      <c r="A1061" s="35"/>
      <c r="B1061" s="25"/>
      <c r="C1061" s="8"/>
      <c r="D1061" s="1246"/>
      <c r="E1061" s="1246"/>
      <c r="F1061" s="1246"/>
      <c r="G1061" s="1246"/>
      <c r="H1061" s="1246"/>
      <c r="I1061" s="1246"/>
      <c r="J1061" s="1246"/>
      <c r="K1061" s="1246"/>
      <c r="L1061" s="1246"/>
      <c r="M1061" s="1246"/>
      <c r="N1061" s="1246"/>
      <c r="O1061" s="1246"/>
      <c r="P1061" s="1246"/>
      <c r="Q1061" s="1246"/>
      <c r="R1061" s="1246"/>
      <c r="S1061" s="1246"/>
      <c r="T1061" s="1246"/>
      <c r="U1061" s="1246"/>
      <c r="V1061" s="1246"/>
      <c r="W1061" s="1246"/>
      <c r="X1061" s="1246"/>
      <c r="Y1061" s="1246"/>
      <c r="Z1061" s="1246"/>
      <c r="AA1061" s="1246"/>
      <c r="AB1061" s="1246"/>
      <c r="AC1061" s="1246"/>
      <c r="AD1061" s="1246"/>
      <c r="AE1061" s="1246"/>
      <c r="AF1061" s="1246"/>
      <c r="AG1061" s="1246"/>
      <c r="AH1061" s="1246"/>
      <c r="AI1061" s="1246"/>
      <c r="AJ1061" s="1246"/>
      <c r="AK1061" s="1246"/>
    </row>
    <row r="1062" spans="1:37" ht="12.6" customHeight="1">
      <c r="A1062" s="35"/>
      <c r="B1062" s="25"/>
      <c r="C1062" s="8"/>
      <c r="D1062" s="1246"/>
      <c r="E1062" s="1246"/>
      <c r="F1062" s="1246"/>
      <c r="G1062" s="1246"/>
      <c r="H1062" s="1246"/>
      <c r="I1062" s="1246"/>
      <c r="J1062" s="1246"/>
      <c r="K1062" s="1246"/>
      <c r="L1062" s="1246"/>
      <c r="M1062" s="1246"/>
      <c r="N1062" s="1246"/>
      <c r="O1062" s="1246"/>
      <c r="P1062" s="1246"/>
      <c r="Q1062" s="1246"/>
      <c r="R1062" s="1246"/>
      <c r="S1062" s="1246"/>
      <c r="T1062" s="1246"/>
      <c r="U1062" s="1246"/>
      <c r="V1062" s="1246"/>
      <c r="W1062" s="1246"/>
      <c r="X1062" s="1246"/>
      <c r="Y1062" s="1246"/>
      <c r="Z1062" s="1246"/>
      <c r="AA1062" s="1246"/>
      <c r="AB1062" s="1246"/>
      <c r="AC1062" s="1246"/>
      <c r="AD1062" s="1246"/>
      <c r="AE1062" s="1246"/>
      <c r="AF1062" s="1246"/>
      <c r="AG1062" s="1246"/>
      <c r="AH1062" s="1246"/>
      <c r="AI1062" s="1246"/>
      <c r="AJ1062" s="1246"/>
      <c r="AK1062" s="1246"/>
    </row>
    <row r="1063" spans="1:37" ht="12.6" customHeight="1">
      <c r="A1063" s="1359" t="s">
        <v>618</v>
      </c>
      <c r="B1063" s="1359"/>
      <c r="C1063" s="8">
        <v>4</v>
      </c>
      <c r="D1063" s="1246" t="s">
        <v>1177</v>
      </c>
      <c r="E1063" s="1246"/>
      <c r="F1063" s="1246"/>
      <c r="G1063" s="1246"/>
      <c r="H1063" s="1246"/>
      <c r="I1063" s="1246"/>
      <c r="J1063" s="1246"/>
      <c r="K1063" s="1246"/>
      <c r="L1063" s="1246"/>
      <c r="M1063" s="1246"/>
      <c r="N1063" s="1246"/>
      <c r="O1063" s="1246"/>
      <c r="P1063" s="1246"/>
      <c r="Q1063" s="1246"/>
      <c r="R1063" s="1246"/>
      <c r="S1063" s="1246"/>
      <c r="T1063" s="1246"/>
      <c r="U1063" s="1246"/>
      <c r="V1063" s="1246"/>
      <c r="W1063" s="1246"/>
      <c r="X1063" s="1246"/>
      <c r="Y1063" s="1246"/>
      <c r="Z1063" s="1246"/>
      <c r="AA1063" s="1246"/>
      <c r="AB1063" s="1246"/>
      <c r="AC1063" s="1246"/>
      <c r="AD1063" s="1246"/>
      <c r="AE1063" s="1246"/>
      <c r="AF1063" s="1246"/>
      <c r="AG1063" s="1246"/>
      <c r="AH1063" s="1246"/>
      <c r="AI1063" s="1246"/>
      <c r="AJ1063" s="1246"/>
      <c r="AK1063" s="1246"/>
    </row>
    <row r="1064" spans="1:37" ht="12.6" customHeight="1">
      <c r="A1064" s="1"/>
      <c r="B1064" s="1"/>
      <c r="C1064" s="8"/>
      <c r="D1064" s="1246"/>
      <c r="E1064" s="1246"/>
      <c r="F1064" s="1246"/>
      <c r="G1064" s="1246"/>
      <c r="H1064" s="1246"/>
      <c r="I1064" s="1246"/>
      <c r="J1064" s="1246"/>
      <c r="K1064" s="1246"/>
      <c r="L1064" s="1246"/>
      <c r="M1064" s="1246"/>
      <c r="N1064" s="1246"/>
      <c r="O1064" s="1246"/>
      <c r="P1064" s="1246"/>
      <c r="Q1064" s="1246"/>
      <c r="R1064" s="1246"/>
      <c r="S1064" s="1246"/>
      <c r="T1064" s="1246"/>
      <c r="U1064" s="1246"/>
      <c r="V1064" s="1246"/>
      <c r="W1064" s="1246"/>
      <c r="X1064" s="1246"/>
      <c r="Y1064" s="1246"/>
      <c r="Z1064" s="1246"/>
      <c r="AA1064" s="1246"/>
      <c r="AB1064" s="1246"/>
      <c r="AC1064" s="1246"/>
      <c r="AD1064" s="1246"/>
      <c r="AE1064" s="1246"/>
      <c r="AF1064" s="1246"/>
      <c r="AG1064" s="1246"/>
      <c r="AH1064" s="1246"/>
      <c r="AI1064" s="1246"/>
      <c r="AJ1064" s="1246"/>
      <c r="AK1064" s="1246"/>
    </row>
    <row r="1065" spans="1:37" ht="12.6" customHeight="1">
      <c r="A1065" s="35"/>
      <c r="B1065" s="25"/>
      <c r="C1065" s="8"/>
      <c r="D1065" s="1246"/>
      <c r="E1065" s="1246"/>
      <c r="F1065" s="1246"/>
      <c r="G1065" s="1246"/>
      <c r="H1065" s="1246"/>
      <c r="I1065" s="1246"/>
      <c r="J1065" s="1246"/>
      <c r="K1065" s="1246"/>
      <c r="L1065" s="1246"/>
      <c r="M1065" s="1246"/>
      <c r="N1065" s="1246"/>
      <c r="O1065" s="1246"/>
      <c r="P1065" s="1246"/>
      <c r="Q1065" s="1246"/>
      <c r="R1065" s="1246"/>
      <c r="S1065" s="1246"/>
      <c r="T1065" s="1246"/>
      <c r="U1065" s="1246"/>
      <c r="V1065" s="1246"/>
      <c r="W1065" s="1246"/>
      <c r="X1065" s="1246"/>
      <c r="Y1065" s="1246"/>
      <c r="Z1065" s="1246"/>
      <c r="AA1065" s="1246"/>
      <c r="AB1065" s="1246"/>
      <c r="AC1065" s="1246"/>
      <c r="AD1065" s="1246"/>
      <c r="AE1065" s="1246"/>
      <c r="AF1065" s="1246"/>
      <c r="AG1065" s="1246"/>
      <c r="AH1065" s="1246"/>
      <c r="AI1065" s="1246"/>
      <c r="AJ1065" s="1246"/>
      <c r="AK1065" s="1246"/>
    </row>
    <row r="1066" spans="1:37" ht="12.6" customHeight="1">
      <c r="A1066" s="1359" t="s">
        <v>618</v>
      </c>
      <c r="B1066" s="1359"/>
      <c r="C1066" s="8">
        <v>5</v>
      </c>
      <c r="D1066" s="1246" t="s">
        <v>1374</v>
      </c>
      <c r="E1066" s="1246"/>
      <c r="F1066" s="1246"/>
      <c r="G1066" s="1246"/>
      <c r="H1066" s="1246"/>
      <c r="I1066" s="1246"/>
      <c r="J1066" s="1246"/>
      <c r="K1066" s="1246"/>
      <c r="L1066" s="1246"/>
      <c r="M1066" s="1246"/>
      <c r="N1066" s="1246"/>
      <c r="O1066" s="1246"/>
      <c r="P1066" s="1246"/>
      <c r="Q1066" s="1246"/>
      <c r="R1066" s="1246"/>
      <c r="S1066" s="1246"/>
      <c r="T1066" s="1246"/>
      <c r="U1066" s="1246"/>
      <c r="V1066" s="1246"/>
      <c r="W1066" s="1246"/>
      <c r="X1066" s="1246"/>
      <c r="Y1066" s="1246"/>
      <c r="Z1066" s="1246"/>
      <c r="AA1066" s="1246"/>
      <c r="AB1066" s="1246"/>
      <c r="AC1066" s="1246"/>
      <c r="AD1066" s="1246"/>
      <c r="AE1066" s="1246"/>
      <c r="AF1066" s="1246"/>
      <c r="AG1066" s="1246"/>
      <c r="AH1066" s="1246"/>
      <c r="AI1066" s="1246"/>
      <c r="AJ1066" s="1246"/>
      <c r="AK1066" s="1246"/>
    </row>
    <row r="1067" spans="1:37" ht="12.6" customHeight="1">
      <c r="A1067" s="1"/>
      <c r="B1067" s="1"/>
      <c r="C1067" s="8"/>
      <c r="D1067" s="1246"/>
      <c r="E1067" s="1246"/>
      <c r="F1067" s="1246"/>
      <c r="G1067" s="1246"/>
      <c r="H1067" s="1246"/>
      <c r="I1067" s="1246"/>
      <c r="J1067" s="1246"/>
      <c r="K1067" s="1246"/>
      <c r="L1067" s="1246"/>
      <c r="M1067" s="1246"/>
      <c r="N1067" s="1246"/>
      <c r="O1067" s="1246"/>
      <c r="P1067" s="1246"/>
      <c r="Q1067" s="1246"/>
      <c r="R1067" s="1246"/>
      <c r="S1067" s="1246"/>
      <c r="T1067" s="1246"/>
      <c r="U1067" s="1246"/>
      <c r="V1067" s="1246"/>
      <c r="W1067" s="1246"/>
      <c r="X1067" s="1246"/>
      <c r="Y1067" s="1246"/>
      <c r="Z1067" s="1246"/>
      <c r="AA1067" s="1246"/>
      <c r="AB1067" s="1246"/>
      <c r="AC1067" s="1246"/>
      <c r="AD1067" s="1246"/>
      <c r="AE1067" s="1246"/>
      <c r="AF1067" s="1246"/>
      <c r="AG1067" s="1246"/>
      <c r="AH1067" s="1246"/>
      <c r="AI1067" s="1246"/>
      <c r="AJ1067" s="1246"/>
      <c r="AK1067" s="1246"/>
    </row>
    <row r="1068" spans="1:37" ht="12.6" customHeight="1">
      <c r="A1068" s="1"/>
      <c r="B1068" s="1"/>
      <c r="C1068" s="8"/>
      <c r="D1068" s="1246"/>
      <c r="E1068" s="1246"/>
      <c r="F1068" s="1246"/>
      <c r="G1068" s="1246"/>
      <c r="H1068" s="1246"/>
      <c r="I1068" s="1246"/>
      <c r="J1068" s="1246"/>
      <c r="K1068" s="1246"/>
      <c r="L1068" s="1246"/>
      <c r="M1068" s="1246"/>
      <c r="N1068" s="1246"/>
      <c r="O1068" s="1246"/>
      <c r="P1068" s="1246"/>
      <c r="Q1068" s="1246"/>
      <c r="R1068" s="1246"/>
      <c r="S1068" s="1246"/>
      <c r="T1068" s="1246"/>
      <c r="U1068" s="1246"/>
      <c r="V1068" s="1246"/>
      <c r="W1068" s="1246"/>
      <c r="X1068" s="1246"/>
      <c r="Y1068" s="1246"/>
      <c r="Z1068" s="1246"/>
      <c r="AA1068" s="1246"/>
      <c r="AB1068" s="1246"/>
      <c r="AC1068" s="1246"/>
      <c r="AD1068" s="1246"/>
      <c r="AE1068" s="1246"/>
      <c r="AF1068" s="1246"/>
      <c r="AG1068" s="1246"/>
      <c r="AH1068" s="1246"/>
      <c r="AI1068" s="1246"/>
      <c r="AJ1068" s="1246"/>
      <c r="AK1068" s="1246"/>
    </row>
    <row r="1069" spans="1:37" ht="12.6" customHeight="1">
      <c r="A1069" s="1"/>
      <c r="B1069" s="1"/>
      <c r="C1069" s="8"/>
      <c r="D1069" s="1246"/>
      <c r="E1069" s="1246"/>
      <c r="F1069" s="1246"/>
      <c r="G1069" s="1246"/>
      <c r="H1069" s="1246"/>
      <c r="I1069" s="1246"/>
      <c r="J1069" s="1246"/>
      <c r="K1069" s="1246"/>
      <c r="L1069" s="1246"/>
      <c r="M1069" s="1246"/>
      <c r="N1069" s="1246"/>
      <c r="O1069" s="1246"/>
      <c r="P1069" s="1246"/>
      <c r="Q1069" s="1246"/>
      <c r="R1069" s="1246"/>
      <c r="S1069" s="1246"/>
      <c r="T1069" s="1246"/>
      <c r="U1069" s="1246"/>
      <c r="V1069" s="1246"/>
      <c r="W1069" s="1246"/>
      <c r="X1069" s="1246"/>
      <c r="Y1069" s="1246"/>
      <c r="Z1069" s="1246"/>
      <c r="AA1069" s="1246"/>
      <c r="AB1069" s="1246"/>
      <c r="AC1069" s="1246"/>
      <c r="AD1069" s="1246"/>
      <c r="AE1069" s="1246"/>
      <c r="AF1069" s="1246"/>
      <c r="AG1069" s="1246"/>
      <c r="AH1069" s="1246"/>
      <c r="AI1069" s="1246"/>
      <c r="AJ1069" s="1246"/>
      <c r="AK1069" s="1246"/>
    </row>
    <row r="1070" spans="1:37" ht="12.6" customHeight="1">
      <c r="A1070" s="35"/>
      <c r="B1070" s="25"/>
      <c r="C1070" s="8"/>
      <c r="D1070" s="1246"/>
      <c r="E1070" s="1246"/>
      <c r="F1070" s="1246"/>
      <c r="G1070" s="1246"/>
      <c r="H1070" s="1246"/>
      <c r="I1070" s="1246"/>
      <c r="J1070" s="1246"/>
      <c r="K1070" s="1246"/>
      <c r="L1070" s="1246"/>
      <c r="M1070" s="1246"/>
      <c r="N1070" s="1246"/>
      <c r="O1070" s="1246"/>
      <c r="P1070" s="1246"/>
      <c r="Q1070" s="1246"/>
      <c r="R1070" s="1246"/>
      <c r="S1070" s="1246"/>
      <c r="T1070" s="1246"/>
      <c r="U1070" s="1246"/>
      <c r="V1070" s="1246"/>
      <c r="W1070" s="1246"/>
      <c r="X1070" s="1246"/>
      <c r="Y1070" s="1246"/>
      <c r="Z1070" s="1246"/>
      <c r="AA1070" s="1246"/>
      <c r="AB1070" s="1246"/>
      <c r="AC1070" s="1246"/>
      <c r="AD1070" s="1246"/>
      <c r="AE1070" s="1246"/>
      <c r="AF1070" s="1246"/>
      <c r="AG1070" s="1246"/>
      <c r="AH1070" s="1246"/>
      <c r="AI1070" s="1246"/>
      <c r="AJ1070" s="1246"/>
      <c r="AK1070" s="1246"/>
    </row>
    <row r="1071" spans="1:37" ht="12.6" customHeight="1">
      <c r="A1071" s="1359" t="s">
        <v>618</v>
      </c>
      <c r="B1071" s="1359"/>
      <c r="C1071" s="8">
        <v>6</v>
      </c>
      <c r="D1071" s="1246" t="s">
        <v>1178</v>
      </c>
      <c r="E1071" s="1246"/>
      <c r="F1071" s="1246"/>
      <c r="G1071" s="1246"/>
      <c r="H1071" s="1246"/>
      <c r="I1071" s="1246"/>
      <c r="J1071" s="1246"/>
      <c r="K1071" s="1246"/>
      <c r="L1071" s="1246"/>
      <c r="M1071" s="1246"/>
      <c r="N1071" s="1246"/>
      <c r="O1071" s="1246"/>
      <c r="P1071" s="1246"/>
      <c r="Q1071" s="1246"/>
      <c r="R1071" s="1246"/>
      <c r="S1071" s="1246"/>
      <c r="T1071" s="1246"/>
      <c r="U1071" s="1246"/>
      <c r="V1071" s="1246"/>
      <c r="W1071" s="1246"/>
      <c r="X1071" s="1246"/>
      <c r="Y1071" s="1246"/>
      <c r="Z1071" s="1246"/>
      <c r="AA1071" s="1246"/>
      <c r="AB1071" s="1246"/>
      <c r="AC1071" s="1246"/>
      <c r="AD1071" s="1246"/>
      <c r="AE1071" s="1246"/>
      <c r="AF1071" s="1246"/>
      <c r="AG1071" s="1246"/>
      <c r="AH1071" s="1246"/>
      <c r="AI1071" s="1246"/>
      <c r="AJ1071" s="1246"/>
      <c r="AK1071" s="1246"/>
    </row>
    <row r="1072" spans="1:37" ht="12.6" customHeight="1">
      <c r="A1072" s="35"/>
      <c r="B1072" s="25"/>
      <c r="C1072" s="8"/>
      <c r="D1072" s="1246"/>
      <c r="E1072" s="1246"/>
      <c r="F1072" s="1246"/>
      <c r="G1072" s="1246"/>
      <c r="H1072" s="1246"/>
      <c r="I1072" s="1246"/>
      <c r="J1072" s="1246"/>
      <c r="K1072" s="1246"/>
      <c r="L1072" s="1246"/>
      <c r="M1072" s="1246"/>
      <c r="N1072" s="1246"/>
      <c r="O1072" s="1246"/>
      <c r="P1072" s="1246"/>
      <c r="Q1072" s="1246"/>
      <c r="R1072" s="1246"/>
      <c r="S1072" s="1246"/>
      <c r="T1072" s="1246"/>
      <c r="U1072" s="1246"/>
      <c r="V1072" s="1246"/>
      <c r="W1072" s="1246"/>
      <c r="X1072" s="1246"/>
      <c r="Y1072" s="1246"/>
      <c r="Z1072" s="1246"/>
      <c r="AA1072" s="1246"/>
      <c r="AB1072" s="1246"/>
      <c r="AC1072" s="1246"/>
      <c r="AD1072" s="1246"/>
      <c r="AE1072" s="1246"/>
      <c r="AF1072" s="1246"/>
      <c r="AG1072" s="1246"/>
      <c r="AH1072" s="1246"/>
      <c r="AI1072" s="1246"/>
      <c r="AJ1072" s="1246"/>
      <c r="AK1072" s="1246"/>
    </row>
    <row r="1073" spans="1:37" ht="12.6" customHeight="1">
      <c r="A1073" s="35"/>
      <c r="B1073" s="25"/>
      <c r="C1073" s="8"/>
      <c r="D1073" s="1246"/>
      <c r="E1073" s="1246"/>
      <c r="F1073" s="1246"/>
      <c r="G1073" s="1246"/>
      <c r="H1073" s="1246"/>
      <c r="I1073" s="1246"/>
      <c r="J1073" s="1246"/>
      <c r="K1073" s="1246"/>
      <c r="L1073" s="1246"/>
      <c r="M1073" s="1246"/>
      <c r="N1073" s="1246"/>
      <c r="O1073" s="1246"/>
      <c r="P1073" s="1246"/>
      <c r="Q1073" s="1246"/>
      <c r="R1073" s="1246"/>
      <c r="S1073" s="1246"/>
      <c r="T1073" s="1246"/>
      <c r="U1073" s="1246"/>
      <c r="V1073" s="1246"/>
      <c r="W1073" s="1246"/>
      <c r="X1073" s="1246"/>
      <c r="Y1073" s="1246"/>
      <c r="Z1073" s="1246"/>
      <c r="AA1073" s="1246"/>
      <c r="AB1073" s="1246"/>
      <c r="AC1073" s="1246"/>
      <c r="AD1073" s="1246"/>
      <c r="AE1073" s="1246"/>
      <c r="AF1073" s="1246"/>
      <c r="AG1073" s="1246"/>
      <c r="AH1073" s="1246"/>
      <c r="AI1073" s="1246"/>
      <c r="AJ1073" s="1246"/>
      <c r="AK1073" s="1246"/>
    </row>
    <row r="1074" spans="1:37" ht="12.6" customHeight="1">
      <c r="A1074" s="1359" t="s">
        <v>618</v>
      </c>
      <c r="B1074" s="1359"/>
      <c r="C1074" s="213">
        <v>7</v>
      </c>
      <c r="D1074" s="1246" t="s">
        <v>1180</v>
      </c>
      <c r="E1074" s="1246"/>
      <c r="F1074" s="1246"/>
      <c r="G1074" s="1246"/>
      <c r="H1074" s="1246"/>
      <c r="I1074" s="1246"/>
      <c r="J1074" s="1246"/>
      <c r="K1074" s="1246"/>
      <c r="L1074" s="1246"/>
      <c r="M1074" s="1246"/>
      <c r="N1074" s="1246"/>
      <c r="O1074" s="1246"/>
      <c r="P1074" s="1246"/>
      <c r="Q1074" s="1246"/>
      <c r="R1074" s="1246"/>
      <c r="S1074" s="1246"/>
      <c r="T1074" s="1246"/>
      <c r="U1074" s="1246"/>
      <c r="V1074" s="1246"/>
      <c r="W1074" s="1246"/>
      <c r="X1074" s="1246"/>
      <c r="Y1074" s="1246"/>
      <c r="Z1074" s="1246"/>
      <c r="AA1074" s="1246"/>
      <c r="AB1074" s="1246"/>
      <c r="AC1074" s="1246"/>
      <c r="AD1074" s="1246"/>
      <c r="AE1074" s="1246"/>
      <c r="AF1074" s="1246"/>
      <c r="AG1074" s="1246"/>
      <c r="AH1074" s="1246"/>
      <c r="AI1074" s="1246"/>
      <c r="AJ1074" s="1246"/>
      <c r="AK1074" s="1246"/>
    </row>
    <row r="1075" spans="1:37" ht="12.6" customHeight="1">
      <c r="A1075" s="1"/>
      <c r="B1075" s="1"/>
      <c r="C1075" s="213"/>
      <c r="D1075" s="1246"/>
      <c r="E1075" s="1246"/>
      <c r="F1075" s="1246"/>
      <c r="G1075" s="1246"/>
      <c r="H1075" s="1246"/>
      <c r="I1075" s="1246"/>
      <c r="J1075" s="1246"/>
      <c r="K1075" s="1246"/>
      <c r="L1075" s="1246"/>
      <c r="M1075" s="1246"/>
      <c r="N1075" s="1246"/>
      <c r="O1075" s="1246"/>
      <c r="P1075" s="1246"/>
      <c r="Q1075" s="1246"/>
      <c r="R1075" s="1246"/>
      <c r="S1075" s="1246"/>
      <c r="T1075" s="1246"/>
      <c r="U1075" s="1246"/>
      <c r="V1075" s="1246"/>
      <c r="W1075" s="1246"/>
      <c r="X1075" s="1246"/>
      <c r="Y1075" s="1246"/>
      <c r="Z1075" s="1246"/>
      <c r="AA1075" s="1246"/>
      <c r="AB1075" s="1246"/>
      <c r="AC1075" s="1246"/>
      <c r="AD1075" s="1246"/>
      <c r="AE1075" s="1246"/>
      <c r="AF1075" s="1246"/>
      <c r="AG1075" s="1246"/>
      <c r="AH1075" s="1246"/>
      <c r="AI1075" s="1246"/>
      <c r="AJ1075" s="1246"/>
      <c r="AK1075" s="1246"/>
    </row>
    <row r="1076" spans="1:37" ht="12.6" customHeight="1">
      <c r="A1076" s="1"/>
      <c r="B1076" s="1"/>
      <c r="C1076" s="213"/>
      <c r="D1076" s="1246"/>
      <c r="E1076" s="1246"/>
      <c r="F1076" s="1246"/>
      <c r="G1076" s="1246"/>
      <c r="H1076" s="1246"/>
      <c r="I1076" s="1246"/>
      <c r="J1076" s="1246"/>
      <c r="K1076" s="1246"/>
      <c r="L1076" s="1246"/>
      <c r="M1076" s="1246"/>
      <c r="N1076" s="1246"/>
      <c r="O1076" s="1246"/>
      <c r="P1076" s="1246"/>
      <c r="Q1076" s="1246"/>
      <c r="R1076" s="1246"/>
      <c r="S1076" s="1246"/>
      <c r="T1076" s="1246"/>
      <c r="U1076" s="1246"/>
      <c r="V1076" s="1246"/>
      <c r="W1076" s="1246"/>
      <c r="X1076" s="1246"/>
      <c r="Y1076" s="1246"/>
      <c r="Z1076" s="1246"/>
      <c r="AA1076" s="1246"/>
      <c r="AB1076" s="1246"/>
      <c r="AC1076" s="1246"/>
      <c r="AD1076" s="1246"/>
      <c r="AE1076" s="1246"/>
      <c r="AF1076" s="1246"/>
      <c r="AG1076" s="1246"/>
      <c r="AH1076" s="1246"/>
      <c r="AI1076" s="1246"/>
      <c r="AJ1076" s="1246"/>
      <c r="AK1076" s="1246"/>
    </row>
    <row r="1077" spans="1:37" ht="12.6" customHeight="1">
      <c r="A1077" s="35"/>
      <c r="B1077" s="25"/>
      <c r="C1077" s="213"/>
      <c r="D1077" s="1246"/>
      <c r="E1077" s="1246"/>
      <c r="F1077" s="1246"/>
      <c r="G1077" s="1246"/>
      <c r="H1077" s="1246"/>
      <c r="I1077" s="1246"/>
      <c r="J1077" s="1246"/>
      <c r="K1077" s="1246"/>
      <c r="L1077" s="1246"/>
      <c r="M1077" s="1246"/>
      <c r="N1077" s="1246"/>
      <c r="O1077" s="1246"/>
      <c r="P1077" s="1246"/>
      <c r="Q1077" s="1246"/>
      <c r="R1077" s="1246"/>
      <c r="S1077" s="1246"/>
      <c r="T1077" s="1246"/>
      <c r="U1077" s="1246"/>
      <c r="V1077" s="1246"/>
      <c r="W1077" s="1246"/>
      <c r="X1077" s="1246"/>
      <c r="Y1077" s="1246"/>
      <c r="Z1077" s="1246"/>
      <c r="AA1077" s="1246"/>
      <c r="AB1077" s="1246"/>
      <c r="AC1077" s="1246"/>
      <c r="AD1077" s="1246"/>
      <c r="AE1077" s="1246"/>
      <c r="AF1077" s="1246"/>
      <c r="AG1077" s="1246"/>
      <c r="AH1077" s="1246"/>
      <c r="AI1077" s="1246"/>
      <c r="AJ1077" s="1246"/>
      <c r="AK1077" s="1246"/>
    </row>
    <row r="1078" spans="1:37" ht="12.6" customHeight="1">
      <c r="A1078" s="1359" t="s">
        <v>618</v>
      </c>
      <c r="B1078" s="1359"/>
      <c r="C1078" s="213">
        <v>8</v>
      </c>
      <c r="D1078" s="1306" t="s">
        <v>1996</v>
      </c>
      <c r="E1078" s="1306"/>
      <c r="F1078" s="1306"/>
      <c r="G1078" s="1306"/>
      <c r="H1078" s="1306"/>
      <c r="I1078" s="1306"/>
      <c r="J1078" s="1306"/>
      <c r="K1078" s="1306"/>
      <c r="L1078" s="1306"/>
      <c r="M1078" s="1306"/>
      <c r="N1078" s="1306"/>
      <c r="O1078" s="1306"/>
      <c r="P1078" s="1306"/>
      <c r="Q1078" s="1306"/>
      <c r="R1078" s="1306"/>
      <c r="S1078" s="1306"/>
      <c r="T1078" s="1306"/>
      <c r="U1078" s="1306"/>
      <c r="V1078" s="1306"/>
      <c r="W1078" s="1306"/>
      <c r="X1078" s="1306"/>
      <c r="Y1078" s="1306"/>
      <c r="Z1078" s="1306"/>
      <c r="AA1078" s="1306"/>
      <c r="AB1078" s="1306"/>
      <c r="AC1078" s="1306"/>
      <c r="AD1078" s="1306"/>
      <c r="AE1078" s="1306"/>
      <c r="AF1078" s="1306"/>
      <c r="AG1078" s="1306"/>
      <c r="AH1078" s="1306"/>
      <c r="AI1078" s="1306"/>
      <c r="AJ1078" s="1306"/>
      <c r="AK1078" s="1306"/>
    </row>
    <row r="1079" spans="1:37" ht="12.6" customHeight="1">
      <c r="A1079" s="1"/>
      <c r="B1079" s="1"/>
      <c r="C1079" s="213"/>
      <c r="D1079" s="1306"/>
      <c r="E1079" s="1306"/>
      <c r="F1079" s="1306"/>
      <c r="G1079" s="1306"/>
      <c r="H1079" s="1306"/>
      <c r="I1079" s="1306"/>
      <c r="J1079" s="1306"/>
      <c r="K1079" s="1306"/>
      <c r="L1079" s="1306"/>
      <c r="M1079" s="1306"/>
      <c r="N1079" s="1306"/>
      <c r="O1079" s="1306"/>
      <c r="P1079" s="1306"/>
      <c r="Q1079" s="1306"/>
      <c r="R1079" s="1306"/>
      <c r="S1079" s="1306"/>
      <c r="T1079" s="1306"/>
      <c r="U1079" s="1306"/>
      <c r="V1079" s="1306"/>
      <c r="W1079" s="1306"/>
      <c r="X1079" s="1306"/>
      <c r="Y1079" s="1306"/>
      <c r="Z1079" s="1306"/>
      <c r="AA1079" s="1306"/>
      <c r="AB1079" s="1306"/>
      <c r="AC1079" s="1306"/>
      <c r="AD1079" s="1306"/>
      <c r="AE1079" s="1306"/>
      <c r="AF1079" s="1306"/>
      <c r="AG1079" s="1306"/>
      <c r="AH1079" s="1306"/>
      <c r="AI1079" s="1306"/>
      <c r="AJ1079" s="1306"/>
      <c r="AK1079" s="1306"/>
    </row>
    <row r="1080" spans="1:37" ht="12.6" customHeight="1">
      <c r="A1080" s="1"/>
      <c r="B1080" s="1"/>
      <c r="C1080" s="213"/>
      <c r="D1080" s="1306"/>
      <c r="E1080" s="1306"/>
      <c r="F1080" s="1306"/>
      <c r="G1080" s="1306"/>
      <c r="H1080" s="1306"/>
      <c r="I1080" s="1306"/>
      <c r="J1080" s="1306"/>
      <c r="K1080" s="1306"/>
      <c r="L1080" s="1306"/>
      <c r="M1080" s="1306"/>
      <c r="N1080" s="1306"/>
      <c r="O1080" s="1306"/>
      <c r="P1080" s="1306"/>
      <c r="Q1080" s="1306"/>
      <c r="R1080" s="1306"/>
      <c r="S1080" s="1306"/>
      <c r="T1080" s="1306"/>
      <c r="U1080" s="1306"/>
      <c r="V1080" s="1306"/>
      <c r="W1080" s="1306"/>
      <c r="X1080" s="1306"/>
      <c r="Y1080" s="1306"/>
      <c r="Z1080" s="1306"/>
      <c r="AA1080" s="1306"/>
      <c r="AB1080" s="1306"/>
      <c r="AC1080" s="1306"/>
      <c r="AD1080" s="1306"/>
      <c r="AE1080" s="1306"/>
      <c r="AF1080" s="1306"/>
      <c r="AG1080" s="1306"/>
      <c r="AH1080" s="1306"/>
      <c r="AI1080" s="1306"/>
      <c r="AJ1080" s="1306"/>
      <c r="AK1080" s="1306"/>
    </row>
    <row r="1081" spans="1:37" ht="12" customHeight="1">
      <c r="A1081" s="35"/>
      <c r="B1081" s="25"/>
      <c r="C1081" s="213"/>
      <c r="D1081" s="1306"/>
      <c r="E1081" s="1306"/>
      <c r="F1081" s="1306"/>
      <c r="G1081" s="1306"/>
      <c r="H1081" s="1306"/>
      <c r="I1081" s="1306"/>
      <c r="J1081" s="1306"/>
      <c r="K1081" s="1306"/>
      <c r="L1081" s="1306"/>
      <c r="M1081" s="1306"/>
      <c r="N1081" s="1306"/>
      <c r="O1081" s="1306"/>
      <c r="P1081" s="1306"/>
      <c r="Q1081" s="1306"/>
      <c r="R1081" s="1306"/>
      <c r="S1081" s="1306"/>
      <c r="T1081" s="1306"/>
      <c r="U1081" s="1306"/>
      <c r="V1081" s="1306"/>
      <c r="W1081" s="1306"/>
      <c r="X1081" s="1306"/>
      <c r="Y1081" s="1306"/>
      <c r="Z1081" s="1306"/>
      <c r="AA1081" s="1306"/>
      <c r="AB1081" s="1306"/>
      <c r="AC1081" s="1306"/>
      <c r="AD1081" s="1306"/>
      <c r="AE1081" s="1306"/>
      <c r="AF1081" s="1306"/>
      <c r="AG1081" s="1306"/>
      <c r="AH1081" s="1306"/>
      <c r="AI1081" s="1306"/>
      <c r="AJ1081" s="1306"/>
      <c r="AK1081" s="1306"/>
    </row>
    <row r="1082" spans="1:37" ht="12.6" customHeight="1">
      <c r="A1082" s="1359" t="s">
        <v>618</v>
      </c>
      <c r="B1082" s="1359"/>
      <c r="C1082" s="213">
        <v>9</v>
      </c>
      <c r="D1082" s="1246" t="s">
        <v>1179</v>
      </c>
      <c r="E1082" s="1246"/>
      <c r="F1082" s="1246"/>
      <c r="G1082" s="1246"/>
      <c r="H1082" s="1246"/>
      <c r="I1082" s="1246"/>
      <c r="J1082" s="1246"/>
      <c r="K1082" s="1246"/>
      <c r="L1082" s="1246"/>
      <c r="M1082" s="1246"/>
      <c r="N1082" s="1246"/>
      <c r="O1082" s="1246"/>
      <c r="P1082" s="1246"/>
      <c r="Q1082" s="1246"/>
      <c r="R1082" s="1246"/>
      <c r="S1082" s="1246"/>
      <c r="T1082" s="1246"/>
      <c r="U1082" s="1246"/>
      <c r="V1082" s="1246"/>
      <c r="W1082" s="1246"/>
      <c r="X1082" s="1246"/>
      <c r="Y1082" s="1246"/>
      <c r="Z1082" s="1246"/>
      <c r="AA1082" s="1246"/>
      <c r="AB1082" s="1246"/>
      <c r="AC1082" s="1246"/>
      <c r="AD1082" s="1246"/>
      <c r="AE1082" s="1246"/>
      <c r="AF1082" s="1246"/>
      <c r="AG1082" s="1246"/>
      <c r="AH1082" s="1246"/>
      <c r="AI1082" s="1246"/>
      <c r="AJ1082" s="1246"/>
      <c r="AK1082" s="1246"/>
    </row>
    <row r="1083" spans="1:37" ht="15" customHeight="1">
      <c r="A1083" s="35"/>
      <c r="B1083" s="25"/>
      <c r="C1083" s="213"/>
      <c r="D1083" s="1246"/>
      <c r="E1083" s="1246"/>
      <c r="F1083" s="1246"/>
      <c r="G1083" s="1246"/>
      <c r="H1083" s="1246"/>
      <c r="I1083" s="1246"/>
      <c r="J1083" s="1246"/>
      <c r="K1083" s="1246"/>
      <c r="L1083" s="1246"/>
      <c r="M1083" s="1246"/>
      <c r="N1083" s="1246"/>
      <c r="O1083" s="1246"/>
      <c r="P1083" s="1246"/>
      <c r="Q1083" s="1246"/>
      <c r="R1083" s="1246"/>
      <c r="S1083" s="1246"/>
      <c r="T1083" s="1246"/>
      <c r="U1083" s="1246"/>
      <c r="V1083" s="1246"/>
      <c r="W1083" s="1246"/>
      <c r="X1083" s="1246"/>
      <c r="Y1083" s="1246"/>
      <c r="Z1083" s="1246"/>
      <c r="AA1083" s="1246"/>
      <c r="AB1083" s="1246"/>
      <c r="AC1083" s="1246"/>
      <c r="AD1083" s="1246"/>
      <c r="AE1083" s="1246"/>
      <c r="AF1083" s="1246"/>
      <c r="AG1083" s="1246"/>
      <c r="AH1083" s="1246"/>
      <c r="AI1083" s="1246"/>
      <c r="AJ1083" s="1246"/>
      <c r="AK1083" s="1246"/>
    </row>
    <row r="1084" spans="1:37" ht="15" customHeight="1">
      <c r="D1084" s="1246"/>
      <c r="E1084" s="1246"/>
      <c r="F1084" s="1246"/>
      <c r="G1084" s="1246"/>
      <c r="H1084" s="1246"/>
      <c r="I1084" s="1246"/>
      <c r="J1084" s="1246"/>
      <c r="K1084" s="1246"/>
      <c r="L1084" s="1246"/>
      <c r="M1084" s="1246"/>
      <c r="N1084" s="1246"/>
      <c r="O1084" s="1246"/>
      <c r="P1084" s="1246"/>
      <c r="Q1084" s="1246"/>
      <c r="R1084" s="1246"/>
      <c r="S1084" s="1246"/>
      <c r="T1084" s="1246"/>
      <c r="U1084" s="1246"/>
      <c r="V1084" s="1246"/>
      <c r="W1084" s="1246"/>
      <c r="X1084" s="1246"/>
      <c r="Y1084" s="1246"/>
      <c r="Z1084" s="1246"/>
      <c r="AA1084" s="1246"/>
      <c r="AB1084" s="1246"/>
      <c r="AC1084" s="1246"/>
      <c r="AD1084" s="1246"/>
      <c r="AE1084" s="1246"/>
      <c r="AF1084" s="1246"/>
      <c r="AG1084" s="1246"/>
      <c r="AH1084" s="1246"/>
      <c r="AI1084" s="1246"/>
      <c r="AJ1084" s="1246"/>
      <c r="AK1084" s="1246"/>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A256:AK256"/>
    <mergeCell ref="M248:T248"/>
    <mergeCell ref="W252:X252"/>
    <mergeCell ref="M250:AE250"/>
    <mergeCell ref="T189:AE189"/>
    <mergeCell ref="T194:U194"/>
    <mergeCell ref="I189:P189"/>
    <mergeCell ref="Y198:Z198"/>
    <mergeCell ref="AC233:AE233"/>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E187:AE188"/>
    <mergeCell ref="AH196:AI196"/>
    <mergeCell ref="AI228:AJ228"/>
    <mergeCell ref="M235:R235"/>
    <mergeCell ref="Z235:AE235"/>
    <mergeCell ref="AF250:AK250"/>
    <mergeCell ref="M243:AE243"/>
    <mergeCell ref="I190:N190"/>
    <mergeCell ref="M246:R246"/>
    <mergeCell ref="M244:T244"/>
    <mergeCell ref="D207:M207"/>
    <mergeCell ref="Z246:AE246"/>
    <mergeCell ref="T193:AI193"/>
    <mergeCell ref="D204:M204"/>
    <mergeCell ref="Y132:AK132"/>
    <mergeCell ref="R177:S177"/>
    <mergeCell ref="U235:W235"/>
    <mergeCell ref="M242:AE242"/>
    <mergeCell ref="I185:AE18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O122:R122"/>
    <mergeCell ref="AI178:AK178"/>
    <mergeCell ref="J174:Z174"/>
    <mergeCell ref="M233:T233"/>
    <mergeCell ref="W233:X233"/>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5"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13" zoomScaleNormal="100" zoomScaleSheetLayoutView="90" workbookViewId="0">
      <selection activeCell="M27" sqref="M27"/>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60" t="s">
        <v>648</v>
      </c>
      <c r="G1" s="1861"/>
      <c r="H1" s="1861"/>
      <c r="I1" s="1861"/>
      <c r="J1" s="1861"/>
      <c r="K1" s="1861"/>
      <c r="L1" s="1861"/>
      <c r="M1" s="1861"/>
      <c r="N1" s="1861"/>
      <c r="O1" s="1861"/>
      <c r="P1" s="1861"/>
      <c r="Q1" s="1861"/>
      <c r="R1" s="1862"/>
      <c r="S1" s="112"/>
      <c r="T1" s="111"/>
      <c r="U1" s="113"/>
    </row>
    <row r="2" spans="1:21" s="138" customFormat="1" ht="71.25" customHeight="1">
      <c r="A2" s="137"/>
      <c r="B2" s="138" t="s">
        <v>24</v>
      </c>
      <c r="C2" s="138" t="s">
        <v>389</v>
      </c>
      <c r="D2" s="138" t="s">
        <v>388</v>
      </c>
      <c r="E2" s="138" t="s">
        <v>25</v>
      </c>
      <c r="F2" s="139" t="str">
        <f>Application!B637&amp;Application!C637</f>
        <v>1)Pacific Western Bank Perm Loan</v>
      </c>
      <c r="G2" s="139" t="str">
        <f>Application!B638&amp;Application!C638</f>
        <v>2)City of Chico - CDBG-DR Funds</v>
      </c>
      <c r="H2" s="139" t="str">
        <f>Application!B639&amp;Application!C639</f>
        <v>3)Raymond James Solar Tax Credit Equity</v>
      </c>
      <c r="I2" s="139" t="str">
        <f>Application!B640&amp;Application!C640</f>
        <v>4)Developer Note</v>
      </c>
      <c r="J2" s="139" t="str">
        <f>Application!B641&amp;Application!C641</f>
        <v>5)Butte County - CDBG-DR Funds</v>
      </c>
      <c r="K2" s="139" t="str">
        <f>Application!B642&amp;Application!C642</f>
        <v>6)</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2700000</v>
      </c>
      <c r="C4" s="147">
        <v>2700000</v>
      </c>
      <c r="D4" s="147"/>
      <c r="E4" s="147">
        <f>+C4-SUM(F4:J4)</f>
        <v>2700000</v>
      </c>
      <c r="F4" s="147">
        <v>0</v>
      </c>
      <c r="G4" s="147"/>
      <c r="H4" s="147"/>
      <c r="I4" s="147"/>
      <c r="J4" s="147"/>
      <c r="K4" s="147"/>
      <c r="L4" s="147"/>
      <c r="M4" s="147"/>
      <c r="N4" s="147"/>
      <c r="O4" s="147"/>
      <c r="P4" s="147"/>
      <c r="Q4" s="147"/>
      <c r="R4" s="554">
        <f>SUM(E4:Q4)</f>
        <v>2700000</v>
      </c>
      <c r="S4" s="148"/>
      <c r="T4" s="148"/>
      <c r="U4" s="143"/>
    </row>
    <row r="5" spans="1:21" s="144" customFormat="1">
      <c r="A5" s="145" t="s">
        <v>29</v>
      </c>
      <c r="B5" s="146">
        <f>SUM(C5+D5)</f>
        <v>0</v>
      </c>
      <c r="C5" s="147">
        <v>0</v>
      </c>
      <c r="D5" s="147"/>
      <c r="E5" s="147">
        <v>0</v>
      </c>
      <c r="F5" s="147">
        <v>0</v>
      </c>
      <c r="G5" s="147"/>
      <c r="H5" s="147"/>
      <c r="I5" s="147"/>
      <c r="J5" s="147"/>
      <c r="K5" s="147"/>
      <c r="L5" s="147"/>
      <c r="M5" s="147"/>
      <c r="N5" s="147"/>
      <c r="O5" s="147"/>
      <c r="P5" s="147"/>
      <c r="Q5" s="147"/>
      <c r="R5" s="554">
        <f>SUM(E5:Q5)</f>
        <v>0</v>
      </c>
      <c r="S5" s="148"/>
      <c r="T5" s="148"/>
      <c r="U5" s="143"/>
    </row>
    <row r="6" spans="1:21" s="144" customFormat="1">
      <c r="A6" s="145" t="s">
        <v>30</v>
      </c>
      <c r="B6" s="146">
        <f>SUM(C6+D6)</f>
        <v>10000</v>
      </c>
      <c r="C6" s="147">
        <v>10000</v>
      </c>
      <c r="D6" s="147"/>
      <c r="E6" s="147">
        <f>+C6-SUM(F6:J6)</f>
        <v>10000</v>
      </c>
      <c r="F6" s="147">
        <v>0</v>
      </c>
      <c r="G6" s="147"/>
      <c r="H6" s="147"/>
      <c r="I6" s="147"/>
      <c r="J6" s="147"/>
      <c r="K6" s="147"/>
      <c r="L6" s="147"/>
      <c r="M6" s="147"/>
      <c r="N6" s="147"/>
      <c r="O6" s="147"/>
      <c r="P6" s="147"/>
      <c r="Q6" s="147"/>
      <c r="R6" s="554">
        <f>SUM(E6:Q6)</f>
        <v>10000</v>
      </c>
      <c r="S6" s="148"/>
      <c r="T6" s="148"/>
      <c r="U6" s="143"/>
    </row>
    <row r="7" spans="1:21" s="144" customFormat="1">
      <c r="A7" s="145" t="s">
        <v>102</v>
      </c>
      <c r="B7" s="146">
        <f>SUM(C7+D7)</f>
        <v>0</v>
      </c>
      <c r="C7" s="147">
        <v>0</v>
      </c>
      <c r="D7" s="147"/>
      <c r="E7" s="147">
        <v>0</v>
      </c>
      <c r="F7" s="147">
        <v>0</v>
      </c>
      <c r="G7" s="147"/>
      <c r="H7" s="147"/>
      <c r="I7" s="147"/>
      <c r="J7" s="147"/>
      <c r="K7" s="147"/>
      <c r="L7" s="147"/>
      <c r="M7" s="147"/>
      <c r="N7" s="147"/>
      <c r="O7" s="147"/>
      <c r="P7" s="147"/>
      <c r="Q7" s="147"/>
      <c r="R7" s="554">
        <f>SUM(E7:Q7)</f>
        <v>0</v>
      </c>
      <c r="S7" s="148"/>
      <c r="T7" s="148"/>
      <c r="U7" s="143"/>
    </row>
    <row r="8" spans="1:21" s="144" customFormat="1">
      <c r="A8" s="149" t="s">
        <v>620</v>
      </c>
      <c r="B8" s="146">
        <f>SUM(C8:D8)</f>
        <v>2710000</v>
      </c>
      <c r="C8" s="146">
        <f t="shared" ref="C8:Q8" si="0">SUM(C4:C7)</f>
        <v>2710000</v>
      </c>
      <c r="D8" s="146">
        <f t="shared" si="0"/>
        <v>0</v>
      </c>
      <c r="E8" s="146">
        <f t="shared" si="0"/>
        <v>2710000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2710000</v>
      </c>
      <c r="S8" s="148"/>
      <c r="T8" s="148"/>
      <c r="U8" s="143"/>
    </row>
    <row r="9" spans="1:21" s="144" customFormat="1">
      <c r="A9" s="145" t="s">
        <v>621</v>
      </c>
      <c r="B9" s="146">
        <f>SUM(C9+D9)</f>
        <v>0</v>
      </c>
      <c r="C9" s="147">
        <v>0</v>
      </c>
      <c r="D9" s="147"/>
      <c r="E9" s="147">
        <v>0</v>
      </c>
      <c r="F9" s="147">
        <v>0</v>
      </c>
      <c r="G9" s="147"/>
      <c r="H9" s="147"/>
      <c r="I9" s="147"/>
      <c r="J9" s="147"/>
      <c r="K9" s="147"/>
      <c r="L9" s="147"/>
      <c r="M9" s="147"/>
      <c r="N9" s="147"/>
      <c r="O9" s="147"/>
      <c r="P9" s="147"/>
      <c r="Q9" s="147"/>
      <c r="R9" s="554">
        <f>SUM(E9:Q9)</f>
        <v>0</v>
      </c>
      <c r="S9" s="148"/>
      <c r="T9" s="147"/>
      <c r="U9" s="143"/>
    </row>
    <row r="10" spans="1:21" s="144" customFormat="1">
      <c r="A10" s="145" t="s">
        <v>622</v>
      </c>
      <c r="B10" s="146">
        <f>SUM(C10+D10)</f>
        <v>0</v>
      </c>
      <c r="C10" s="147">
        <v>0</v>
      </c>
      <c r="D10" s="147"/>
      <c r="E10" s="147">
        <v>0</v>
      </c>
      <c r="F10" s="147">
        <v>0</v>
      </c>
      <c r="G10" s="147"/>
      <c r="H10" s="147"/>
      <c r="I10" s="147"/>
      <c r="J10" s="147"/>
      <c r="K10" s="147"/>
      <c r="L10" s="147"/>
      <c r="M10" s="147"/>
      <c r="N10" s="147"/>
      <c r="O10" s="147"/>
      <c r="P10" s="147"/>
      <c r="Q10" s="147"/>
      <c r="R10" s="554">
        <f>SUM(E10:Q10)</f>
        <v>0</v>
      </c>
      <c r="S10" s="147"/>
      <c r="T10" s="147"/>
      <c r="U10" s="143"/>
    </row>
    <row r="11" spans="1:21" s="144" customFormat="1">
      <c r="A11" s="149" t="s">
        <v>623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0</v>
      </c>
      <c r="S11" s="148"/>
      <c r="T11" s="150">
        <f>SUM(T9:T10)</f>
        <v>0</v>
      </c>
      <c r="U11" s="143"/>
    </row>
    <row r="12" spans="1:21" s="144" customFormat="1">
      <c r="A12" s="149" t="s">
        <v>89</v>
      </c>
      <c r="B12" s="146">
        <f t="shared" ref="B12:Q12" si="2">SUM(B8+B11)</f>
        <v>2710000</v>
      </c>
      <c r="C12" s="146">
        <f t="shared" si="2"/>
        <v>2710000</v>
      </c>
      <c r="D12" s="146">
        <f t="shared" si="2"/>
        <v>0</v>
      </c>
      <c r="E12" s="146">
        <f t="shared" si="2"/>
        <v>2710000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3">
        <f>SUM(R8+R11)</f>
        <v>2710000</v>
      </c>
      <c r="S12" s="148"/>
      <c r="T12" s="148"/>
      <c r="U12" s="143"/>
    </row>
    <row r="13" spans="1:21" s="144" customFormat="1">
      <c r="A13" s="311" t="s">
        <v>955</v>
      </c>
      <c r="B13" s="146">
        <f>SUM(C13+D13)</f>
        <v>0</v>
      </c>
      <c r="C13" s="147">
        <v>0</v>
      </c>
      <c r="D13" s="147"/>
      <c r="E13" s="147">
        <v>0</v>
      </c>
      <c r="F13" s="147">
        <v>0</v>
      </c>
      <c r="G13" s="147"/>
      <c r="H13" s="147"/>
      <c r="I13" s="147"/>
      <c r="J13" s="147"/>
      <c r="K13" s="147"/>
      <c r="L13" s="147"/>
      <c r="M13" s="147"/>
      <c r="N13" s="147"/>
      <c r="O13" s="147"/>
      <c r="P13" s="147"/>
      <c r="Q13" s="147"/>
      <c r="R13" s="554">
        <f>SUM(E13:Q13)</f>
        <v>0</v>
      </c>
      <c r="S13" s="147"/>
      <c r="T13" s="147"/>
      <c r="U13" s="143"/>
    </row>
    <row r="14" spans="1:21" s="144" customFormat="1" ht="24">
      <c r="A14" s="312" t="s">
        <v>1852</v>
      </c>
      <c r="B14" s="146">
        <f>SUM(C14+D14)</f>
        <v>0</v>
      </c>
      <c r="C14" s="147">
        <v>0</v>
      </c>
      <c r="D14" s="147"/>
      <c r="E14" s="147">
        <v>0</v>
      </c>
      <c r="F14" s="147">
        <v>0</v>
      </c>
      <c r="G14" s="147"/>
      <c r="H14" s="147"/>
      <c r="I14" s="147"/>
      <c r="J14" s="147"/>
      <c r="K14" s="147"/>
      <c r="L14" s="147"/>
      <c r="M14" s="147"/>
      <c r="N14" s="147"/>
      <c r="O14" s="147"/>
      <c r="P14" s="147"/>
      <c r="Q14" s="147"/>
      <c r="R14" s="554">
        <f>SUM(E14:Q14)</f>
        <v>0</v>
      </c>
      <c r="S14" s="147"/>
      <c r="T14" s="147"/>
      <c r="U14" s="143"/>
    </row>
    <row r="15" spans="1:21" s="144" customFormat="1">
      <c r="A15" s="312" t="s">
        <v>1325</v>
      </c>
      <c r="B15" s="146">
        <f>SUM(C15+D15)</f>
        <v>0</v>
      </c>
      <c r="C15" s="147">
        <v>0</v>
      </c>
      <c r="D15" s="147"/>
      <c r="E15" s="147">
        <v>0</v>
      </c>
      <c r="F15" s="147">
        <v>0</v>
      </c>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v>0</v>
      </c>
      <c r="D17" s="147"/>
      <c r="E17" s="147">
        <v>0</v>
      </c>
      <c r="F17" s="147">
        <v>0</v>
      </c>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0</v>
      </c>
      <c r="C18" s="147">
        <v>0</v>
      </c>
      <c r="D18" s="147"/>
      <c r="E18" s="147">
        <v>0</v>
      </c>
      <c r="F18" s="147">
        <v>0</v>
      </c>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3"/>
        <v>0</v>
      </c>
      <c r="C19" s="147">
        <v>0</v>
      </c>
      <c r="D19" s="147"/>
      <c r="E19" s="147">
        <v>0</v>
      </c>
      <c r="F19" s="147">
        <v>0</v>
      </c>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v>0</v>
      </c>
      <c r="D20" s="147"/>
      <c r="E20" s="147">
        <v>0</v>
      </c>
      <c r="F20" s="147">
        <v>0</v>
      </c>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v>0</v>
      </c>
      <c r="D21" s="147"/>
      <c r="E21" s="147">
        <v>0</v>
      </c>
      <c r="F21" s="147">
        <v>0</v>
      </c>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v>0</v>
      </c>
      <c r="D22" s="147"/>
      <c r="E22" s="147">
        <v>0</v>
      </c>
      <c r="F22" s="147">
        <v>0</v>
      </c>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v>0</v>
      </c>
      <c r="D23" s="147"/>
      <c r="E23" s="147">
        <v>0</v>
      </c>
      <c r="F23" s="147">
        <v>0</v>
      </c>
      <c r="G23" s="147"/>
      <c r="H23" s="147"/>
      <c r="I23" s="147"/>
      <c r="J23" s="147"/>
      <c r="K23" s="147"/>
      <c r="L23" s="147"/>
      <c r="M23" s="147"/>
      <c r="N23" s="147"/>
      <c r="O23" s="147"/>
      <c r="P23" s="147"/>
      <c r="Q23" s="147"/>
      <c r="R23" s="554">
        <f t="shared" si="4"/>
        <v>0</v>
      </c>
      <c r="S23" s="147"/>
      <c r="T23" s="147"/>
      <c r="U23" s="143"/>
    </row>
    <row r="24" spans="1:21" s="144" customFormat="1">
      <c r="A24" s="546" t="s">
        <v>1849</v>
      </c>
      <c r="B24" s="146">
        <f t="shared" si="3"/>
        <v>0</v>
      </c>
      <c r="C24" s="147">
        <v>0</v>
      </c>
      <c r="D24" s="147"/>
      <c r="E24" s="147">
        <v>0</v>
      </c>
      <c r="F24" s="147">
        <v>0</v>
      </c>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v>0</v>
      </c>
      <c r="D25" s="147"/>
      <c r="E25" s="147">
        <v>0</v>
      </c>
      <c r="F25" s="147">
        <v>0</v>
      </c>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v>0</v>
      </c>
      <c r="D27" s="147"/>
      <c r="E27" s="147">
        <v>0</v>
      </c>
      <c r="F27" s="147">
        <v>0</v>
      </c>
      <c r="G27" s="147"/>
      <c r="H27" s="147"/>
      <c r="I27" s="147"/>
      <c r="J27" s="147"/>
      <c r="K27" s="147"/>
      <c r="L27" s="147"/>
      <c r="M27" s="147"/>
      <c r="N27" s="147"/>
      <c r="O27" s="147"/>
      <c r="P27" s="147"/>
      <c r="Q27" s="147"/>
      <c r="R27" s="554">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4143063</v>
      </c>
      <c r="C29" s="147">
        <v>4143063</v>
      </c>
      <c r="D29" s="147"/>
      <c r="E29" s="147">
        <f t="shared" ref="E29:E37" si="7">+C29-SUM(F29:J29)</f>
        <v>4143063</v>
      </c>
      <c r="F29" s="147">
        <v>0</v>
      </c>
      <c r="G29" s="147"/>
      <c r="H29" s="147"/>
      <c r="I29" s="147"/>
      <c r="J29" s="147"/>
      <c r="K29" s="147"/>
      <c r="L29" s="147"/>
      <c r="M29" s="147"/>
      <c r="N29" s="147"/>
      <c r="O29" s="147"/>
      <c r="P29" s="147"/>
      <c r="Q29" s="147"/>
      <c r="R29" s="554">
        <f t="shared" ref="R29:R37" si="8">SUM(E29:Q29)</f>
        <v>4143063</v>
      </c>
      <c r="S29" s="147">
        <f>+R29</f>
        <v>4143063</v>
      </c>
      <c r="T29" s="147"/>
      <c r="U29" s="143"/>
    </row>
    <row r="30" spans="1:21" s="144" customFormat="1">
      <c r="A30" s="145" t="s">
        <v>626</v>
      </c>
      <c r="B30" s="146">
        <f t="shared" si="6"/>
        <v>21586805</v>
      </c>
      <c r="C30" s="147">
        <v>21586805</v>
      </c>
      <c r="D30" s="147"/>
      <c r="E30" s="147">
        <f t="shared" si="7"/>
        <v>1763467</v>
      </c>
      <c r="F30" s="147">
        <v>3601874</v>
      </c>
      <c r="G30" s="147">
        <v>10720918</v>
      </c>
      <c r="H30" s="147">
        <v>291455</v>
      </c>
      <c r="I30" s="147"/>
      <c r="J30" s="147">
        <v>5209091</v>
      </c>
      <c r="K30" s="147"/>
      <c r="L30" s="147"/>
      <c r="M30" s="147"/>
      <c r="N30" s="147"/>
      <c r="O30" s="147"/>
      <c r="P30" s="147"/>
      <c r="Q30" s="147"/>
      <c r="R30" s="554">
        <f t="shared" si="8"/>
        <v>21586805</v>
      </c>
      <c r="S30" s="147">
        <f t="shared" ref="S30:S33" si="9">+R30</f>
        <v>21586805</v>
      </c>
      <c r="T30" s="147"/>
      <c r="U30" s="143"/>
    </row>
    <row r="31" spans="1:21" s="144" customFormat="1">
      <c r="A31" s="145" t="s">
        <v>627</v>
      </c>
      <c r="B31" s="146">
        <f t="shared" si="6"/>
        <v>1543792</v>
      </c>
      <c r="C31" s="147">
        <v>1543792</v>
      </c>
      <c r="D31" s="147"/>
      <c r="E31" s="147">
        <f t="shared" si="7"/>
        <v>1543792</v>
      </c>
      <c r="F31" s="147">
        <v>0</v>
      </c>
      <c r="G31" s="147"/>
      <c r="H31" s="147"/>
      <c r="I31" s="147"/>
      <c r="J31" s="147"/>
      <c r="K31" s="147"/>
      <c r="L31" s="147"/>
      <c r="M31" s="147"/>
      <c r="N31" s="147"/>
      <c r="O31" s="147"/>
      <c r="P31" s="147"/>
      <c r="Q31" s="147"/>
      <c r="R31" s="554">
        <f t="shared" si="8"/>
        <v>1543792</v>
      </c>
      <c r="S31" s="147">
        <f t="shared" si="9"/>
        <v>1543792</v>
      </c>
      <c r="T31" s="147"/>
      <c r="U31" s="143"/>
    </row>
    <row r="32" spans="1:21" s="144" customFormat="1">
      <c r="A32" s="145" t="s">
        <v>142</v>
      </c>
      <c r="B32" s="146">
        <f t="shared" si="6"/>
        <v>545473</v>
      </c>
      <c r="C32" s="147">
        <v>545473</v>
      </c>
      <c r="D32" s="147"/>
      <c r="E32" s="147">
        <f t="shared" si="7"/>
        <v>545473</v>
      </c>
      <c r="F32" s="147">
        <v>0</v>
      </c>
      <c r="G32" s="147"/>
      <c r="H32" s="147"/>
      <c r="I32" s="147"/>
      <c r="J32" s="147"/>
      <c r="K32" s="147"/>
      <c r="L32" s="147"/>
      <c r="M32" s="147"/>
      <c r="N32" s="147"/>
      <c r="O32" s="147"/>
      <c r="P32" s="147"/>
      <c r="Q32" s="147"/>
      <c r="R32" s="554">
        <f t="shared" si="8"/>
        <v>545473</v>
      </c>
      <c r="S32" s="147">
        <f t="shared" si="9"/>
        <v>545473</v>
      </c>
      <c r="T32" s="147"/>
      <c r="U32" s="143"/>
    </row>
    <row r="33" spans="1:21" s="144" customFormat="1">
      <c r="A33" s="145" t="s">
        <v>143</v>
      </c>
      <c r="B33" s="146">
        <f t="shared" si="6"/>
        <v>1636420</v>
      </c>
      <c r="C33" s="147">
        <v>1636420</v>
      </c>
      <c r="D33" s="147"/>
      <c r="E33" s="147">
        <f t="shared" si="7"/>
        <v>1636420</v>
      </c>
      <c r="F33" s="147">
        <v>0</v>
      </c>
      <c r="G33" s="147"/>
      <c r="H33" s="147"/>
      <c r="I33" s="147"/>
      <c r="J33" s="147"/>
      <c r="K33" s="147"/>
      <c r="L33" s="147"/>
      <c r="M33" s="147"/>
      <c r="N33" s="147"/>
      <c r="O33" s="147"/>
      <c r="P33" s="147"/>
      <c r="Q33" s="147"/>
      <c r="R33" s="554">
        <f t="shared" si="8"/>
        <v>1636420</v>
      </c>
      <c r="S33" s="147">
        <f t="shared" si="9"/>
        <v>1636420</v>
      </c>
      <c r="T33" s="147"/>
      <c r="U33" s="143"/>
    </row>
    <row r="34" spans="1:21" s="144" customFormat="1">
      <c r="A34" s="145" t="s">
        <v>144</v>
      </c>
      <c r="B34" s="146">
        <f t="shared" si="6"/>
        <v>3000000</v>
      </c>
      <c r="C34" s="147">
        <v>3000000</v>
      </c>
      <c r="D34" s="147"/>
      <c r="E34" s="147">
        <f t="shared" si="7"/>
        <v>3000000</v>
      </c>
      <c r="F34" s="147">
        <v>0</v>
      </c>
      <c r="G34" s="147"/>
      <c r="H34" s="147"/>
      <c r="I34" s="147"/>
      <c r="J34" s="147"/>
      <c r="K34" s="147"/>
      <c r="L34" s="147"/>
      <c r="M34" s="147"/>
      <c r="N34" s="147"/>
      <c r="O34" s="147"/>
      <c r="P34" s="147"/>
      <c r="Q34" s="147"/>
      <c r="R34" s="554">
        <f t="shared" si="8"/>
        <v>3000000</v>
      </c>
      <c r="S34" s="147">
        <f>+R34</f>
        <v>3000000</v>
      </c>
      <c r="T34" s="147"/>
      <c r="U34" s="143"/>
    </row>
    <row r="35" spans="1:21" s="144" customFormat="1">
      <c r="A35" s="145" t="s">
        <v>145</v>
      </c>
      <c r="B35" s="146">
        <f t="shared" si="6"/>
        <v>377031</v>
      </c>
      <c r="C35" s="147">
        <v>377031</v>
      </c>
      <c r="D35" s="147"/>
      <c r="E35" s="147">
        <f t="shared" si="7"/>
        <v>377031</v>
      </c>
      <c r="F35" s="147">
        <v>0</v>
      </c>
      <c r="G35" s="147"/>
      <c r="H35" s="147"/>
      <c r="I35" s="147"/>
      <c r="J35" s="147"/>
      <c r="K35" s="147"/>
      <c r="L35" s="147"/>
      <c r="M35" s="147"/>
      <c r="N35" s="147"/>
      <c r="O35" s="147"/>
      <c r="P35" s="147"/>
      <c r="Q35" s="147"/>
      <c r="R35" s="554">
        <f t="shared" si="8"/>
        <v>377031</v>
      </c>
      <c r="S35" s="147">
        <f>+R35</f>
        <v>377031</v>
      </c>
      <c r="T35" s="147"/>
      <c r="U35" s="143"/>
    </row>
    <row r="36" spans="1:21" s="144" customFormat="1">
      <c r="A36" s="306" t="s">
        <v>1849</v>
      </c>
      <c r="B36" s="146">
        <f t="shared" si="6"/>
        <v>0</v>
      </c>
      <c r="C36" s="147">
        <v>0</v>
      </c>
      <c r="D36" s="147"/>
      <c r="E36" s="147">
        <f t="shared" si="7"/>
        <v>0</v>
      </c>
      <c r="F36" s="147">
        <v>0</v>
      </c>
      <c r="G36" s="147"/>
      <c r="H36" s="147"/>
      <c r="I36" s="147"/>
      <c r="J36" s="147"/>
      <c r="K36" s="147"/>
      <c r="L36" s="147"/>
      <c r="M36" s="147"/>
      <c r="N36" s="147"/>
      <c r="O36" s="147"/>
      <c r="P36" s="147"/>
      <c r="Q36" s="147"/>
      <c r="R36" s="554">
        <f t="shared" si="8"/>
        <v>0</v>
      </c>
      <c r="S36" s="147"/>
      <c r="T36" s="147"/>
      <c r="U36" s="143"/>
    </row>
    <row r="37" spans="1:21" s="144" customFormat="1">
      <c r="A37" s="1240" t="s">
        <v>2706</v>
      </c>
      <c r="B37" s="146">
        <f t="shared" si="6"/>
        <v>300000</v>
      </c>
      <c r="C37" s="147">
        <v>300000</v>
      </c>
      <c r="D37" s="147"/>
      <c r="E37" s="147">
        <f t="shared" si="7"/>
        <v>300000</v>
      </c>
      <c r="F37" s="147">
        <v>0</v>
      </c>
      <c r="G37" s="147"/>
      <c r="H37" s="147"/>
      <c r="I37" s="147"/>
      <c r="J37" s="147"/>
      <c r="K37" s="147"/>
      <c r="L37" s="147"/>
      <c r="M37" s="147"/>
      <c r="N37" s="147"/>
      <c r="O37" s="147"/>
      <c r="P37" s="147"/>
      <c r="Q37" s="147"/>
      <c r="R37" s="554">
        <f t="shared" si="8"/>
        <v>300000</v>
      </c>
      <c r="S37" s="147">
        <f>+R37</f>
        <v>300000</v>
      </c>
      <c r="T37" s="147"/>
      <c r="U37" s="143"/>
    </row>
    <row r="38" spans="1:21" s="144" customFormat="1">
      <c r="A38" s="149" t="s">
        <v>148</v>
      </c>
      <c r="B38" s="146">
        <f t="shared" si="6"/>
        <v>33132584</v>
      </c>
      <c r="C38" s="146">
        <f>SUM(C29:C37)</f>
        <v>33132584</v>
      </c>
      <c r="D38" s="146">
        <f t="shared" ref="D38:Q38" si="10">SUM(D29:D37)</f>
        <v>0</v>
      </c>
      <c r="E38" s="146">
        <f t="shared" si="10"/>
        <v>13309246</v>
      </c>
      <c r="F38" s="146">
        <f t="shared" si="10"/>
        <v>3601874</v>
      </c>
      <c r="G38" s="146">
        <f t="shared" si="10"/>
        <v>10720918</v>
      </c>
      <c r="H38" s="146">
        <f t="shared" si="10"/>
        <v>291455</v>
      </c>
      <c r="I38" s="146">
        <f t="shared" si="10"/>
        <v>0</v>
      </c>
      <c r="J38" s="146">
        <f t="shared" si="10"/>
        <v>5209091</v>
      </c>
      <c r="K38" s="146">
        <f t="shared" si="10"/>
        <v>0</v>
      </c>
      <c r="L38" s="146">
        <f t="shared" si="10"/>
        <v>0</v>
      </c>
      <c r="M38" s="146">
        <f t="shared" si="10"/>
        <v>0</v>
      </c>
      <c r="N38" s="146">
        <f t="shared" si="10"/>
        <v>0</v>
      </c>
      <c r="O38" s="146">
        <f t="shared" si="10"/>
        <v>0</v>
      </c>
      <c r="P38" s="146">
        <f t="shared" si="10"/>
        <v>0</v>
      </c>
      <c r="Q38" s="146">
        <f t="shared" si="10"/>
        <v>0</v>
      </c>
      <c r="R38" s="373">
        <f>SUM(R29:R37)</f>
        <v>33132584</v>
      </c>
      <c r="S38" s="150">
        <f>SUM(S29:S37)</f>
        <v>33132584</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589111</v>
      </c>
      <c r="C40" s="147">
        <v>589111</v>
      </c>
      <c r="D40" s="147"/>
      <c r="E40" s="147">
        <f>+C40-SUM(F40:J40)</f>
        <v>589111</v>
      </c>
      <c r="F40" s="147">
        <v>0</v>
      </c>
      <c r="G40" s="147"/>
      <c r="H40" s="147"/>
      <c r="I40" s="147"/>
      <c r="J40" s="147"/>
      <c r="K40" s="147"/>
      <c r="L40" s="147"/>
      <c r="M40" s="147"/>
      <c r="N40" s="147"/>
      <c r="O40" s="147"/>
      <c r="P40" s="147"/>
      <c r="Q40" s="147"/>
      <c r="R40" s="554">
        <f>SUM(E40:Q40)</f>
        <v>589111</v>
      </c>
      <c r="S40" s="147">
        <f t="shared" ref="S40:S41" si="11">+R40</f>
        <v>589111</v>
      </c>
      <c r="T40" s="147"/>
      <c r="U40" s="143"/>
    </row>
    <row r="41" spans="1:21" s="144" customFormat="1">
      <c r="A41" s="145" t="s">
        <v>151</v>
      </c>
      <c r="B41" s="146">
        <f>SUM(C41+D41)</f>
        <v>324556</v>
      </c>
      <c r="C41" s="147">
        <v>324556</v>
      </c>
      <c r="D41" s="147"/>
      <c r="E41" s="147">
        <f>+C41-SUM(F41:J41)</f>
        <v>324556</v>
      </c>
      <c r="F41" s="147">
        <v>0</v>
      </c>
      <c r="G41" s="147"/>
      <c r="H41" s="147"/>
      <c r="I41" s="147"/>
      <c r="J41" s="147"/>
      <c r="K41" s="147"/>
      <c r="L41" s="147"/>
      <c r="M41" s="147"/>
      <c r="N41" s="147"/>
      <c r="O41" s="147"/>
      <c r="P41" s="147"/>
      <c r="Q41" s="147"/>
      <c r="R41" s="554">
        <f>SUM(E41:Q41)</f>
        <v>324556</v>
      </c>
      <c r="S41" s="147">
        <f t="shared" si="11"/>
        <v>324556</v>
      </c>
      <c r="T41" s="147"/>
      <c r="U41" s="143"/>
    </row>
    <row r="42" spans="1:21" s="144" customFormat="1">
      <c r="A42" s="149" t="s">
        <v>152</v>
      </c>
      <c r="B42" s="146">
        <f>SUM(C42:D42)</f>
        <v>913667</v>
      </c>
      <c r="C42" s="146">
        <f>SUM(C39:C41)</f>
        <v>913667</v>
      </c>
      <c r="D42" s="146">
        <f>SUM(D39:D41)</f>
        <v>0</v>
      </c>
      <c r="E42" s="146">
        <f t="shared" ref="E42:T42" si="12">SUM(E40:E41)</f>
        <v>913667</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3">
        <f>SUM(R40:R41)</f>
        <v>913667</v>
      </c>
      <c r="S42" s="150">
        <f t="shared" si="12"/>
        <v>913667</v>
      </c>
      <c r="T42" s="150">
        <f t="shared" si="12"/>
        <v>0</v>
      </c>
      <c r="U42" s="143"/>
    </row>
    <row r="43" spans="1:21" s="144" customFormat="1">
      <c r="A43" s="149" t="s">
        <v>153</v>
      </c>
      <c r="B43" s="146">
        <f>SUM(C43:D43)</f>
        <v>150000</v>
      </c>
      <c r="C43" s="147">
        <v>150000</v>
      </c>
      <c r="D43" s="147"/>
      <c r="E43" s="147">
        <f>+C43-SUM(F43:J43)</f>
        <v>150000</v>
      </c>
      <c r="F43" s="147">
        <v>0</v>
      </c>
      <c r="G43" s="147"/>
      <c r="H43" s="147"/>
      <c r="I43" s="147"/>
      <c r="J43" s="147"/>
      <c r="K43" s="147"/>
      <c r="L43" s="147"/>
      <c r="M43" s="147"/>
      <c r="N43" s="147"/>
      <c r="O43" s="147"/>
      <c r="P43" s="147"/>
      <c r="Q43" s="147"/>
      <c r="R43" s="554">
        <f>SUM(E43:Q43)</f>
        <v>150000</v>
      </c>
      <c r="S43" s="147">
        <f>+R43</f>
        <v>150000</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3">SUM(C45+D45)</f>
        <v>1015863</v>
      </c>
      <c r="C45" s="147">
        <f>775324+240539</f>
        <v>1015863</v>
      </c>
      <c r="D45" s="147"/>
      <c r="E45" s="147">
        <f t="shared" ref="E45:E53" si="14">+C45-SUM(F45:J45)</f>
        <v>1015863</v>
      </c>
      <c r="F45" s="147">
        <v>0</v>
      </c>
      <c r="G45" s="147"/>
      <c r="H45" s="147"/>
      <c r="I45" s="147"/>
      <c r="J45" s="147"/>
      <c r="K45" s="147"/>
      <c r="L45" s="147"/>
      <c r="M45" s="147"/>
      <c r="N45" s="147"/>
      <c r="O45" s="147"/>
      <c r="P45" s="147"/>
      <c r="Q45" s="147"/>
      <c r="R45" s="554">
        <f t="shared" ref="R45:R53" si="15">SUM(E45:Q45)</f>
        <v>1015863</v>
      </c>
      <c r="S45" s="147">
        <v>775324</v>
      </c>
      <c r="T45" s="147"/>
      <c r="U45" s="143"/>
    </row>
    <row r="46" spans="1:21" s="144" customFormat="1">
      <c r="A46" s="145" t="s">
        <v>156</v>
      </c>
      <c r="B46" s="146">
        <f t="shared" si="13"/>
        <v>252161</v>
      </c>
      <c r="C46" s="147">
        <v>252161</v>
      </c>
      <c r="D46" s="147"/>
      <c r="E46" s="147">
        <f t="shared" si="14"/>
        <v>252161</v>
      </c>
      <c r="F46" s="147">
        <v>0</v>
      </c>
      <c r="G46" s="147"/>
      <c r="H46" s="147"/>
      <c r="I46" s="147"/>
      <c r="J46" s="147"/>
      <c r="K46" s="147"/>
      <c r="L46" s="147"/>
      <c r="M46" s="147"/>
      <c r="N46" s="147"/>
      <c r="O46" s="147"/>
      <c r="P46" s="147"/>
      <c r="Q46" s="147"/>
      <c r="R46" s="554">
        <f t="shared" si="15"/>
        <v>252161</v>
      </c>
      <c r="S46" s="147">
        <f t="shared" ref="S46:S52" si="16">+R46</f>
        <v>252161</v>
      </c>
      <c r="T46" s="147"/>
      <c r="U46" s="143"/>
    </row>
    <row r="47" spans="1:21" s="144" customFormat="1">
      <c r="A47" s="199" t="s">
        <v>157</v>
      </c>
      <c r="B47" s="146">
        <f t="shared" si="13"/>
        <v>35000</v>
      </c>
      <c r="C47" s="147">
        <v>35000</v>
      </c>
      <c r="D47" s="147"/>
      <c r="E47" s="147">
        <f t="shared" si="14"/>
        <v>35000</v>
      </c>
      <c r="F47" s="147">
        <v>0</v>
      </c>
      <c r="G47" s="147"/>
      <c r="H47" s="147"/>
      <c r="I47" s="147"/>
      <c r="J47" s="147"/>
      <c r="K47" s="147"/>
      <c r="L47" s="147"/>
      <c r="M47" s="147"/>
      <c r="N47" s="147"/>
      <c r="O47" s="147"/>
      <c r="P47" s="147"/>
      <c r="Q47" s="147"/>
      <c r="R47" s="554">
        <f t="shared" si="15"/>
        <v>35000</v>
      </c>
      <c r="S47" s="147">
        <f t="shared" si="16"/>
        <v>35000</v>
      </c>
      <c r="T47" s="147"/>
      <c r="U47" s="143"/>
    </row>
    <row r="48" spans="1:21" s="144" customFormat="1">
      <c r="A48" s="145" t="s">
        <v>158</v>
      </c>
      <c r="B48" s="146">
        <f t="shared" si="13"/>
        <v>0</v>
      </c>
      <c r="C48" s="147">
        <v>0</v>
      </c>
      <c r="D48" s="147"/>
      <c r="E48" s="147">
        <f t="shared" si="14"/>
        <v>0</v>
      </c>
      <c r="F48" s="147">
        <v>0</v>
      </c>
      <c r="G48" s="147"/>
      <c r="H48" s="147"/>
      <c r="I48" s="147"/>
      <c r="J48" s="147"/>
      <c r="K48" s="147"/>
      <c r="L48" s="147"/>
      <c r="M48" s="147"/>
      <c r="N48" s="147"/>
      <c r="O48" s="147"/>
      <c r="P48" s="147"/>
      <c r="Q48" s="147"/>
      <c r="R48" s="554">
        <f t="shared" si="15"/>
        <v>0</v>
      </c>
      <c r="S48" s="147">
        <f t="shared" si="16"/>
        <v>0</v>
      </c>
      <c r="T48" s="147"/>
      <c r="U48" s="143"/>
    </row>
    <row r="49" spans="1:21" s="144" customFormat="1">
      <c r="A49" s="145" t="s">
        <v>60</v>
      </c>
      <c r="B49" s="146">
        <f t="shared" si="13"/>
        <v>186542</v>
      </c>
      <c r="C49" s="147">
        <v>186542</v>
      </c>
      <c r="D49" s="147"/>
      <c r="E49" s="147">
        <f t="shared" si="14"/>
        <v>186542</v>
      </c>
      <c r="F49" s="147">
        <v>0</v>
      </c>
      <c r="G49" s="147"/>
      <c r="H49" s="147"/>
      <c r="I49" s="147"/>
      <c r="J49" s="147"/>
      <c r="K49" s="147"/>
      <c r="L49" s="147"/>
      <c r="M49" s="147"/>
      <c r="N49" s="147"/>
      <c r="O49" s="147"/>
      <c r="P49" s="147"/>
      <c r="Q49" s="147"/>
      <c r="R49" s="554">
        <f t="shared" si="15"/>
        <v>186542</v>
      </c>
      <c r="S49" s="147"/>
      <c r="T49" s="147"/>
      <c r="U49" s="143"/>
    </row>
    <row r="50" spans="1:21" s="144" customFormat="1">
      <c r="A50" s="145" t="s">
        <v>161</v>
      </c>
      <c r="B50" s="146">
        <f t="shared" si="13"/>
        <v>40000</v>
      </c>
      <c r="C50" s="147">
        <v>40000</v>
      </c>
      <c r="D50" s="147"/>
      <c r="E50" s="147">
        <f t="shared" si="14"/>
        <v>40000</v>
      </c>
      <c r="F50" s="147">
        <v>0</v>
      </c>
      <c r="G50" s="147"/>
      <c r="H50" s="147"/>
      <c r="I50" s="147"/>
      <c r="J50" s="147"/>
      <c r="K50" s="147"/>
      <c r="L50" s="147"/>
      <c r="M50" s="147"/>
      <c r="N50" s="147"/>
      <c r="O50" s="147"/>
      <c r="P50" s="147"/>
      <c r="Q50" s="147"/>
      <c r="R50" s="554">
        <f t="shared" si="15"/>
        <v>40000</v>
      </c>
      <c r="S50" s="147">
        <f t="shared" si="16"/>
        <v>40000</v>
      </c>
      <c r="T50" s="147"/>
      <c r="U50" s="143"/>
    </row>
    <row r="51" spans="1:21" s="144" customFormat="1">
      <c r="A51" s="306" t="s">
        <v>159</v>
      </c>
      <c r="B51" s="146">
        <f t="shared" si="13"/>
        <v>54000</v>
      </c>
      <c r="C51" s="147">
        <v>54000</v>
      </c>
      <c r="D51" s="147"/>
      <c r="E51" s="147">
        <f t="shared" si="14"/>
        <v>54000</v>
      </c>
      <c r="F51" s="147">
        <v>0</v>
      </c>
      <c r="G51" s="147"/>
      <c r="H51" s="147"/>
      <c r="I51" s="147"/>
      <c r="J51" s="147"/>
      <c r="K51" s="147"/>
      <c r="L51" s="147"/>
      <c r="M51" s="147"/>
      <c r="N51" s="147"/>
      <c r="O51" s="147"/>
      <c r="P51" s="147"/>
      <c r="Q51" s="147"/>
      <c r="R51" s="554">
        <f t="shared" si="15"/>
        <v>54000</v>
      </c>
      <c r="S51" s="147">
        <f t="shared" si="16"/>
        <v>54000</v>
      </c>
      <c r="T51" s="147"/>
      <c r="U51" s="143"/>
    </row>
    <row r="52" spans="1:21" s="144" customFormat="1">
      <c r="A52" s="145" t="s">
        <v>160</v>
      </c>
      <c r="B52" s="146">
        <f t="shared" si="13"/>
        <v>20000</v>
      </c>
      <c r="C52" s="147">
        <v>20000</v>
      </c>
      <c r="D52" s="147"/>
      <c r="E52" s="147">
        <f t="shared" si="14"/>
        <v>20000</v>
      </c>
      <c r="F52" s="147">
        <v>0</v>
      </c>
      <c r="G52" s="147"/>
      <c r="H52" s="147"/>
      <c r="I52" s="147"/>
      <c r="J52" s="147"/>
      <c r="K52" s="147"/>
      <c r="L52" s="147"/>
      <c r="M52" s="147"/>
      <c r="N52" s="147"/>
      <c r="O52" s="147"/>
      <c r="P52" s="147"/>
      <c r="Q52" s="147"/>
      <c r="R52" s="554">
        <f t="shared" si="15"/>
        <v>20000</v>
      </c>
      <c r="S52" s="147">
        <f t="shared" si="16"/>
        <v>20000</v>
      </c>
      <c r="T52" s="147"/>
      <c r="U52" s="143"/>
    </row>
    <row r="53" spans="1:21" s="144" customFormat="1">
      <c r="A53" s="152" t="s">
        <v>35</v>
      </c>
      <c r="B53" s="146">
        <f t="shared" si="13"/>
        <v>0</v>
      </c>
      <c r="C53" s="147"/>
      <c r="D53" s="147"/>
      <c r="E53" s="147">
        <f t="shared" si="14"/>
        <v>0</v>
      </c>
      <c r="F53" s="147"/>
      <c r="G53" s="147"/>
      <c r="H53" s="147"/>
      <c r="I53" s="147"/>
      <c r="J53" s="147"/>
      <c r="K53" s="147"/>
      <c r="L53" s="147"/>
      <c r="M53" s="147"/>
      <c r="N53" s="147"/>
      <c r="O53" s="147"/>
      <c r="P53" s="147"/>
      <c r="Q53" s="147"/>
      <c r="R53" s="554">
        <f t="shared" si="15"/>
        <v>0</v>
      </c>
      <c r="S53" s="147"/>
      <c r="T53" s="147"/>
      <c r="U53" s="143"/>
    </row>
    <row r="54" spans="1:21" s="154" customFormat="1">
      <c r="A54" s="149" t="s">
        <v>162</v>
      </c>
      <c r="B54" s="150">
        <f>SUM(C54:D54)</f>
        <v>1603566</v>
      </c>
      <c r="C54" s="150">
        <f t="shared" ref="C54:T54" si="17">SUM(C45:C53)</f>
        <v>1603566</v>
      </c>
      <c r="D54" s="150">
        <f t="shared" si="17"/>
        <v>0</v>
      </c>
      <c r="E54" s="150">
        <f t="shared" si="17"/>
        <v>1603566</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3">
        <f t="shared" si="17"/>
        <v>1603566</v>
      </c>
      <c r="S54" s="150">
        <f t="shared" si="17"/>
        <v>1176485</v>
      </c>
      <c r="T54" s="150">
        <f t="shared" si="17"/>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8">SUM(C56+D56)</f>
        <v>0</v>
      </c>
      <c r="C56" s="147"/>
      <c r="D56" s="147"/>
      <c r="E56" s="147">
        <f t="shared" ref="E56:E61" si="19">+C56-SUM(F56:J56)</f>
        <v>0</v>
      </c>
      <c r="F56" s="147"/>
      <c r="G56" s="147"/>
      <c r="H56" s="147"/>
      <c r="I56" s="147"/>
      <c r="J56" s="147"/>
      <c r="K56" s="147"/>
      <c r="L56" s="147"/>
      <c r="M56" s="147"/>
      <c r="N56" s="147"/>
      <c r="O56" s="147"/>
      <c r="P56" s="147"/>
      <c r="Q56" s="147"/>
      <c r="R56" s="554">
        <f t="shared" ref="R56:R61" si="20">SUM(E56:Q56)</f>
        <v>0</v>
      </c>
      <c r="S56" s="148"/>
      <c r="T56" s="148"/>
      <c r="U56" s="143"/>
    </row>
    <row r="57" spans="1:21" s="205" customFormat="1">
      <c r="A57" s="199" t="s">
        <v>157</v>
      </c>
      <c r="B57" s="206">
        <f t="shared" si="18"/>
        <v>10000</v>
      </c>
      <c r="C57" s="203">
        <v>10000</v>
      </c>
      <c r="D57" s="203"/>
      <c r="E57" s="147">
        <f t="shared" si="19"/>
        <v>10000</v>
      </c>
      <c r="F57" s="203"/>
      <c r="G57" s="203"/>
      <c r="H57" s="203"/>
      <c r="I57" s="203"/>
      <c r="J57" s="203"/>
      <c r="K57" s="203"/>
      <c r="L57" s="203"/>
      <c r="M57" s="203"/>
      <c r="N57" s="203"/>
      <c r="O57" s="203"/>
      <c r="P57" s="203"/>
      <c r="Q57" s="203"/>
      <c r="R57" s="554">
        <f t="shared" si="20"/>
        <v>10000</v>
      </c>
      <c r="S57" s="207"/>
      <c r="T57" s="207"/>
      <c r="U57" s="204"/>
    </row>
    <row r="58" spans="1:21" s="144" customFormat="1">
      <c r="A58" s="145" t="s">
        <v>161</v>
      </c>
      <c r="B58" s="146">
        <f t="shared" si="18"/>
        <v>5000</v>
      </c>
      <c r="C58" s="147">
        <v>5000</v>
      </c>
      <c r="D58" s="147"/>
      <c r="E58" s="147">
        <f t="shared" si="19"/>
        <v>5000</v>
      </c>
      <c r="F58" s="147"/>
      <c r="G58" s="147"/>
      <c r="H58" s="147"/>
      <c r="I58" s="147"/>
      <c r="J58" s="147"/>
      <c r="K58" s="147"/>
      <c r="L58" s="147"/>
      <c r="M58" s="147"/>
      <c r="N58" s="147"/>
      <c r="O58" s="147"/>
      <c r="P58" s="147"/>
      <c r="Q58" s="147"/>
      <c r="R58" s="554">
        <f t="shared" si="20"/>
        <v>5000</v>
      </c>
      <c r="S58" s="148"/>
      <c r="T58" s="148"/>
      <c r="U58" s="143"/>
    </row>
    <row r="59" spans="1:21" s="144" customFormat="1">
      <c r="A59" s="306" t="s">
        <v>159</v>
      </c>
      <c r="B59" s="146">
        <f t="shared" si="18"/>
        <v>0</v>
      </c>
      <c r="C59" s="147"/>
      <c r="D59" s="147"/>
      <c r="E59" s="147">
        <f t="shared" si="19"/>
        <v>0</v>
      </c>
      <c r="F59" s="147"/>
      <c r="G59" s="147"/>
      <c r="H59" s="147"/>
      <c r="I59" s="147"/>
      <c r="J59" s="147"/>
      <c r="K59" s="147"/>
      <c r="L59" s="147"/>
      <c r="M59" s="147"/>
      <c r="N59" s="147"/>
      <c r="O59" s="147"/>
      <c r="P59" s="147"/>
      <c r="Q59" s="147"/>
      <c r="R59" s="554">
        <f t="shared" si="20"/>
        <v>0</v>
      </c>
      <c r="S59" s="148"/>
      <c r="T59" s="148"/>
      <c r="U59" s="143"/>
    </row>
    <row r="60" spans="1:21" s="144" customFormat="1">
      <c r="A60" s="145" t="s">
        <v>160</v>
      </c>
      <c r="B60" s="146">
        <f t="shared" si="18"/>
        <v>0</v>
      </c>
      <c r="C60" s="147"/>
      <c r="D60" s="147"/>
      <c r="E60" s="147">
        <f t="shared" si="19"/>
        <v>0</v>
      </c>
      <c r="F60" s="147"/>
      <c r="G60" s="147"/>
      <c r="H60" s="147"/>
      <c r="I60" s="147"/>
      <c r="J60" s="147"/>
      <c r="K60" s="147"/>
      <c r="L60" s="147"/>
      <c r="M60" s="147"/>
      <c r="N60" s="147"/>
      <c r="O60" s="147"/>
      <c r="P60" s="147"/>
      <c r="Q60" s="147"/>
      <c r="R60" s="554">
        <f t="shared" si="20"/>
        <v>0</v>
      </c>
      <c r="S60" s="148"/>
      <c r="T60" s="148"/>
      <c r="U60" s="143"/>
    </row>
    <row r="61" spans="1:21" s="144" customFormat="1">
      <c r="A61" s="152" t="s">
        <v>35</v>
      </c>
      <c r="B61" s="146">
        <f t="shared" si="18"/>
        <v>0</v>
      </c>
      <c r="C61" s="147"/>
      <c r="D61" s="147"/>
      <c r="E61" s="147">
        <f t="shared" si="19"/>
        <v>0</v>
      </c>
      <c r="F61" s="147"/>
      <c r="G61" s="147"/>
      <c r="H61" s="147"/>
      <c r="I61" s="147"/>
      <c r="J61" s="147"/>
      <c r="K61" s="147"/>
      <c r="L61" s="147"/>
      <c r="M61" s="147"/>
      <c r="N61" s="147"/>
      <c r="O61" s="147"/>
      <c r="P61" s="147"/>
      <c r="Q61" s="147"/>
      <c r="R61" s="554">
        <f t="shared" si="20"/>
        <v>0</v>
      </c>
      <c r="S61" s="148"/>
      <c r="T61" s="148"/>
      <c r="U61" s="143"/>
    </row>
    <row r="62" spans="1:21" s="144" customFormat="1" ht="13.7" customHeight="1">
      <c r="A62" s="149" t="s">
        <v>307</v>
      </c>
      <c r="B62" s="146">
        <f>SUM(C62:D62)</f>
        <v>15000</v>
      </c>
      <c r="C62" s="146">
        <f t="shared" ref="C62:R62" si="21">SUM(C56:C61)</f>
        <v>15000</v>
      </c>
      <c r="D62" s="146">
        <f t="shared" si="21"/>
        <v>0</v>
      </c>
      <c r="E62" s="146">
        <f t="shared" si="21"/>
        <v>15000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3">
        <f t="shared" si="21"/>
        <v>15000</v>
      </c>
      <c r="S62" s="148"/>
      <c r="T62" s="148"/>
      <c r="U62" s="143"/>
    </row>
    <row r="63" spans="1:21" s="144" customFormat="1">
      <c r="A63" s="155" t="s">
        <v>308</v>
      </c>
      <c r="B63" s="146">
        <f t="shared" ref="B63:R63" si="22">SUM(B8+B11+B13+B14+B15+B26+B27+B38+B42+B43+B54+B62)</f>
        <v>38524817</v>
      </c>
      <c r="C63" s="146">
        <f t="shared" si="22"/>
        <v>38524817</v>
      </c>
      <c r="D63" s="146">
        <f t="shared" si="22"/>
        <v>0</v>
      </c>
      <c r="E63" s="146">
        <f t="shared" si="22"/>
        <v>18701479</v>
      </c>
      <c r="F63" s="146">
        <f t="shared" si="22"/>
        <v>3601874</v>
      </c>
      <c r="G63" s="146">
        <f t="shared" si="22"/>
        <v>10720918</v>
      </c>
      <c r="H63" s="146">
        <f t="shared" si="22"/>
        <v>291455</v>
      </c>
      <c r="I63" s="146">
        <f t="shared" si="22"/>
        <v>0</v>
      </c>
      <c r="J63" s="146">
        <f t="shared" si="22"/>
        <v>5209091</v>
      </c>
      <c r="K63" s="146">
        <f t="shared" si="22"/>
        <v>0</v>
      </c>
      <c r="L63" s="146">
        <f t="shared" si="22"/>
        <v>0</v>
      </c>
      <c r="M63" s="146">
        <f t="shared" si="22"/>
        <v>0</v>
      </c>
      <c r="N63" s="146">
        <f t="shared" si="22"/>
        <v>0</v>
      </c>
      <c r="O63" s="146">
        <f t="shared" si="22"/>
        <v>0</v>
      </c>
      <c r="P63" s="146">
        <f t="shared" si="22"/>
        <v>0</v>
      </c>
      <c r="Q63" s="146">
        <f t="shared" si="22"/>
        <v>0</v>
      </c>
      <c r="R63" s="373">
        <f t="shared" si="22"/>
        <v>38524817</v>
      </c>
      <c r="S63" s="146">
        <f>SUM(S10+S13+S14+S15+S26+S27+S38+S42+S43+S54)</f>
        <v>35372736</v>
      </c>
      <c r="T63" s="146">
        <f>SUM(T11+T13+T14+T15+T26+T27+T38+T42+T43+T54)</f>
        <v>0</v>
      </c>
      <c r="U63" s="143"/>
    </row>
    <row r="64" spans="1:21" s="144" customFormat="1" ht="24">
      <c r="A64" s="141" t="s">
        <v>1853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65000</v>
      </c>
      <c r="C65" s="147">
        <v>65000</v>
      </c>
      <c r="D65" s="147"/>
      <c r="E65" s="147">
        <f>+C65-SUM(F65:J65)</f>
        <v>65000</v>
      </c>
      <c r="F65" s="147"/>
      <c r="G65" s="147"/>
      <c r="H65" s="147"/>
      <c r="I65" s="147"/>
      <c r="J65" s="147"/>
      <c r="K65" s="147"/>
      <c r="L65" s="147"/>
      <c r="M65" s="147"/>
      <c r="N65" s="147"/>
      <c r="O65" s="147"/>
      <c r="P65" s="147"/>
      <c r="Q65" s="147"/>
      <c r="R65" s="554">
        <f>SUM(E65:Q65)</f>
        <v>65000</v>
      </c>
      <c r="S65" s="147">
        <f t="shared" ref="S65:S69" si="23">+R65</f>
        <v>65000</v>
      </c>
      <c r="T65" s="147"/>
      <c r="U65" s="143"/>
    </row>
    <row r="66" spans="1:21" s="144" customFormat="1" ht="24" customHeight="1">
      <c r="A66" s="306" t="s">
        <v>1850</v>
      </c>
      <c r="B66" s="146">
        <f t="shared" ref="B66:B69" si="24">SUM(C66+D66)</f>
        <v>0</v>
      </c>
      <c r="C66" s="147"/>
      <c r="D66" s="147"/>
      <c r="E66" s="147">
        <f t="shared" ref="E66:E69" si="25">+C66-SUM(F66:J66)</f>
        <v>0</v>
      </c>
      <c r="F66" s="147"/>
      <c r="G66" s="147"/>
      <c r="H66" s="147"/>
      <c r="I66" s="147"/>
      <c r="J66" s="147"/>
      <c r="K66" s="147"/>
      <c r="L66" s="147"/>
      <c r="M66" s="147"/>
      <c r="N66" s="147"/>
      <c r="O66" s="147"/>
      <c r="P66" s="147"/>
      <c r="Q66" s="147"/>
      <c r="R66" s="554">
        <f t="shared" ref="R66:R68" si="26">SUM(E66:Q66)</f>
        <v>0</v>
      </c>
      <c r="S66" s="147">
        <f t="shared" si="23"/>
        <v>0</v>
      </c>
      <c r="T66" s="147"/>
      <c r="U66" s="143"/>
    </row>
    <row r="67" spans="1:21" s="144" customFormat="1" ht="24" customHeight="1">
      <c r="A67" s="306" t="s">
        <v>1851</v>
      </c>
      <c r="B67" s="146">
        <f t="shared" si="24"/>
        <v>0</v>
      </c>
      <c r="C67" s="147"/>
      <c r="D67" s="147"/>
      <c r="E67" s="147">
        <f t="shared" si="25"/>
        <v>0</v>
      </c>
      <c r="F67" s="147"/>
      <c r="G67" s="147"/>
      <c r="H67" s="147"/>
      <c r="I67" s="147"/>
      <c r="J67" s="147"/>
      <c r="K67" s="147"/>
      <c r="L67" s="147"/>
      <c r="M67" s="147"/>
      <c r="N67" s="147"/>
      <c r="O67" s="147"/>
      <c r="P67" s="147"/>
      <c r="Q67" s="147"/>
      <c r="R67" s="554">
        <f t="shared" si="26"/>
        <v>0</v>
      </c>
      <c r="S67" s="147">
        <f t="shared" si="23"/>
        <v>0</v>
      </c>
      <c r="T67" s="147"/>
      <c r="U67" s="143"/>
    </row>
    <row r="68" spans="1:21" s="144" customFormat="1" ht="12" customHeight="1">
      <c r="A68" s="306" t="s">
        <v>1857</v>
      </c>
      <c r="B68" s="146">
        <f t="shared" si="24"/>
        <v>0</v>
      </c>
      <c r="C68" s="147"/>
      <c r="D68" s="147"/>
      <c r="E68" s="147">
        <f t="shared" si="25"/>
        <v>0</v>
      </c>
      <c r="F68" s="147"/>
      <c r="G68" s="147"/>
      <c r="H68" s="147"/>
      <c r="I68" s="147"/>
      <c r="J68" s="147"/>
      <c r="K68" s="147"/>
      <c r="L68" s="147"/>
      <c r="M68" s="147"/>
      <c r="N68" s="147"/>
      <c r="O68" s="147"/>
      <c r="P68" s="147"/>
      <c r="Q68" s="147"/>
      <c r="R68" s="554">
        <f t="shared" si="26"/>
        <v>0</v>
      </c>
      <c r="S68" s="147">
        <f t="shared" si="23"/>
        <v>0</v>
      </c>
      <c r="T68" s="147"/>
      <c r="U68" s="143"/>
    </row>
    <row r="69" spans="1:21" s="144" customFormat="1">
      <c r="A69" s="1240" t="s">
        <v>2707</v>
      </c>
      <c r="B69" s="146">
        <f t="shared" si="24"/>
        <v>50000</v>
      </c>
      <c r="C69" s="147">
        <v>50000</v>
      </c>
      <c r="D69" s="147"/>
      <c r="E69" s="147">
        <f t="shared" si="25"/>
        <v>50000</v>
      </c>
      <c r="F69" s="147"/>
      <c r="G69" s="147"/>
      <c r="H69" s="147"/>
      <c r="I69" s="147"/>
      <c r="J69" s="147"/>
      <c r="K69" s="147"/>
      <c r="L69" s="147"/>
      <c r="M69" s="147"/>
      <c r="N69" s="147"/>
      <c r="O69" s="147"/>
      <c r="P69" s="147"/>
      <c r="Q69" s="147"/>
      <c r="R69" s="554">
        <f>SUM(E69:Q69)</f>
        <v>50000</v>
      </c>
      <c r="S69" s="147">
        <f t="shared" si="23"/>
        <v>50000</v>
      </c>
      <c r="T69" s="147"/>
      <c r="U69" s="143"/>
    </row>
    <row r="70" spans="1:21" s="144" customFormat="1">
      <c r="A70" s="149" t="s">
        <v>1854</v>
      </c>
      <c r="B70" s="146">
        <f>SUM(C70:D70)</f>
        <v>115000</v>
      </c>
      <c r="C70" s="146">
        <f>SUM(C65:C69)</f>
        <v>115000</v>
      </c>
      <c r="D70" s="146">
        <f>SUM(D65:D69)</f>
        <v>0</v>
      </c>
      <c r="E70" s="146">
        <f t="shared" ref="E70:T70" si="27">SUM(E65:E69)</f>
        <v>115000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3">
        <f t="shared" si="27"/>
        <v>115000</v>
      </c>
      <c r="S70" s="150">
        <f t="shared" si="27"/>
        <v>115000</v>
      </c>
      <c r="T70" s="150">
        <f t="shared" si="27"/>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30000</v>
      </c>
      <c r="C72" s="147">
        <v>30000</v>
      </c>
      <c r="D72" s="147"/>
      <c r="E72" s="147">
        <f t="shared" ref="E72:E76" si="28">+C72-SUM(F72:J72)</f>
        <v>30000</v>
      </c>
      <c r="F72" s="147"/>
      <c r="G72" s="147"/>
      <c r="H72" s="147"/>
      <c r="I72" s="147"/>
      <c r="J72" s="147"/>
      <c r="K72" s="147"/>
      <c r="L72" s="147"/>
      <c r="M72" s="147"/>
      <c r="N72" s="147"/>
      <c r="O72" s="147"/>
      <c r="P72" s="147"/>
      <c r="Q72" s="147"/>
      <c r="R72" s="554">
        <f>SUM(E72:Q72)</f>
        <v>30000</v>
      </c>
      <c r="S72" s="148"/>
      <c r="T72" s="148"/>
      <c r="U72" s="143"/>
    </row>
    <row r="73" spans="1:21" s="144" customFormat="1">
      <c r="A73" s="145" t="s">
        <v>631</v>
      </c>
      <c r="B73" s="146">
        <f>SUM(C73+D73)</f>
        <v>0</v>
      </c>
      <c r="C73" s="147"/>
      <c r="D73" s="147"/>
      <c r="E73" s="147">
        <f t="shared" si="28"/>
        <v>0</v>
      </c>
      <c r="F73" s="147"/>
      <c r="G73" s="147"/>
      <c r="H73" s="147"/>
      <c r="I73" s="147"/>
      <c r="J73" s="147"/>
      <c r="K73" s="147"/>
      <c r="L73" s="147"/>
      <c r="M73" s="147"/>
      <c r="N73" s="147"/>
      <c r="O73" s="147"/>
      <c r="P73" s="147"/>
      <c r="Q73" s="147"/>
      <c r="R73" s="554">
        <f>SUM(E73:Q73)</f>
        <v>0</v>
      </c>
      <c r="S73" s="148"/>
      <c r="T73" s="148"/>
      <c r="U73" s="143"/>
    </row>
    <row r="74" spans="1:21" s="144" customFormat="1">
      <c r="A74" s="488" t="s">
        <v>1060</v>
      </c>
      <c r="B74" s="146">
        <f>SUM(C74+D74)</f>
        <v>0</v>
      </c>
      <c r="C74" s="147"/>
      <c r="D74" s="147"/>
      <c r="E74" s="147">
        <f t="shared" si="28"/>
        <v>0</v>
      </c>
      <c r="F74" s="147"/>
      <c r="G74" s="147"/>
      <c r="H74" s="147"/>
      <c r="I74" s="147"/>
      <c r="J74" s="147"/>
      <c r="K74" s="147"/>
      <c r="L74" s="147"/>
      <c r="M74" s="147"/>
      <c r="N74" s="147"/>
      <c r="O74" s="147"/>
      <c r="P74" s="147"/>
      <c r="Q74" s="147"/>
      <c r="R74" s="554">
        <f>SUM(E74:Q74)</f>
        <v>0</v>
      </c>
      <c r="S74" s="148"/>
      <c r="T74" s="148"/>
      <c r="U74" s="143"/>
    </row>
    <row r="75" spans="1:21" s="144" customFormat="1">
      <c r="A75" s="145" t="s">
        <v>632</v>
      </c>
      <c r="B75" s="146">
        <f>SUM(C75+D75)</f>
        <v>157194</v>
      </c>
      <c r="C75" s="147">
        <v>157194</v>
      </c>
      <c r="D75" s="147"/>
      <c r="E75" s="147">
        <f t="shared" si="28"/>
        <v>157194</v>
      </c>
      <c r="F75" s="147"/>
      <c r="G75" s="147"/>
      <c r="H75" s="147"/>
      <c r="I75" s="147"/>
      <c r="J75" s="147"/>
      <c r="K75" s="147"/>
      <c r="L75" s="147"/>
      <c r="M75" s="147"/>
      <c r="N75" s="147"/>
      <c r="O75" s="147"/>
      <c r="P75" s="147"/>
      <c r="Q75" s="147"/>
      <c r="R75" s="554">
        <f>SUM(E75:Q75)</f>
        <v>157194</v>
      </c>
      <c r="S75" s="148"/>
      <c r="T75" s="148"/>
      <c r="U75" s="143"/>
    </row>
    <row r="76" spans="1:21" s="144" customFormat="1">
      <c r="A76" s="152" t="s">
        <v>35</v>
      </c>
      <c r="B76" s="146">
        <f>SUM(C76+D76)</f>
        <v>0</v>
      </c>
      <c r="C76" s="147"/>
      <c r="D76" s="147"/>
      <c r="E76" s="147">
        <f t="shared" si="28"/>
        <v>0</v>
      </c>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187194</v>
      </c>
      <c r="C77" s="146">
        <f>SUM(C72:C76)</f>
        <v>187194</v>
      </c>
      <c r="D77" s="146">
        <f>SUM(D72:D76)</f>
        <v>0</v>
      </c>
      <c r="E77" s="146">
        <f t="shared" ref="E77:Q77" si="29">SUM(E72:E76)</f>
        <v>187194</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3">
        <f>SUM(R72:R76)</f>
        <v>187194</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1378</v>
      </c>
      <c r="B79" s="146">
        <f>SUM(C79:D79)</f>
        <v>1656629</v>
      </c>
      <c r="C79" s="147">
        <v>1656629</v>
      </c>
      <c r="D79" s="147"/>
      <c r="E79" s="147">
        <f t="shared" ref="E79:E80" si="30">+C79-SUM(F79:J79)</f>
        <v>1656629</v>
      </c>
      <c r="F79" s="147"/>
      <c r="G79" s="147"/>
      <c r="H79" s="147"/>
      <c r="I79" s="147"/>
      <c r="J79" s="147"/>
      <c r="K79" s="147"/>
      <c r="L79" s="147"/>
      <c r="M79" s="147"/>
      <c r="N79" s="147"/>
      <c r="O79" s="147"/>
      <c r="P79" s="147"/>
      <c r="Q79" s="147"/>
      <c r="R79" s="554">
        <f>SUM(E79:Q79)</f>
        <v>1656629</v>
      </c>
      <c r="S79" s="147">
        <f t="shared" ref="S79:S80" si="31">+R79</f>
        <v>1656629</v>
      </c>
      <c r="T79" s="147"/>
      <c r="U79" s="143"/>
    </row>
    <row r="80" spans="1:21" s="144" customFormat="1">
      <c r="A80" s="306" t="s">
        <v>61</v>
      </c>
      <c r="B80" s="146">
        <f>SUM(C80:D80)</f>
        <v>303641</v>
      </c>
      <c r="C80" s="147">
        <v>303641</v>
      </c>
      <c r="D80" s="147"/>
      <c r="E80" s="147">
        <f t="shared" si="30"/>
        <v>303641</v>
      </c>
      <c r="F80" s="147"/>
      <c r="G80" s="147"/>
      <c r="H80" s="147"/>
      <c r="I80" s="147"/>
      <c r="J80" s="147"/>
      <c r="K80" s="147"/>
      <c r="L80" s="147"/>
      <c r="M80" s="147"/>
      <c r="N80" s="147"/>
      <c r="O80" s="147"/>
      <c r="P80" s="147"/>
      <c r="Q80" s="147"/>
      <c r="R80" s="554">
        <f>SUM(E80:Q80)</f>
        <v>303641</v>
      </c>
      <c r="S80" s="147">
        <f t="shared" si="31"/>
        <v>303641</v>
      </c>
      <c r="T80" s="147"/>
      <c r="U80" s="143"/>
    </row>
    <row r="81" spans="1:21" s="144" customFormat="1">
      <c r="A81" s="149" t="s">
        <v>1375</v>
      </c>
      <c r="B81" s="146">
        <f>SUM(C81:D81)</f>
        <v>1960270</v>
      </c>
      <c r="C81" s="547">
        <f>SUM(C79:C80)</f>
        <v>1960270</v>
      </c>
      <c r="D81" s="547">
        <f t="shared" ref="D81:T81" si="32">SUM(D79:D80)</f>
        <v>0</v>
      </c>
      <c r="E81" s="547">
        <f t="shared" si="32"/>
        <v>1960270</v>
      </c>
      <c r="F81" s="547">
        <f t="shared" si="32"/>
        <v>0</v>
      </c>
      <c r="G81" s="547">
        <f t="shared" si="32"/>
        <v>0</v>
      </c>
      <c r="H81" s="547">
        <f t="shared" si="32"/>
        <v>0</v>
      </c>
      <c r="I81" s="547">
        <f t="shared" si="32"/>
        <v>0</v>
      </c>
      <c r="J81" s="547">
        <f t="shared" si="32"/>
        <v>0</v>
      </c>
      <c r="K81" s="547">
        <f t="shared" si="32"/>
        <v>0</v>
      </c>
      <c r="L81" s="547">
        <f t="shared" si="32"/>
        <v>0</v>
      </c>
      <c r="M81" s="547">
        <f t="shared" si="32"/>
        <v>0</v>
      </c>
      <c r="N81" s="547">
        <f t="shared" si="32"/>
        <v>0</v>
      </c>
      <c r="O81" s="547">
        <f t="shared" si="32"/>
        <v>0</v>
      </c>
      <c r="P81" s="547">
        <f t="shared" si="32"/>
        <v>0</v>
      </c>
      <c r="Q81" s="547">
        <f t="shared" si="32"/>
        <v>0</v>
      </c>
      <c r="R81" s="547">
        <f t="shared" si="32"/>
        <v>1960270</v>
      </c>
      <c r="S81" s="547">
        <f t="shared" si="32"/>
        <v>1960270</v>
      </c>
      <c r="T81" s="547">
        <f t="shared" si="32"/>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2594</v>
      </c>
      <c r="B83" s="146">
        <f t="shared" ref="B83:B95" si="33">SUM(C83+D83)</f>
        <v>145735</v>
      </c>
      <c r="C83" s="1241">
        <v>145735</v>
      </c>
      <c r="D83" s="147"/>
      <c r="E83" s="147">
        <f t="shared" ref="E83:E95" si="34">+C83-SUM(F83:J83)</f>
        <v>145735</v>
      </c>
      <c r="F83" s="147"/>
      <c r="G83" s="147"/>
      <c r="H83" s="147"/>
      <c r="I83" s="147"/>
      <c r="J83" s="147"/>
      <c r="K83" s="147"/>
      <c r="L83" s="147"/>
      <c r="M83" s="147"/>
      <c r="N83" s="147"/>
      <c r="O83" s="147"/>
      <c r="P83" s="147"/>
      <c r="Q83" s="147"/>
      <c r="R83" s="554">
        <f t="shared" ref="R83:R95" si="35">SUM(E83:Q83)</f>
        <v>145735</v>
      </c>
      <c r="S83" s="148"/>
      <c r="T83" s="148"/>
      <c r="U83" s="143"/>
    </row>
    <row r="84" spans="1:21" s="144" customFormat="1" ht="12.75">
      <c r="A84" s="145" t="s">
        <v>810</v>
      </c>
      <c r="B84" s="146">
        <f t="shared" si="33"/>
        <v>7000</v>
      </c>
      <c r="C84" s="1241">
        <v>7000</v>
      </c>
      <c r="D84" s="147"/>
      <c r="E84" s="147">
        <f t="shared" si="34"/>
        <v>7000</v>
      </c>
      <c r="F84" s="147"/>
      <c r="G84" s="147"/>
      <c r="H84" s="147"/>
      <c r="I84" s="147"/>
      <c r="J84" s="147"/>
      <c r="K84" s="147"/>
      <c r="L84" s="147"/>
      <c r="M84" s="147"/>
      <c r="N84" s="147"/>
      <c r="O84" s="147"/>
      <c r="P84" s="147"/>
      <c r="Q84" s="147"/>
      <c r="R84" s="554">
        <f t="shared" si="35"/>
        <v>7000</v>
      </c>
      <c r="S84" s="147">
        <f t="shared" ref="S84:S86" si="36">+R84</f>
        <v>7000</v>
      </c>
      <c r="T84" s="147"/>
      <c r="U84" s="143"/>
    </row>
    <row r="85" spans="1:21" s="144" customFormat="1" ht="12.75">
      <c r="A85" s="145" t="s">
        <v>811</v>
      </c>
      <c r="B85" s="146">
        <f t="shared" si="33"/>
        <v>1374843</v>
      </c>
      <c r="C85" s="1242">
        <v>1374843</v>
      </c>
      <c r="D85" s="147"/>
      <c r="E85" s="147">
        <f t="shared" si="34"/>
        <v>1374843</v>
      </c>
      <c r="F85" s="147"/>
      <c r="G85" s="147"/>
      <c r="H85" s="147"/>
      <c r="I85" s="147"/>
      <c r="J85" s="147"/>
      <c r="K85" s="147"/>
      <c r="L85" s="147"/>
      <c r="M85" s="147"/>
      <c r="N85" s="147"/>
      <c r="O85" s="147"/>
      <c r="P85" s="147"/>
      <c r="Q85" s="147"/>
      <c r="R85" s="554">
        <f t="shared" si="35"/>
        <v>1374843</v>
      </c>
      <c r="S85" s="147">
        <f t="shared" si="36"/>
        <v>1374843</v>
      </c>
      <c r="T85" s="147"/>
      <c r="U85" s="143"/>
    </row>
    <row r="86" spans="1:21" s="144" customFormat="1" ht="12.75">
      <c r="A86" s="145" t="s">
        <v>812</v>
      </c>
      <c r="B86" s="146">
        <f t="shared" si="33"/>
        <v>2850157</v>
      </c>
      <c r="C86" s="1241">
        <v>2850157</v>
      </c>
      <c r="D86" s="147"/>
      <c r="E86" s="147">
        <f t="shared" si="34"/>
        <v>2850157</v>
      </c>
      <c r="F86" s="147"/>
      <c r="G86" s="147"/>
      <c r="H86" s="147"/>
      <c r="I86" s="147"/>
      <c r="J86" s="147"/>
      <c r="K86" s="147"/>
      <c r="L86" s="147"/>
      <c r="M86" s="147"/>
      <c r="N86" s="147"/>
      <c r="O86" s="147"/>
      <c r="P86" s="147"/>
      <c r="Q86" s="147"/>
      <c r="R86" s="554">
        <f t="shared" si="35"/>
        <v>2850157</v>
      </c>
      <c r="S86" s="147">
        <f t="shared" si="36"/>
        <v>2850157</v>
      </c>
      <c r="T86" s="147"/>
      <c r="U86" s="143"/>
    </row>
    <row r="87" spans="1:21" s="144" customFormat="1" ht="12.75">
      <c r="A87" s="145" t="s">
        <v>813</v>
      </c>
      <c r="B87" s="146">
        <f t="shared" si="33"/>
        <v>0</v>
      </c>
      <c r="C87" s="1241"/>
      <c r="D87" s="147"/>
      <c r="E87" s="147">
        <f t="shared" si="34"/>
        <v>0</v>
      </c>
      <c r="F87" s="147"/>
      <c r="G87" s="147"/>
      <c r="H87" s="147"/>
      <c r="I87" s="147"/>
      <c r="J87" s="147"/>
      <c r="K87" s="147"/>
      <c r="L87" s="147"/>
      <c r="M87" s="147"/>
      <c r="N87" s="147"/>
      <c r="O87" s="147"/>
      <c r="P87" s="147"/>
      <c r="Q87" s="147"/>
      <c r="R87" s="554">
        <f t="shared" si="35"/>
        <v>0</v>
      </c>
      <c r="S87" s="147"/>
      <c r="T87" s="147"/>
      <c r="U87" s="143"/>
    </row>
    <row r="88" spans="1:21" s="144" customFormat="1" ht="12.75">
      <c r="A88" s="145" t="s">
        <v>814</v>
      </c>
      <c r="B88" s="146">
        <f t="shared" si="33"/>
        <v>38625</v>
      </c>
      <c r="C88" s="1243">
        <v>38625</v>
      </c>
      <c r="D88" s="147"/>
      <c r="E88" s="147">
        <f t="shared" si="34"/>
        <v>38625</v>
      </c>
      <c r="F88" s="147"/>
      <c r="G88" s="147"/>
      <c r="H88" s="147"/>
      <c r="I88" s="147"/>
      <c r="J88" s="147"/>
      <c r="K88" s="147"/>
      <c r="L88" s="147"/>
      <c r="M88" s="147"/>
      <c r="N88" s="147"/>
      <c r="O88" s="147"/>
      <c r="P88" s="147"/>
      <c r="Q88" s="147"/>
      <c r="R88" s="554">
        <f t="shared" si="35"/>
        <v>38625</v>
      </c>
      <c r="S88" s="148"/>
      <c r="T88" s="148"/>
      <c r="U88" s="143"/>
    </row>
    <row r="89" spans="1:21" s="144" customFormat="1" ht="12.75">
      <c r="A89" s="145" t="s">
        <v>815</v>
      </c>
      <c r="B89" s="146">
        <f t="shared" si="33"/>
        <v>150000</v>
      </c>
      <c r="C89" s="1241">
        <v>150000</v>
      </c>
      <c r="D89" s="147"/>
      <c r="E89" s="147">
        <f t="shared" si="34"/>
        <v>150000</v>
      </c>
      <c r="F89" s="147"/>
      <c r="G89" s="147"/>
      <c r="H89" s="147"/>
      <c r="I89" s="147"/>
      <c r="J89" s="147"/>
      <c r="K89" s="147"/>
      <c r="L89" s="147"/>
      <c r="M89" s="147"/>
      <c r="N89" s="147"/>
      <c r="O89" s="147"/>
      <c r="P89" s="147"/>
      <c r="Q89" s="147"/>
      <c r="R89" s="554">
        <f t="shared" si="35"/>
        <v>150000</v>
      </c>
      <c r="S89" s="147">
        <f t="shared" ref="S89:S93" si="37">+R89</f>
        <v>150000</v>
      </c>
      <c r="T89" s="147"/>
      <c r="U89" s="143"/>
    </row>
    <row r="90" spans="1:21" s="144" customFormat="1" ht="12.75">
      <c r="A90" s="145" t="s">
        <v>816</v>
      </c>
      <c r="B90" s="146">
        <f t="shared" si="33"/>
        <v>10000</v>
      </c>
      <c r="C90" s="1241">
        <v>10000</v>
      </c>
      <c r="D90" s="147"/>
      <c r="E90" s="147">
        <f t="shared" si="34"/>
        <v>10000</v>
      </c>
      <c r="F90" s="147"/>
      <c r="G90" s="147"/>
      <c r="H90" s="147"/>
      <c r="I90" s="147"/>
      <c r="J90" s="147"/>
      <c r="K90" s="147"/>
      <c r="L90" s="147"/>
      <c r="M90" s="147"/>
      <c r="N90" s="147"/>
      <c r="O90" s="147"/>
      <c r="P90" s="147"/>
      <c r="Q90" s="147"/>
      <c r="R90" s="554">
        <f t="shared" si="35"/>
        <v>10000</v>
      </c>
      <c r="S90" s="147">
        <f t="shared" si="37"/>
        <v>10000</v>
      </c>
      <c r="T90" s="147"/>
      <c r="U90" s="143"/>
    </row>
    <row r="91" spans="1:21" s="144" customFormat="1" ht="12.75">
      <c r="A91" s="145" t="s">
        <v>387</v>
      </c>
      <c r="B91" s="146">
        <f t="shared" si="33"/>
        <v>45000</v>
      </c>
      <c r="C91" s="1241">
        <v>45000</v>
      </c>
      <c r="D91" s="147"/>
      <c r="E91" s="147">
        <f t="shared" si="34"/>
        <v>45000</v>
      </c>
      <c r="F91" s="147"/>
      <c r="G91" s="147"/>
      <c r="H91" s="147"/>
      <c r="I91" s="147"/>
      <c r="J91" s="147"/>
      <c r="K91" s="147"/>
      <c r="L91" s="147"/>
      <c r="M91" s="147"/>
      <c r="N91" s="147"/>
      <c r="O91" s="147"/>
      <c r="P91" s="147"/>
      <c r="Q91" s="147"/>
      <c r="R91" s="554">
        <f t="shared" si="35"/>
        <v>45000</v>
      </c>
      <c r="S91" s="147">
        <f t="shared" si="37"/>
        <v>45000</v>
      </c>
      <c r="T91" s="147"/>
      <c r="U91" s="143"/>
    </row>
    <row r="92" spans="1:21" s="144" customFormat="1" ht="12.75">
      <c r="A92" s="306" t="s">
        <v>1377</v>
      </c>
      <c r="B92" s="146">
        <f t="shared" si="33"/>
        <v>7500</v>
      </c>
      <c r="C92" s="1242">
        <v>7500</v>
      </c>
      <c r="D92" s="147"/>
      <c r="E92" s="147">
        <f t="shared" si="34"/>
        <v>7500</v>
      </c>
      <c r="F92" s="147"/>
      <c r="G92" s="147"/>
      <c r="H92" s="147"/>
      <c r="I92" s="147"/>
      <c r="J92" s="147"/>
      <c r="K92" s="147"/>
      <c r="L92" s="147"/>
      <c r="M92" s="147"/>
      <c r="N92" s="147"/>
      <c r="O92" s="147"/>
      <c r="P92" s="147"/>
      <c r="Q92" s="147"/>
      <c r="R92" s="554">
        <f t="shared" si="35"/>
        <v>7500</v>
      </c>
      <c r="S92" s="147">
        <f t="shared" si="37"/>
        <v>7500</v>
      </c>
      <c r="T92" s="147"/>
      <c r="U92" s="143"/>
    </row>
    <row r="93" spans="1:21" s="144" customFormat="1" ht="12.75">
      <c r="A93" s="1240" t="s">
        <v>2708</v>
      </c>
      <c r="B93" s="146">
        <f t="shared" si="33"/>
        <v>85000</v>
      </c>
      <c r="C93" s="1241">
        <v>85000</v>
      </c>
      <c r="D93" s="147"/>
      <c r="E93" s="147">
        <f t="shared" si="34"/>
        <v>85000</v>
      </c>
      <c r="F93" s="147"/>
      <c r="G93" s="147"/>
      <c r="H93" s="147"/>
      <c r="I93" s="147"/>
      <c r="J93" s="147"/>
      <c r="K93" s="147"/>
      <c r="L93" s="147"/>
      <c r="M93" s="147"/>
      <c r="N93" s="147"/>
      <c r="O93" s="147"/>
      <c r="P93" s="147"/>
      <c r="Q93" s="147"/>
      <c r="R93" s="554">
        <f t="shared" si="35"/>
        <v>85000</v>
      </c>
      <c r="S93" s="147">
        <f t="shared" si="37"/>
        <v>85000</v>
      </c>
      <c r="T93" s="147"/>
      <c r="U93" s="143"/>
    </row>
    <row r="94" spans="1:21" s="144" customFormat="1">
      <c r="A94" s="152" t="s">
        <v>35</v>
      </c>
      <c r="B94" s="146">
        <f t="shared" si="33"/>
        <v>0</v>
      </c>
      <c r="C94" s="147"/>
      <c r="D94" s="147"/>
      <c r="E94" s="147">
        <f t="shared" si="34"/>
        <v>0</v>
      </c>
      <c r="F94" s="147"/>
      <c r="G94" s="147"/>
      <c r="H94" s="147"/>
      <c r="I94" s="147"/>
      <c r="J94" s="147"/>
      <c r="K94" s="147"/>
      <c r="L94" s="147"/>
      <c r="M94" s="147"/>
      <c r="N94" s="147"/>
      <c r="O94" s="147"/>
      <c r="P94" s="147"/>
      <c r="Q94" s="147"/>
      <c r="R94" s="554">
        <f t="shared" si="35"/>
        <v>0</v>
      </c>
      <c r="S94" s="147"/>
      <c r="T94" s="147"/>
      <c r="U94" s="143"/>
    </row>
    <row r="95" spans="1:21" s="144" customFormat="1">
      <c r="A95" s="152" t="s">
        <v>35</v>
      </c>
      <c r="B95" s="146">
        <f t="shared" si="33"/>
        <v>0</v>
      </c>
      <c r="C95" s="147"/>
      <c r="D95" s="147"/>
      <c r="E95" s="147">
        <f t="shared" si="34"/>
        <v>0</v>
      </c>
      <c r="F95" s="147"/>
      <c r="G95" s="147"/>
      <c r="H95" s="147"/>
      <c r="I95" s="147"/>
      <c r="J95" s="147"/>
      <c r="K95" s="147"/>
      <c r="L95" s="147"/>
      <c r="M95" s="147"/>
      <c r="N95" s="147"/>
      <c r="O95" s="147"/>
      <c r="P95" s="147"/>
      <c r="Q95" s="147"/>
      <c r="R95" s="554">
        <f t="shared" si="35"/>
        <v>0</v>
      </c>
      <c r="S95" s="147"/>
      <c r="T95" s="147"/>
      <c r="U95" s="143"/>
    </row>
    <row r="96" spans="1:21" s="144" customFormat="1">
      <c r="A96" s="149" t="s">
        <v>817</v>
      </c>
      <c r="B96" s="146">
        <f>SUM(C96:D96)</f>
        <v>4713860</v>
      </c>
      <c r="C96" s="146">
        <f t="shared" ref="C96:R96" si="38">SUM(C83:C95)</f>
        <v>4713860</v>
      </c>
      <c r="D96" s="146">
        <f t="shared" si="38"/>
        <v>0</v>
      </c>
      <c r="E96" s="146">
        <f t="shared" si="38"/>
        <v>4713860</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73">
        <f t="shared" si="38"/>
        <v>4713860</v>
      </c>
      <c r="S96" s="150">
        <f>SUM(S84:S87,S89:S95)</f>
        <v>4529500</v>
      </c>
      <c r="T96" s="146">
        <f>SUM(T84:T87,T89:T95)</f>
        <v>0</v>
      </c>
      <c r="U96" s="143"/>
    </row>
    <row r="97" spans="1:21" s="144" customFormat="1">
      <c r="A97" s="149" t="s">
        <v>818</v>
      </c>
      <c r="B97" s="146">
        <f>SUM(C97:D97)</f>
        <v>45501141</v>
      </c>
      <c r="C97" s="146">
        <f t="shared" ref="C97:R97" si="39">SUM(C63+C70+C77+C81+C96)</f>
        <v>45501141</v>
      </c>
      <c r="D97" s="146">
        <f t="shared" si="39"/>
        <v>0</v>
      </c>
      <c r="E97" s="146">
        <f t="shared" si="39"/>
        <v>25677803</v>
      </c>
      <c r="F97" s="146">
        <f t="shared" si="39"/>
        <v>3601874</v>
      </c>
      <c r="G97" s="146">
        <f t="shared" si="39"/>
        <v>10720918</v>
      </c>
      <c r="H97" s="146">
        <f t="shared" si="39"/>
        <v>291455</v>
      </c>
      <c r="I97" s="146">
        <f t="shared" si="39"/>
        <v>0</v>
      </c>
      <c r="J97" s="146">
        <f t="shared" si="39"/>
        <v>5209091</v>
      </c>
      <c r="K97" s="146">
        <f t="shared" si="39"/>
        <v>0</v>
      </c>
      <c r="L97" s="146">
        <f t="shared" si="39"/>
        <v>0</v>
      </c>
      <c r="M97" s="146">
        <f t="shared" si="39"/>
        <v>0</v>
      </c>
      <c r="N97" s="146">
        <f t="shared" si="39"/>
        <v>0</v>
      </c>
      <c r="O97" s="146">
        <f t="shared" si="39"/>
        <v>0</v>
      </c>
      <c r="P97" s="146">
        <f t="shared" si="39"/>
        <v>0</v>
      </c>
      <c r="Q97" s="146">
        <f t="shared" si="39"/>
        <v>0</v>
      </c>
      <c r="R97" s="146">
        <f t="shared" si="39"/>
        <v>45501141</v>
      </c>
      <c r="S97" s="146">
        <f>SUM(S63+S70+S81+S96)</f>
        <v>41977506</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2892116</v>
      </c>
      <c r="C99" s="1019">
        <v>2892116</v>
      </c>
      <c r="D99" s="1019"/>
      <c r="E99" s="147">
        <f t="shared" ref="E99:E103" si="40">+C99-SUM(F99:J99)</f>
        <v>2276909</v>
      </c>
      <c r="F99" s="147"/>
      <c r="G99" s="147"/>
      <c r="H99" s="147"/>
      <c r="I99" s="147">
        <f>Application!AO640</f>
        <v>615207</v>
      </c>
      <c r="J99" s="147"/>
      <c r="K99" s="147"/>
      <c r="L99" s="147"/>
      <c r="M99" s="147"/>
      <c r="N99" s="147"/>
      <c r="O99" s="147"/>
      <c r="P99" s="147"/>
      <c r="Q99" s="147"/>
      <c r="R99" s="554">
        <f t="shared" ref="R99:R103" si="41">SUM(E99:Q99)</f>
        <v>2892116</v>
      </c>
      <c r="S99" s="147">
        <f>+R99</f>
        <v>2892116</v>
      </c>
      <c r="T99" s="147"/>
      <c r="U99" s="143"/>
    </row>
    <row r="100" spans="1:21" s="144" customFormat="1">
      <c r="A100" s="306" t="s">
        <v>1855</v>
      </c>
      <c r="B100" s="146">
        <f t="shared" ref="B100:B103" si="42">SUM(C100+D100)</f>
        <v>0</v>
      </c>
      <c r="C100" s="147"/>
      <c r="D100" s="147"/>
      <c r="E100" s="147">
        <f t="shared" si="40"/>
        <v>0</v>
      </c>
      <c r="F100" s="147"/>
      <c r="G100" s="147"/>
      <c r="H100" s="147"/>
      <c r="I100" s="147"/>
      <c r="J100" s="147"/>
      <c r="K100" s="147"/>
      <c r="L100" s="147"/>
      <c r="M100" s="147"/>
      <c r="N100" s="147"/>
      <c r="O100" s="147"/>
      <c r="P100" s="147"/>
      <c r="Q100" s="147"/>
      <c r="R100" s="554">
        <f t="shared" si="41"/>
        <v>0</v>
      </c>
      <c r="S100" s="147"/>
      <c r="T100" s="147"/>
      <c r="U100" s="143"/>
    </row>
    <row r="101" spans="1:21" s="144" customFormat="1" ht="12" customHeight="1">
      <c r="A101" s="145" t="s">
        <v>821</v>
      </c>
      <c r="B101" s="146">
        <f t="shared" si="42"/>
        <v>0</v>
      </c>
      <c r="C101" s="147"/>
      <c r="D101" s="147"/>
      <c r="E101" s="147">
        <f t="shared" si="40"/>
        <v>0</v>
      </c>
      <c r="F101" s="147"/>
      <c r="G101" s="147"/>
      <c r="H101" s="147"/>
      <c r="I101" s="147"/>
      <c r="J101" s="147"/>
      <c r="K101" s="147"/>
      <c r="L101" s="147"/>
      <c r="M101" s="147"/>
      <c r="N101" s="147"/>
      <c r="O101" s="147"/>
      <c r="P101" s="147"/>
      <c r="Q101" s="147"/>
      <c r="R101" s="554">
        <f t="shared" si="41"/>
        <v>0</v>
      </c>
      <c r="S101" s="147"/>
      <c r="T101" s="147"/>
      <c r="U101" s="143"/>
    </row>
    <row r="102" spans="1:21" s="144" customFormat="1">
      <c r="A102" s="306" t="s">
        <v>1856</v>
      </c>
      <c r="B102" s="146">
        <f t="shared" si="42"/>
        <v>0</v>
      </c>
      <c r="C102" s="147"/>
      <c r="D102" s="147"/>
      <c r="E102" s="147">
        <f t="shared" si="40"/>
        <v>0</v>
      </c>
      <c r="F102" s="147"/>
      <c r="G102" s="147"/>
      <c r="H102" s="147"/>
      <c r="I102" s="147"/>
      <c r="J102" s="147"/>
      <c r="K102" s="147"/>
      <c r="L102" s="147"/>
      <c r="M102" s="147"/>
      <c r="N102" s="147"/>
      <c r="O102" s="147"/>
      <c r="P102" s="147"/>
      <c r="Q102" s="147"/>
      <c r="R102" s="554">
        <f t="shared" si="41"/>
        <v>0</v>
      </c>
      <c r="S102" s="147"/>
      <c r="T102" s="147"/>
      <c r="U102" s="143"/>
    </row>
    <row r="103" spans="1:21" s="144" customFormat="1">
      <c r="A103" s="152" t="s">
        <v>35</v>
      </c>
      <c r="B103" s="146">
        <f t="shared" si="42"/>
        <v>0</v>
      </c>
      <c r="C103" s="147"/>
      <c r="D103" s="147"/>
      <c r="E103" s="147">
        <f t="shared" si="40"/>
        <v>0</v>
      </c>
      <c r="F103" s="147"/>
      <c r="G103" s="147"/>
      <c r="H103" s="147"/>
      <c r="I103" s="147"/>
      <c r="J103" s="147"/>
      <c r="K103" s="147"/>
      <c r="L103" s="147"/>
      <c r="M103" s="147"/>
      <c r="N103" s="147"/>
      <c r="O103" s="147"/>
      <c r="P103" s="147"/>
      <c r="Q103" s="147"/>
      <c r="R103" s="554">
        <f t="shared" si="41"/>
        <v>0</v>
      </c>
      <c r="S103" s="147"/>
      <c r="T103" s="147"/>
      <c r="U103" s="143"/>
    </row>
    <row r="104" spans="1:21" s="144" customFormat="1">
      <c r="A104" s="149" t="s">
        <v>822</v>
      </c>
      <c r="B104" s="146">
        <f>SUM(C104:D104)</f>
        <v>2892116</v>
      </c>
      <c r="C104" s="146">
        <f>SUM(C99:C103)</f>
        <v>2892116</v>
      </c>
      <c r="D104" s="146">
        <f t="shared" ref="D104:T104" si="43">SUM(D99:D103)</f>
        <v>0</v>
      </c>
      <c r="E104" s="146">
        <f t="shared" si="43"/>
        <v>2276909</v>
      </c>
      <c r="F104" s="146">
        <f t="shared" si="43"/>
        <v>0</v>
      </c>
      <c r="G104" s="146">
        <f t="shared" si="43"/>
        <v>0</v>
      </c>
      <c r="H104" s="146">
        <f t="shared" si="43"/>
        <v>0</v>
      </c>
      <c r="I104" s="146">
        <f t="shared" si="43"/>
        <v>615207</v>
      </c>
      <c r="J104" s="146">
        <f t="shared" si="43"/>
        <v>0</v>
      </c>
      <c r="K104" s="146">
        <f t="shared" si="43"/>
        <v>0</v>
      </c>
      <c r="L104" s="146">
        <f t="shared" si="43"/>
        <v>0</v>
      </c>
      <c r="M104" s="146">
        <f t="shared" si="43"/>
        <v>0</v>
      </c>
      <c r="N104" s="146">
        <f t="shared" si="43"/>
        <v>0</v>
      </c>
      <c r="O104" s="146">
        <f t="shared" si="43"/>
        <v>0</v>
      </c>
      <c r="P104" s="146">
        <f t="shared" si="43"/>
        <v>0</v>
      </c>
      <c r="Q104" s="146">
        <f t="shared" si="43"/>
        <v>0</v>
      </c>
      <c r="R104" s="373">
        <f t="shared" si="43"/>
        <v>2892116</v>
      </c>
      <c r="S104" s="150">
        <f t="shared" si="43"/>
        <v>2892116</v>
      </c>
      <c r="T104" s="150">
        <f t="shared" si="43"/>
        <v>0</v>
      </c>
      <c r="U104" s="143"/>
    </row>
    <row r="105" spans="1:21" s="144" customFormat="1">
      <c r="A105" s="149" t="s">
        <v>823</v>
      </c>
      <c r="B105" s="150">
        <f>SUM(C105:D105)</f>
        <v>48393257</v>
      </c>
      <c r="C105" s="150">
        <f t="shared" ref="C105:R105" si="44">SUM(C97+C104)</f>
        <v>48393257</v>
      </c>
      <c r="D105" s="150">
        <f t="shared" si="44"/>
        <v>0</v>
      </c>
      <c r="E105" s="150">
        <f t="shared" si="44"/>
        <v>27954712</v>
      </c>
      <c r="F105" s="150">
        <f t="shared" si="44"/>
        <v>3601874</v>
      </c>
      <c r="G105" s="150">
        <f t="shared" si="44"/>
        <v>10720918</v>
      </c>
      <c r="H105" s="150">
        <f t="shared" si="44"/>
        <v>291455</v>
      </c>
      <c r="I105" s="150">
        <f t="shared" si="44"/>
        <v>615207</v>
      </c>
      <c r="J105" s="150">
        <f t="shared" si="44"/>
        <v>5209091</v>
      </c>
      <c r="K105" s="150">
        <f t="shared" si="44"/>
        <v>0</v>
      </c>
      <c r="L105" s="150">
        <f t="shared" si="44"/>
        <v>0</v>
      </c>
      <c r="M105" s="150">
        <f t="shared" si="44"/>
        <v>0</v>
      </c>
      <c r="N105" s="150">
        <f t="shared" si="44"/>
        <v>0</v>
      </c>
      <c r="O105" s="150">
        <f t="shared" si="44"/>
        <v>0</v>
      </c>
      <c r="P105" s="150">
        <f t="shared" si="44"/>
        <v>0</v>
      </c>
      <c r="Q105" s="150">
        <f t="shared" si="44"/>
        <v>0</v>
      </c>
      <c r="R105" s="373">
        <f t="shared" si="44"/>
        <v>48393257</v>
      </c>
      <c r="S105" s="150">
        <f>S97+S104</f>
        <v>44869622</v>
      </c>
      <c r="T105" s="150">
        <f>T97+T104</f>
        <v>0</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44869622</v>
      </c>
      <c r="T107" s="150">
        <f>T105+T106</f>
        <v>0</v>
      </c>
    </row>
    <row r="108" spans="1:21" s="202" customFormat="1">
      <c r="A108" s="163" t="s">
        <v>928</v>
      </c>
      <c r="B108" s="158"/>
      <c r="C108" s="158"/>
      <c r="D108" s="158"/>
      <c r="E108" s="325">
        <f>Application!AO650</f>
        <v>27954712</v>
      </c>
      <c r="F108" s="325">
        <f>Application!AO637</f>
        <v>3601874</v>
      </c>
      <c r="G108" s="325">
        <f>Application!AO638</f>
        <v>10720918</v>
      </c>
      <c r="H108" s="325">
        <f>Application!AO639</f>
        <v>291455</v>
      </c>
      <c r="I108" s="325">
        <f>Application!AO640</f>
        <v>615207</v>
      </c>
      <c r="J108" s="325">
        <f>Application!AO641</f>
        <v>5209091</v>
      </c>
      <c r="K108" s="325">
        <f>Application!AO642</f>
        <v>0</v>
      </c>
      <c r="L108" s="325">
        <f>Application!AO643</f>
        <v>0</v>
      </c>
      <c r="M108" s="325">
        <f>Application!AO644</f>
        <v>0</v>
      </c>
      <c r="N108" s="325">
        <f>Application!AO645</f>
        <v>0</v>
      </c>
      <c r="O108" s="325">
        <f>Application!AO646</f>
        <v>0</v>
      </c>
      <c r="P108" s="325">
        <f>Application!AO647</f>
        <v>0</v>
      </c>
      <c r="Q108" s="325">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2595</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75">
      <c r="A121" s="369" t="s">
        <v>1083</v>
      </c>
      <c r="B121" s="158"/>
      <c r="C121" s="158"/>
      <c r="D121" s="158"/>
    </row>
    <row r="122" spans="1:21">
      <c r="A122" s="356" t="s">
        <v>1067</v>
      </c>
      <c r="B122" s="355"/>
      <c r="C122" s="355"/>
      <c r="D122" s="1866" t="s">
        <v>1068</v>
      </c>
      <c r="E122" s="1866"/>
      <c r="F122" s="1866"/>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68" t="s">
        <v>1394</v>
      </c>
      <c r="E123" s="1869"/>
      <c r="F123" s="1869"/>
      <c r="G123" s="1869"/>
      <c r="H123" s="1869"/>
      <c r="I123" s="1869"/>
      <c r="J123" s="1869"/>
      <c r="K123" s="1869"/>
      <c r="L123" s="1869"/>
      <c r="M123" s="1869"/>
      <c r="N123" s="1869"/>
      <c r="O123" s="1869"/>
      <c r="P123" s="1869"/>
      <c r="Q123" s="1869"/>
      <c r="R123" s="1869"/>
      <c r="S123" s="1869"/>
      <c r="T123" s="355"/>
      <c r="U123" s="357"/>
    </row>
    <row r="124" spans="1:21" ht="12.75">
      <c r="A124" s="117" t="s">
        <v>1070</v>
      </c>
      <c r="B124" s="364"/>
      <c r="C124" s="117"/>
      <c r="D124" s="1869"/>
      <c r="E124" s="1869"/>
      <c r="F124" s="1869"/>
      <c r="G124" s="1869"/>
      <c r="H124" s="1869"/>
      <c r="I124" s="1869"/>
      <c r="J124" s="1869"/>
      <c r="K124" s="1869"/>
      <c r="L124" s="1869"/>
      <c r="M124" s="1869"/>
      <c r="N124" s="1869"/>
      <c r="O124" s="1869"/>
      <c r="P124" s="1869"/>
      <c r="Q124" s="1869"/>
      <c r="R124" s="1869"/>
      <c r="S124" s="1869"/>
      <c r="T124" s="355"/>
      <c r="U124" s="357"/>
    </row>
    <row r="125" spans="1:21" ht="12.75">
      <c r="A125" s="117" t="s">
        <v>1071</v>
      </c>
      <c r="B125" s="364"/>
      <c r="C125" s="117"/>
      <c r="D125" s="1869"/>
      <c r="E125" s="1869"/>
      <c r="F125" s="1869"/>
      <c r="G125" s="1869"/>
      <c r="H125" s="1869"/>
      <c r="I125" s="1869"/>
      <c r="J125" s="1869"/>
      <c r="K125" s="1869"/>
      <c r="L125" s="1869"/>
      <c r="M125" s="1869"/>
      <c r="N125" s="1869"/>
      <c r="O125" s="1869"/>
      <c r="P125" s="1869"/>
      <c r="Q125" s="1869"/>
      <c r="R125" s="1869"/>
      <c r="S125" s="1869"/>
      <c r="T125" s="355"/>
      <c r="U125" s="357"/>
    </row>
    <row r="126" spans="1:21" ht="12.7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1074</v>
      </c>
      <c r="B128" s="364"/>
      <c r="C128" s="117"/>
      <c r="D128" s="1863"/>
      <c r="E128" s="1863"/>
      <c r="F128" s="1863"/>
      <c r="G128" s="1863"/>
      <c r="H128" s="1863"/>
      <c r="I128" s="117"/>
      <c r="J128" s="1864"/>
      <c r="K128" s="1864"/>
      <c r="L128" s="117"/>
      <c r="M128" s="117"/>
      <c r="N128" s="117"/>
      <c r="O128" s="117"/>
      <c r="P128" s="117"/>
      <c r="Q128" s="117"/>
      <c r="R128" s="117"/>
      <c r="S128" s="117"/>
      <c r="T128" s="355"/>
      <c r="U128" s="357"/>
    </row>
    <row r="129" spans="1:21" ht="12.75">
      <c r="A129" s="117" t="s">
        <v>306</v>
      </c>
      <c r="B129" s="364"/>
      <c r="C129" s="117"/>
      <c r="D129" s="1865" t="s">
        <v>1075</v>
      </c>
      <c r="E129" s="1865"/>
      <c r="F129" s="1865"/>
      <c r="G129" s="1865"/>
      <c r="H129" s="1865"/>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1077</v>
      </c>
      <c r="B131" s="365">
        <f>SUM(B123:B129)</f>
        <v>0</v>
      </c>
      <c r="C131" s="117"/>
      <c r="D131" s="1848"/>
      <c r="E131" s="1848"/>
      <c r="F131" s="1848"/>
      <c r="G131" s="1848"/>
      <c r="H131" s="1848"/>
      <c r="I131" s="117"/>
      <c r="J131" s="1848"/>
      <c r="K131" s="1848"/>
      <c r="L131" s="1848"/>
      <c r="M131" s="1848"/>
      <c r="N131" s="117"/>
      <c r="O131" s="117"/>
      <c r="P131" s="117"/>
      <c r="Q131" s="117"/>
      <c r="R131" s="117"/>
      <c r="S131" s="117"/>
      <c r="T131" s="355"/>
      <c r="U131" s="357"/>
    </row>
    <row r="132" spans="1:21" ht="12" customHeight="1">
      <c r="A132" s="367"/>
      <c r="B132" s="117"/>
      <c r="C132" s="117"/>
      <c r="D132" s="1870" t="s">
        <v>1078</v>
      </c>
      <c r="E132" s="1870"/>
      <c r="F132" s="1870"/>
      <c r="G132" s="1870"/>
      <c r="H132" s="1870"/>
      <c r="I132" s="117"/>
      <c r="J132" s="1870" t="s">
        <v>1079</v>
      </c>
      <c r="K132" s="1870"/>
      <c r="L132" s="1870"/>
      <c r="M132" s="1870"/>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71"/>
      <c r="B138" s="1863"/>
      <c r="C138" s="1863"/>
      <c r="D138" s="359"/>
      <c r="E138" s="1864"/>
      <c r="F138" s="1864"/>
      <c r="G138" s="117"/>
      <c r="H138" s="117"/>
      <c r="I138" s="117"/>
      <c r="J138" s="117"/>
      <c r="K138" s="117"/>
      <c r="L138" s="117"/>
      <c r="M138" s="117"/>
      <c r="N138" s="117"/>
      <c r="O138" s="117"/>
      <c r="P138" s="117"/>
      <c r="Q138" s="117"/>
      <c r="R138" s="117"/>
      <c r="S138" s="117"/>
      <c r="T138" s="361"/>
      <c r="U138" s="362"/>
    </row>
    <row r="139" spans="1:21" ht="12.75">
      <c r="A139" s="1867" t="s">
        <v>1082</v>
      </c>
      <c r="B139" s="1867"/>
      <c r="C139" s="1867"/>
      <c r="D139" s="359"/>
      <c r="E139" s="117" t="s">
        <v>1076</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53" stopIfTrue="1">
      <formula>T9&gt;C9</formula>
    </cfRule>
  </conditionalFormatting>
  <conditionalFormatting sqref="S10">
    <cfRule type="expression" dxfId="139" priority="252" stopIfTrue="1">
      <formula>(S10+T10)&gt;C10</formula>
    </cfRule>
  </conditionalFormatting>
  <conditionalFormatting sqref="R8">
    <cfRule type="cellIs" dxfId="138" priority="241" stopIfTrue="1" operator="notEqual">
      <formula>$B8</formula>
    </cfRule>
    <cfRule type="cellIs" priority="244" stopIfTrue="1" operator="notEqual">
      <formula>$B8</formula>
    </cfRule>
  </conditionalFormatting>
  <conditionalFormatting sqref="R4:R7 R56:R61 R45:R53 R83:R95 R99:R103">
    <cfRule type="cellIs" dxfId="137" priority="243" stopIfTrue="1" operator="notEqual">
      <formula>$B4</formula>
    </cfRule>
  </conditionalFormatting>
  <conditionalFormatting sqref="R9:R10">
    <cfRule type="cellIs" dxfId="136" priority="242" stopIfTrue="1" operator="notEqual">
      <formula>$B9</formula>
    </cfRule>
  </conditionalFormatting>
  <conditionalFormatting sqref="R11:R12">
    <cfRule type="cellIs" dxfId="135" priority="239" stopIfTrue="1" operator="notEqual">
      <formula>$B11</formula>
    </cfRule>
    <cfRule type="cellIs" priority="240" stopIfTrue="1" operator="notEqual">
      <formula>$B11</formula>
    </cfRule>
  </conditionalFormatting>
  <conditionalFormatting sqref="R13:R15">
    <cfRule type="cellIs" dxfId="134" priority="238" stopIfTrue="1" operator="notEqual">
      <formula>$B13</formula>
    </cfRule>
  </conditionalFormatting>
  <conditionalFormatting sqref="R26">
    <cfRule type="cellIs" dxfId="133" priority="236" stopIfTrue="1" operator="notEqual">
      <formula>$B26</formula>
    </cfRule>
    <cfRule type="cellIs" priority="237" stopIfTrue="1" operator="notEqual">
      <formula>$B26</formula>
    </cfRule>
  </conditionalFormatting>
  <conditionalFormatting sqref="R17:R25">
    <cfRule type="cellIs" dxfId="132" priority="235" stopIfTrue="1" operator="notEqual">
      <formula>$B17</formula>
    </cfRule>
  </conditionalFormatting>
  <conditionalFormatting sqref="R27">
    <cfRule type="cellIs" dxfId="131" priority="234" stopIfTrue="1" operator="notEqual">
      <formula>$B27</formula>
    </cfRule>
  </conditionalFormatting>
  <conditionalFormatting sqref="R38">
    <cfRule type="cellIs" dxfId="130" priority="232" stopIfTrue="1" operator="notEqual">
      <formula>$B38</formula>
    </cfRule>
    <cfRule type="cellIs" priority="233" stopIfTrue="1" operator="notEqual">
      <formula>$B38</formula>
    </cfRule>
  </conditionalFormatting>
  <conditionalFormatting sqref="R29:R37">
    <cfRule type="cellIs" dxfId="129" priority="231" stopIfTrue="1" operator="notEqual">
      <formula>$B29</formula>
    </cfRule>
  </conditionalFormatting>
  <conditionalFormatting sqref="R42">
    <cfRule type="cellIs" dxfId="128" priority="229" stopIfTrue="1" operator="notEqual">
      <formula>$B42</formula>
    </cfRule>
    <cfRule type="cellIs" priority="230" stopIfTrue="1" operator="notEqual">
      <formula>$B42</formula>
    </cfRule>
  </conditionalFormatting>
  <conditionalFormatting sqref="R40:R41">
    <cfRule type="cellIs" dxfId="127" priority="228" stopIfTrue="1" operator="notEqual">
      <formula>$B40</formula>
    </cfRule>
  </conditionalFormatting>
  <conditionalFormatting sqref="R43">
    <cfRule type="cellIs" dxfId="126" priority="227" stopIfTrue="1" operator="notEqual">
      <formula>$B43</formula>
    </cfRule>
  </conditionalFormatting>
  <conditionalFormatting sqref="R54">
    <cfRule type="cellIs" dxfId="125" priority="225" stopIfTrue="1" operator="notEqual">
      <formula>$B54</formula>
    </cfRule>
    <cfRule type="cellIs" priority="226" stopIfTrue="1" operator="notEqual">
      <formula>$B54</formula>
    </cfRule>
  </conditionalFormatting>
  <conditionalFormatting sqref="R62:R63">
    <cfRule type="cellIs" dxfId="124" priority="222" stopIfTrue="1" operator="notEqual">
      <formula>$B62</formula>
    </cfRule>
    <cfRule type="cellIs" priority="223" stopIfTrue="1" operator="notEqual">
      <formula>$B62</formula>
    </cfRule>
  </conditionalFormatting>
  <conditionalFormatting sqref="R70">
    <cfRule type="cellIs" dxfId="123" priority="219" stopIfTrue="1" operator="notEqual">
      <formula>$B70</formula>
    </cfRule>
    <cfRule type="cellIs" priority="220" stopIfTrue="1" operator="notEqual">
      <formula>$B70</formula>
    </cfRule>
  </conditionalFormatting>
  <conditionalFormatting sqref="R65:R69">
    <cfRule type="cellIs" dxfId="122" priority="218" stopIfTrue="1" operator="notEqual">
      <formula>$B65</formula>
    </cfRule>
  </conditionalFormatting>
  <conditionalFormatting sqref="R77">
    <cfRule type="cellIs" dxfId="121" priority="216" stopIfTrue="1" operator="notEqual">
      <formula>$B77</formula>
    </cfRule>
    <cfRule type="cellIs" priority="217" stopIfTrue="1" operator="notEqual">
      <formula>$B77</formula>
    </cfRule>
  </conditionalFormatting>
  <conditionalFormatting sqref="R96">
    <cfRule type="cellIs" dxfId="120" priority="214" stopIfTrue="1" operator="notEqual">
      <formula>$B96</formula>
    </cfRule>
    <cfRule type="cellIs" priority="215" stopIfTrue="1" operator="notEqual">
      <formula>$B96</formula>
    </cfRule>
  </conditionalFormatting>
  <conditionalFormatting sqref="R72:R76">
    <cfRule type="cellIs" dxfId="119" priority="213" stopIfTrue="1" operator="notEqual">
      <formula>$B72</formula>
    </cfRule>
  </conditionalFormatting>
  <conditionalFormatting sqref="R79:R80">
    <cfRule type="cellIs" dxfId="118" priority="212" stopIfTrue="1" operator="notEqual">
      <formula>$B79</formula>
    </cfRule>
  </conditionalFormatting>
  <conditionalFormatting sqref="R104:R105">
    <cfRule type="cellIs" dxfId="117" priority="209" stopIfTrue="1" operator="notEqual">
      <formula>$B104</formula>
    </cfRule>
    <cfRule type="cellIs" priority="210" stopIfTrue="1" operator="notEqual">
      <formula>$B104</formula>
    </cfRule>
  </conditionalFormatting>
  <conditionalFormatting sqref="E105:Q105">
    <cfRule type="cellIs" dxfId="116" priority="207" stopIfTrue="1" operator="notEqual">
      <formula>E$108</formula>
    </cfRule>
  </conditionalFormatting>
  <conditionalFormatting sqref="S13">
    <cfRule type="expression" dxfId="115" priority="204" stopIfTrue="1">
      <formula>(S13+T13)&gt;C13</formula>
    </cfRule>
  </conditionalFormatting>
  <conditionalFormatting sqref="S14">
    <cfRule type="expression" dxfId="114" priority="201" stopIfTrue="1">
      <formula>(S14+T14)&gt;C14</formula>
    </cfRule>
  </conditionalFormatting>
  <conditionalFormatting sqref="S17">
    <cfRule type="expression" dxfId="113" priority="200" stopIfTrue="1">
      <formula>(S17+T17)&gt;C17</formula>
    </cfRule>
  </conditionalFormatting>
  <conditionalFormatting sqref="S18">
    <cfRule type="expression" dxfId="112" priority="192" stopIfTrue="1">
      <formula>(S18+T18)&gt;C18</formula>
    </cfRule>
  </conditionalFormatting>
  <conditionalFormatting sqref="S19">
    <cfRule type="expression" dxfId="111" priority="190" stopIfTrue="1">
      <formula>(S19+T19)&gt;C19</formula>
    </cfRule>
  </conditionalFormatting>
  <conditionalFormatting sqref="S20">
    <cfRule type="expression" dxfId="110" priority="189" stopIfTrue="1">
      <formula>(S20+T20)&gt;C20</formula>
    </cfRule>
  </conditionalFormatting>
  <conditionalFormatting sqref="S21">
    <cfRule type="expression" dxfId="109" priority="188" stopIfTrue="1">
      <formula>(S21+T21)&gt;C21</formula>
    </cfRule>
  </conditionalFormatting>
  <conditionalFormatting sqref="S22">
    <cfRule type="expression" dxfId="108" priority="187" stopIfTrue="1">
      <formula>(S22+T22)&gt;C22</formula>
    </cfRule>
  </conditionalFormatting>
  <conditionalFormatting sqref="S23:S24">
    <cfRule type="expression" dxfId="107" priority="186" stopIfTrue="1">
      <formula>(S23+T23)&gt;C23</formula>
    </cfRule>
  </conditionalFormatting>
  <conditionalFormatting sqref="S25">
    <cfRule type="expression" dxfId="106" priority="185" stopIfTrue="1">
      <formula>(S25+T25)&gt;C25</formula>
    </cfRule>
  </conditionalFormatting>
  <conditionalFormatting sqref="S27">
    <cfRule type="expression" dxfId="105" priority="178" stopIfTrue="1">
      <formula>(S27+T27)&gt;C27</formula>
    </cfRule>
  </conditionalFormatting>
  <conditionalFormatting sqref="S29:S33">
    <cfRule type="expression" dxfId="104" priority="176" stopIfTrue="1">
      <formula>(S29+T29)&gt;C29</formula>
    </cfRule>
  </conditionalFormatting>
  <conditionalFormatting sqref="S34">
    <cfRule type="expression" dxfId="103" priority="170" stopIfTrue="1">
      <formula>(S34+T34)&gt;C34</formula>
    </cfRule>
  </conditionalFormatting>
  <conditionalFormatting sqref="S35:S36">
    <cfRule type="expression" dxfId="102" priority="169" stopIfTrue="1">
      <formula>(S35+T35)&gt;C35</formula>
    </cfRule>
  </conditionalFormatting>
  <conditionalFormatting sqref="S37">
    <cfRule type="expression" dxfId="101" priority="168" stopIfTrue="1">
      <formula>(S37+T37)&gt;C37</formula>
    </cfRule>
  </conditionalFormatting>
  <conditionalFormatting sqref="S45">
    <cfRule type="expression" dxfId="100" priority="154" stopIfTrue="1">
      <formula>(S45+T45)&gt;C45</formula>
    </cfRule>
  </conditionalFormatting>
  <conditionalFormatting sqref="S53">
    <cfRule type="expression" dxfId="99" priority="141" stopIfTrue="1">
      <formula>(S53+T53)&gt;C53</formula>
    </cfRule>
  </conditionalFormatting>
  <conditionalFormatting sqref="S87">
    <cfRule type="expression" dxfId="98" priority="120" stopIfTrue="1">
      <formula>(S87+T87)&gt;C87</formula>
    </cfRule>
  </conditionalFormatting>
  <conditionalFormatting sqref="S94">
    <cfRule type="expression" dxfId="97" priority="110" stopIfTrue="1">
      <formula>(S94+T94)&gt;C94</formula>
    </cfRule>
  </conditionalFormatting>
  <conditionalFormatting sqref="S95">
    <cfRule type="expression" dxfId="96" priority="109" stopIfTrue="1">
      <formula>(S95+T95)&gt;C95</formula>
    </cfRule>
  </conditionalFormatting>
  <conditionalFormatting sqref="S99">
    <cfRule type="expression" dxfId="95" priority="97" stopIfTrue="1">
      <formula>(S99+T99)&gt;C99</formula>
    </cfRule>
  </conditionalFormatting>
  <conditionalFormatting sqref="S100">
    <cfRule type="expression" dxfId="94" priority="96" stopIfTrue="1">
      <formula>(S100+T100)&gt;C100</formula>
    </cfRule>
  </conditionalFormatting>
  <conditionalFormatting sqref="S101">
    <cfRule type="expression" dxfId="93" priority="94" stopIfTrue="1">
      <formula>(S101+T101)&gt;C101</formula>
    </cfRule>
  </conditionalFormatting>
  <conditionalFormatting sqref="S102">
    <cfRule type="expression" dxfId="92" priority="93" stopIfTrue="1">
      <formula>(S102+T102)&gt;C102</formula>
    </cfRule>
  </conditionalFormatting>
  <conditionalFormatting sqref="S103">
    <cfRule type="expression" dxfId="91" priority="92" stopIfTrue="1">
      <formula>(S103+T103)&gt;C103</formula>
    </cfRule>
  </conditionalFormatting>
  <conditionalFormatting sqref="C10">
    <cfRule type="expression" dxfId="90" priority="84">
      <formula>"(S10+T10)&gt;C10 "</formula>
    </cfRule>
  </conditionalFormatting>
  <conditionalFormatting sqref="T10">
    <cfRule type="expression" dxfId="89" priority="82" stopIfTrue="1">
      <formula>(S10+T10)&gt;C10</formula>
    </cfRule>
  </conditionalFormatting>
  <conditionalFormatting sqref="T13">
    <cfRule type="expression" dxfId="88" priority="80" stopIfTrue="1">
      <formula>(S13+T13)&gt;C13</formula>
    </cfRule>
  </conditionalFormatting>
  <conditionalFormatting sqref="T14">
    <cfRule type="expression" dxfId="87" priority="79" stopIfTrue="1">
      <formula>(S14+T14)&gt;C14</formula>
    </cfRule>
  </conditionalFormatting>
  <conditionalFormatting sqref="T17">
    <cfRule type="expression" dxfId="86" priority="78" stopIfTrue="1">
      <formula>(S17+T17)&gt;C17</formula>
    </cfRule>
  </conditionalFormatting>
  <conditionalFormatting sqref="T18">
    <cfRule type="expression" dxfId="85" priority="61" stopIfTrue="1">
      <formula>(S18+T18)&gt;C18</formula>
    </cfRule>
  </conditionalFormatting>
  <conditionalFormatting sqref="T19">
    <cfRule type="expression" dxfId="84" priority="60" stopIfTrue="1">
      <formula>(S19+T19)&gt;C19</formula>
    </cfRule>
  </conditionalFormatting>
  <conditionalFormatting sqref="T20">
    <cfRule type="expression" dxfId="83" priority="59" stopIfTrue="1">
      <formula>(S20+T20)&gt;C20</formula>
    </cfRule>
  </conditionalFormatting>
  <conditionalFormatting sqref="T21">
    <cfRule type="expression" dxfId="82" priority="58" stopIfTrue="1">
      <formula>(S21+T21)&gt;C21</formula>
    </cfRule>
  </conditionalFormatting>
  <conditionalFormatting sqref="T22">
    <cfRule type="expression" dxfId="81" priority="57" stopIfTrue="1">
      <formula>(S22+T22)&gt;C22</formula>
    </cfRule>
  </conditionalFormatting>
  <conditionalFormatting sqref="T23:T24">
    <cfRule type="expression" dxfId="80" priority="56" stopIfTrue="1">
      <formula>(S23+T23)&gt;C23</formula>
    </cfRule>
  </conditionalFormatting>
  <conditionalFormatting sqref="T25">
    <cfRule type="expression" dxfId="79" priority="55" stopIfTrue="1">
      <formula>(S25+T25)&gt;C25</formula>
    </cfRule>
  </conditionalFormatting>
  <conditionalFormatting sqref="T27">
    <cfRule type="expression" dxfId="78" priority="53" stopIfTrue="1">
      <formula>(S27+T27)&gt;C27</formula>
    </cfRule>
  </conditionalFormatting>
  <conditionalFormatting sqref="T29">
    <cfRule type="expression" dxfId="77" priority="52" stopIfTrue="1">
      <formula>(S29+T29)&gt;C29</formula>
    </cfRule>
  </conditionalFormatting>
  <conditionalFormatting sqref="T30">
    <cfRule type="expression" dxfId="76" priority="50" stopIfTrue="1">
      <formula>(S30+T30)&gt;C30</formula>
    </cfRule>
  </conditionalFormatting>
  <conditionalFormatting sqref="T31">
    <cfRule type="expression" dxfId="75" priority="49" stopIfTrue="1">
      <formula>(S31+T31)&gt;C31</formula>
    </cfRule>
  </conditionalFormatting>
  <conditionalFormatting sqref="T32">
    <cfRule type="expression" dxfId="74" priority="48" stopIfTrue="1">
      <formula>(S32+T32)&gt;C32</formula>
    </cfRule>
  </conditionalFormatting>
  <conditionalFormatting sqref="T33">
    <cfRule type="expression" dxfId="73" priority="47" stopIfTrue="1">
      <formula>(S33+T33)&gt;C33</formula>
    </cfRule>
  </conditionalFormatting>
  <conditionalFormatting sqref="T34">
    <cfRule type="expression" dxfId="72" priority="46" stopIfTrue="1">
      <formula>(S34+T34)&gt;C34</formula>
    </cfRule>
  </conditionalFormatting>
  <conditionalFormatting sqref="T35:T36">
    <cfRule type="expression" dxfId="71" priority="45" stopIfTrue="1">
      <formula>(S35+T35)&gt;C35</formula>
    </cfRule>
  </conditionalFormatting>
  <conditionalFormatting sqref="T37">
    <cfRule type="expression" dxfId="70" priority="44" stopIfTrue="1">
      <formula>(S37+T37)&gt;C37</formula>
    </cfRule>
  </conditionalFormatting>
  <conditionalFormatting sqref="T40">
    <cfRule type="expression" dxfId="69" priority="43" stopIfTrue="1">
      <formula>(S40+T40)&gt;C40</formula>
    </cfRule>
  </conditionalFormatting>
  <conditionalFormatting sqref="T41">
    <cfRule type="expression" dxfId="68" priority="42" stopIfTrue="1">
      <formula>(S41+T41)&gt;C41</formula>
    </cfRule>
  </conditionalFormatting>
  <conditionalFormatting sqref="T43">
    <cfRule type="expression" dxfId="67" priority="41" stopIfTrue="1">
      <formula>(S43+T43)&gt;C43</formula>
    </cfRule>
  </conditionalFormatting>
  <conditionalFormatting sqref="T45">
    <cfRule type="expression" dxfId="66" priority="40" stopIfTrue="1">
      <formula>(S45+T45)&gt;C45</formula>
    </cfRule>
  </conditionalFormatting>
  <conditionalFormatting sqref="T46">
    <cfRule type="expression" dxfId="65" priority="39" stopIfTrue="1">
      <formula>(S46+T46)&gt;C46</formula>
    </cfRule>
  </conditionalFormatting>
  <conditionalFormatting sqref="T47">
    <cfRule type="expression" dxfId="64" priority="38" stopIfTrue="1">
      <formula>(S47+T47)&gt;C47</formula>
    </cfRule>
  </conditionalFormatting>
  <conditionalFormatting sqref="T48">
    <cfRule type="expression" dxfId="63" priority="37" stopIfTrue="1">
      <formula>(S48+T48)&gt;C48</formula>
    </cfRule>
  </conditionalFormatting>
  <conditionalFormatting sqref="T49">
    <cfRule type="expression" dxfId="62" priority="36" stopIfTrue="1">
      <formula>(S49+T49)&gt;C49</formula>
    </cfRule>
  </conditionalFormatting>
  <conditionalFormatting sqref="T50">
    <cfRule type="expression" dxfId="61" priority="35" stopIfTrue="1">
      <formula>(S50+T50)&gt;C50</formula>
    </cfRule>
  </conditionalFormatting>
  <conditionalFormatting sqref="T51">
    <cfRule type="expression" dxfId="60" priority="34" stopIfTrue="1">
      <formula>(S51+T51)&gt;C51</formula>
    </cfRule>
  </conditionalFormatting>
  <conditionalFormatting sqref="T52">
    <cfRule type="expression" dxfId="59" priority="33" stopIfTrue="1">
      <formula>(S52+T52)&gt;C52</formula>
    </cfRule>
  </conditionalFormatting>
  <conditionalFormatting sqref="T53">
    <cfRule type="expression" dxfId="58" priority="31" stopIfTrue="1">
      <formula>(S53+T53)&gt;C53</formula>
    </cfRule>
  </conditionalFormatting>
  <conditionalFormatting sqref="T65:T68">
    <cfRule type="expression" dxfId="57" priority="30" stopIfTrue="1">
      <formula>(S65+T65)&gt;C65</formula>
    </cfRule>
  </conditionalFormatting>
  <conditionalFormatting sqref="T69">
    <cfRule type="expression" dxfId="56" priority="29" stopIfTrue="1">
      <formula>(S69+T69)&gt;C69</formula>
    </cfRule>
  </conditionalFormatting>
  <conditionalFormatting sqref="T79">
    <cfRule type="expression" dxfId="55" priority="28" stopIfTrue="1">
      <formula>(S79+T79)&gt;C79</formula>
    </cfRule>
  </conditionalFormatting>
  <conditionalFormatting sqref="T80">
    <cfRule type="expression" dxfId="54" priority="27" stopIfTrue="1">
      <formula>(S80+T80)&gt;C80</formula>
    </cfRule>
  </conditionalFormatting>
  <conditionalFormatting sqref="T84">
    <cfRule type="expression" dxfId="53" priority="26" stopIfTrue="1">
      <formula>(S84+T84)&gt;C84</formula>
    </cfRule>
  </conditionalFormatting>
  <conditionalFormatting sqref="T85">
    <cfRule type="expression" dxfId="52" priority="25" stopIfTrue="1">
      <formula>(S85+T85)&gt;C85</formula>
    </cfRule>
  </conditionalFormatting>
  <conditionalFormatting sqref="T86">
    <cfRule type="expression" dxfId="51" priority="24" stopIfTrue="1">
      <formula>(S86+T86)&gt;C86</formula>
    </cfRule>
  </conditionalFormatting>
  <conditionalFormatting sqref="T87">
    <cfRule type="expression" dxfId="50" priority="23" stopIfTrue="1">
      <formula>(S87+T87)&gt;C87</formula>
    </cfRule>
  </conditionalFormatting>
  <conditionalFormatting sqref="T89">
    <cfRule type="expression" dxfId="49" priority="22" stopIfTrue="1">
      <formula>(S89+T89)&gt;C89</formula>
    </cfRule>
  </conditionalFormatting>
  <conditionalFormatting sqref="T90">
    <cfRule type="expression" dxfId="48" priority="21" stopIfTrue="1">
      <formula>(S90+T90)&gt;C90</formula>
    </cfRule>
  </conditionalFormatting>
  <conditionalFormatting sqref="T91">
    <cfRule type="expression" dxfId="47" priority="20" stopIfTrue="1">
      <formula>(S91+T91)&gt;C91</formula>
    </cfRule>
  </conditionalFormatting>
  <conditionalFormatting sqref="T92">
    <cfRule type="expression" dxfId="46" priority="19" stopIfTrue="1">
      <formula>(S92+T92)&gt;C92</formula>
    </cfRule>
  </conditionalFormatting>
  <conditionalFormatting sqref="T93">
    <cfRule type="expression" dxfId="45" priority="18" stopIfTrue="1">
      <formula>(S93+T93)&gt;C93</formula>
    </cfRule>
  </conditionalFormatting>
  <conditionalFormatting sqref="T94">
    <cfRule type="expression" dxfId="44" priority="17" stopIfTrue="1">
      <formula>(S94+T94)&gt;C94</formula>
    </cfRule>
  </conditionalFormatting>
  <conditionalFormatting sqref="T95">
    <cfRule type="expression" dxfId="43" priority="16" stopIfTrue="1">
      <formula>(S95+T95)&gt;C95</formula>
    </cfRule>
  </conditionalFormatting>
  <conditionalFormatting sqref="T99">
    <cfRule type="expression" dxfId="42" priority="13" stopIfTrue="1">
      <formula>(S99+T99)&gt;C99</formula>
    </cfRule>
  </conditionalFormatting>
  <conditionalFormatting sqref="T100">
    <cfRule type="expression" dxfId="41" priority="12" stopIfTrue="1">
      <formula>(S100+T100)&gt;C100</formula>
    </cfRule>
  </conditionalFormatting>
  <conditionalFormatting sqref="T101">
    <cfRule type="expression" dxfId="40" priority="10" stopIfTrue="1">
      <formula>(S101+T101)&gt;C101</formula>
    </cfRule>
  </conditionalFormatting>
  <conditionalFormatting sqref="T102">
    <cfRule type="expression" dxfId="39" priority="9" stopIfTrue="1">
      <formula>(S102+T102)&gt;C102</formula>
    </cfRule>
  </conditionalFormatting>
  <conditionalFormatting sqref="T103">
    <cfRule type="expression" dxfId="38" priority="8" stopIfTrue="1">
      <formula>(S103+T103)&gt;C103</formula>
    </cfRule>
  </conditionalFormatting>
  <conditionalFormatting sqref="S40:S41">
    <cfRule type="expression" dxfId="37" priority="7" stopIfTrue="1">
      <formula>(S40+T40)&gt;C40</formula>
    </cfRule>
  </conditionalFormatting>
  <conditionalFormatting sqref="S43">
    <cfRule type="expression" dxfId="36" priority="6" stopIfTrue="1">
      <formula>(S43+T43)&gt;C43</formula>
    </cfRule>
  </conditionalFormatting>
  <conditionalFormatting sqref="S46:S52">
    <cfRule type="expression" dxfId="35" priority="5" stopIfTrue="1">
      <formula>(S46+T46)&gt;C46</formula>
    </cfRule>
  </conditionalFormatting>
  <conditionalFormatting sqref="S65:S69">
    <cfRule type="expression" dxfId="34" priority="4" stopIfTrue="1">
      <formula>(S65+T65)&gt;C65</formula>
    </cfRule>
  </conditionalFormatting>
  <conditionalFormatting sqref="S79:S80">
    <cfRule type="expression" dxfId="33" priority="3" stopIfTrue="1">
      <formula>(S79+T79)&gt;C79</formula>
    </cfRule>
  </conditionalFormatting>
  <conditionalFormatting sqref="S84:S86">
    <cfRule type="expression" dxfId="32" priority="2" stopIfTrue="1">
      <formula>(S84+T84)&gt;C84</formula>
    </cfRule>
  </conditionalFormatting>
  <conditionalFormatting sqref="S89:S93">
    <cfRule type="expression" dxfId="31"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74" t="s">
        <v>1397</v>
      </c>
      <c r="B1" s="1875"/>
      <c r="C1" s="1875"/>
      <c r="D1" s="1875"/>
      <c r="E1" s="1875"/>
      <c r="F1" s="1875"/>
      <c r="G1" s="1875"/>
      <c r="H1" s="1875"/>
      <c r="I1" s="1875"/>
      <c r="J1" s="1876"/>
      <c r="K1" s="389"/>
    </row>
    <row r="2" spans="1:11" s="435" customFormat="1" ht="72">
      <c r="A2" s="432"/>
      <c r="B2" s="433" t="s">
        <v>1109</v>
      </c>
      <c r="C2" s="433" t="s">
        <v>1399</v>
      </c>
      <c r="D2" s="433" t="s">
        <v>1400</v>
      </c>
      <c r="E2" s="433" t="s">
        <v>1321</v>
      </c>
      <c r="F2" s="433" t="s">
        <v>1401</v>
      </c>
      <c r="G2" s="433" t="s">
        <v>1402</v>
      </c>
      <c r="H2" s="433" t="s">
        <v>1110</v>
      </c>
      <c r="I2" s="433" t="s">
        <v>1403</v>
      </c>
      <c r="J2" s="433" t="s">
        <v>1404</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2700000</v>
      </c>
      <c r="C4" s="396"/>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10000</v>
      </c>
      <c r="C6" s="396"/>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2710000</v>
      </c>
      <c r="C8" s="395">
        <f>SUM(C4:C7)</f>
        <v>0</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0</v>
      </c>
      <c r="C10" s="396"/>
      <c r="D10" s="396"/>
      <c r="E10" s="395">
        <f>'Sources and Uses Budget'!S10</f>
        <v>0</v>
      </c>
      <c r="F10" s="396"/>
      <c r="G10" s="396"/>
      <c r="H10" s="395">
        <f>'Sources and Uses Budget'!T10</f>
        <v>0</v>
      </c>
      <c r="I10" s="396"/>
      <c r="J10" s="396"/>
      <c r="K10" s="393"/>
    </row>
    <row r="11" spans="1:11" s="394" customFormat="1">
      <c r="A11" s="399" t="s">
        <v>623</v>
      </c>
      <c r="B11" s="395">
        <f>'Sources and Uses Budget'!C11</f>
        <v>0</v>
      </c>
      <c r="C11" s="395">
        <f>SUM(C9:C10)</f>
        <v>0</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2710000</v>
      </c>
      <c r="C12" s="395">
        <f>SUM(C8+C11)</f>
        <v>0</v>
      </c>
      <c r="D12" s="395">
        <f>SUM(D8+D11)</f>
        <v>0</v>
      </c>
      <c r="E12" s="397"/>
      <c r="F12" s="397"/>
      <c r="G12" s="397"/>
      <c r="H12" s="397"/>
      <c r="I12" s="397"/>
      <c r="J12" s="397"/>
      <c r="K12" s="393"/>
    </row>
    <row r="13" spans="1:11" s="394" customFormat="1">
      <c r="A13" s="400" t="s">
        <v>955</v>
      </c>
      <c r="B13" s="395">
        <f>'Sources and Uses Budget'!C13</f>
        <v>0</v>
      </c>
      <c r="C13" s="396"/>
      <c r="D13" s="396"/>
      <c r="E13" s="395">
        <f>'Sources and Uses Budget'!S13</f>
        <v>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1849</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4143063</v>
      </c>
      <c r="C29" s="396"/>
      <c r="D29" s="396"/>
      <c r="E29" s="395">
        <f>'Sources and Uses Budget'!S29</f>
        <v>4143063</v>
      </c>
      <c r="F29" s="396"/>
      <c r="G29" s="396"/>
      <c r="H29" s="395">
        <f>'Sources and Uses Budget'!T29</f>
        <v>0</v>
      </c>
      <c r="I29" s="396"/>
      <c r="J29" s="396"/>
      <c r="K29" s="393"/>
    </row>
    <row r="30" spans="1:11" s="394" customFormat="1">
      <c r="A30" s="145" t="s">
        <v>626</v>
      </c>
      <c r="B30" s="395">
        <f>'Sources and Uses Budget'!C30</f>
        <v>21586805</v>
      </c>
      <c r="C30" s="396"/>
      <c r="D30" s="396"/>
      <c r="E30" s="395">
        <f>'Sources and Uses Budget'!S30</f>
        <v>21586805</v>
      </c>
      <c r="F30" s="396"/>
      <c r="G30" s="396"/>
      <c r="H30" s="395">
        <f>'Sources and Uses Budget'!T30</f>
        <v>0</v>
      </c>
      <c r="I30" s="396"/>
      <c r="J30" s="396"/>
      <c r="K30" s="393"/>
    </row>
    <row r="31" spans="1:11" s="394" customFormat="1">
      <c r="A31" s="145" t="s">
        <v>627</v>
      </c>
      <c r="B31" s="395">
        <f>'Sources and Uses Budget'!C31</f>
        <v>1543792</v>
      </c>
      <c r="C31" s="396"/>
      <c r="D31" s="396"/>
      <c r="E31" s="395">
        <f>'Sources and Uses Budget'!S31</f>
        <v>1543792</v>
      </c>
      <c r="F31" s="396"/>
      <c r="G31" s="396"/>
      <c r="H31" s="395">
        <f>'Sources and Uses Budget'!T31</f>
        <v>0</v>
      </c>
      <c r="I31" s="396"/>
      <c r="J31" s="396"/>
      <c r="K31" s="393"/>
    </row>
    <row r="32" spans="1:11" s="394" customFormat="1">
      <c r="A32" s="145" t="s">
        <v>142</v>
      </c>
      <c r="B32" s="395">
        <f>'Sources and Uses Budget'!C32</f>
        <v>545473</v>
      </c>
      <c r="C32" s="396"/>
      <c r="D32" s="396"/>
      <c r="E32" s="395">
        <f>'Sources and Uses Budget'!S32</f>
        <v>545473</v>
      </c>
      <c r="F32" s="396"/>
      <c r="G32" s="396"/>
      <c r="H32" s="395">
        <f>'Sources and Uses Budget'!T32</f>
        <v>0</v>
      </c>
      <c r="I32" s="396"/>
      <c r="J32" s="396"/>
      <c r="K32" s="393"/>
    </row>
    <row r="33" spans="1:11" s="394" customFormat="1">
      <c r="A33" s="145" t="s">
        <v>143</v>
      </c>
      <c r="B33" s="395">
        <f>'Sources and Uses Budget'!C33</f>
        <v>1636420</v>
      </c>
      <c r="C33" s="396"/>
      <c r="D33" s="396"/>
      <c r="E33" s="395">
        <f>'Sources and Uses Budget'!S33</f>
        <v>1636420</v>
      </c>
      <c r="F33" s="396"/>
      <c r="G33" s="396"/>
      <c r="H33" s="395">
        <f>'Sources and Uses Budget'!T33</f>
        <v>0</v>
      </c>
      <c r="I33" s="396"/>
      <c r="J33" s="396"/>
      <c r="K33" s="393"/>
    </row>
    <row r="34" spans="1:11" s="394" customFormat="1">
      <c r="A34" s="145" t="s">
        <v>144</v>
      </c>
      <c r="B34" s="395">
        <f>'Sources and Uses Budget'!C34</f>
        <v>3000000</v>
      </c>
      <c r="C34" s="396"/>
      <c r="D34" s="396"/>
      <c r="E34" s="395">
        <f>'Sources and Uses Budget'!S34</f>
        <v>3000000</v>
      </c>
      <c r="F34" s="396"/>
      <c r="G34" s="396"/>
      <c r="H34" s="395">
        <f>'Sources and Uses Budget'!T34</f>
        <v>0</v>
      </c>
      <c r="I34" s="396"/>
      <c r="J34" s="396"/>
      <c r="K34" s="393"/>
    </row>
    <row r="35" spans="1:11" s="394" customFormat="1">
      <c r="A35" s="145" t="s">
        <v>145</v>
      </c>
      <c r="B35" s="395">
        <f>'Sources and Uses Budget'!C35</f>
        <v>377031</v>
      </c>
      <c r="C35" s="396"/>
      <c r="D35" s="396"/>
      <c r="E35" s="395">
        <f>'Sources and Uses Budget'!S35</f>
        <v>377031</v>
      </c>
      <c r="F35" s="396"/>
      <c r="G35" s="396"/>
      <c r="H35" s="395">
        <f>'Sources and Uses Budget'!T35</f>
        <v>0</v>
      </c>
      <c r="I35" s="396"/>
      <c r="J35" s="396"/>
      <c r="K35" s="393"/>
    </row>
    <row r="36" spans="1:11" s="394" customFormat="1">
      <c r="A36" s="546" t="s">
        <v>1849</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 xml:space="preserve">Frontage Construction </v>
      </c>
      <c r="B37" s="395">
        <f>'Sources and Uses Budget'!C37</f>
        <v>300000</v>
      </c>
      <c r="C37" s="396"/>
      <c r="D37" s="396"/>
      <c r="E37" s="395">
        <f>'Sources and Uses Budget'!S37</f>
        <v>300000</v>
      </c>
      <c r="F37" s="396"/>
      <c r="G37" s="396"/>
      <c r="H37" s="395">
        <f>'Sources and Uses Budget'!T37</f>
        <v>0</v>
      </c>
      <c r="I37" s="396"/>
      <c r="J37" s="396"/>
      <c r="K37" s="393"/>
    </row>
    <row r="38" spans="1:11" s="394" customFormat="1">
      <c r="A38" s="399" t="s">
        <v>148</v>
      </c>
      <c r="B38" s="395">
        <f>'Sources and Uses Budget'!C38</f>
        <v>33132584</v>
      </c>
      <c r="C38" s="395">
        <f>SUM(C29:C37)</f>
        <v>0</v>
      </c>
      <c r="D38" s="395">
        <f>SUM(D29:D37)</f>
        <v>0</v>
      </c>
      <c r="E38" s="395">
        <f>'Sources and Uses Budget'!S38</f>
        <v>33132584</v>
      </c>
      <c r="F38" s="401">
        <f>SUM(F29:F37)</f>
        <v>0</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589111</v>
      </c>
      <c r="C40" s="396"/>
      <c r="D40" s="396"/>
      <c r="E40" s="395">
        <f>'Sources and Uses Budget'!S40</f>
        <v>589111</v>
      </c>
      <c r="F40" s="396"/>
      <c r="G40" s="396"/>
      <c r="H40" s="395">
        <f>'Sources and Uses Budget'!T40</f>
        <v>0</v>
      </c>
      <c r="I40" s="396"/>
      <c r="J40" s="396"/>
      <c r="K40" s="393"/>
    </row>
    <row r="41" spans="1:11" s="394" customFormat="1">
      <c r="A41" s="398" t="s">
        <v>151</v>
      </c>
      <c r="B41" s="395">
        <f>'Sources and Uses Budget'!C41</f>
        <v>324556</v>
      </c>
      <c r="C41" s="396"/>
      <c r="D41" s="396"/>
      <c r="E41" s="395">
        <f>'Sources and Uses Budget'!S41</f>
        <v>324556</v>
      </c>
      <c r="F41" s="396"/>
      <c r="G41" s="396"/>
      <c r="H41" s="395">
        <f>'Sources and Uses Budget'!T41</f>
        <v>0</v>
      </c>
      <c r="I41" s="396"/>
      <c r="J41" s="396"/>
      <c r="K41" s="393"/>
    </row>
    <row r="42" spans="1:11" s="394" customFormat="1">
      <c r="A42" s="399" t="s">
        <v>152</v>
      </c>
      <c r="B42" s="395">
        <f>'Sources and Uses Budget'!C42</f>
        <v>913667</v>
      </c>
      <c r="C42" s="395">
        <f>SUM(C39:C41)</f>
        <v>0</v>
      </c>
      <c r="D42" s="395">
        <f>SUM(D39:D41)</f>
        <v>0</v>
      </c>
      <c r="E42" s="395">
        <f>'Sources and Uses Budget'!S42</f>
        <v>913667</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150000</v>
      </c>
      <c r="C43" s="396"/>
      <c r="D43" s="396"/>
      <c r="E43" s="395">
        <f>'Sources and Uses Budget'!S43</f>
        <v>150000</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1015863</v>
      </c>
      <c r="C45" s="396"/>
      <c r="D45" s="396"/>
      <c r="E45" s="395">
        <f>'Sources and Uses Budget'!S45</f>
        <v>775324</v>
      </c>
      <c r="F45" s="396"/>
      <c r="G45" s="396"/>
      <c r="H45" s="395">
        <f>'Sources and Uses Budget'!T45</f>
        <v>0</v>
      </c>
      <c r="I45" s="396"/>
      <c r="J45" s="396"/>
      <c r="K45" s="393"/>
    </row>
    <row r="46" spans="1:11" s="394" customFormat="1">
      <c r="A46" s="398" t="s">
        <v>156</v>
      </c>
      <c r="B46" s="395">
        <f>'Sources and Uses Budget'!C46</f>
        <v>252161</v>
      </c>
      <c r="C46" s="396"/>
      <c r="D46" s="396"/>
      <c r="E46" s="395">
        <f>'Sources and Uses Budget'!S46</f>
        <v>252161</v>
      </c>
      <c r="F46" s="396"/>
      <c r="G46" s="396"/>
      <c r="H46" s="395">
        <f>'Sources and Uses Budget'!T46</f>
        <v>0</v>
      </c>
      <c r="I46" s="396"/>
      <c r="J46" s="396"/>
      <c r="K46" s="393"/>
    </row>
    <row r="47" spans="1:11" s="394" customFormat="1" ht="12" customHeight="1">
      <c r="A47" s="398" t="s">
        <v>157</v>
      </c>
      <c r="B47" s="395">
        <f>'Sources and Uses Budget'!C47</f>
        <v>35000</v>
      </c>
      <c r="C47" s="396"/>
      <c r="D47" s="396"/>
      <c r="E47" s="395">
        <f>'Sources and Uses Budget'!S47</f>
        <v>35000</v>
      </c>
      <c r="F47" s="396"/>
      <c r="G47" s="396"/>
      <c r="H47" s="395">
        <f>'Sources and Uses Budget'!T47</f>
        <v>0</v>
      </c>
      <c r="I47" s="396"/>
      <c r="J47" s="396"/>
      <c r="K47" s="393"/>
    </row>
    <row r="48" spans="1:11" s="394" customFormat="1">
      <c r="A48" s="398" t="s">
        <v>158</v>
      </c>
      <c r="B48" s="395">
        <f>'Sources and Uses Budget'!C48</f>
        <v>0</v>
      </c>
      <c r="C48" s="396"/>
      <c r="D48" s="396"/>
      <c r="E48" s="395">
        <f>'Sources and Uses Budget'!S48</f>
        <v>0</v>
      </c>
      <c r="F48" s="396"/>
      <c r="G48" s="396"/>
      <c r="H48" s="395">
        <f>'Sources and Uses Budget'!T48</f>
        <v>0</v>
      </c>
      <c r="I48" s="396"/>
      <c r="J48" s="396"/>
      <c r="K48" s="393"/>
    </row>
    <row r="49" spans="1:11" s="394" customFormat="1">
      <c r="A49" s="306" t="s">
        <v>60</v>
      </c>
      <c r="B49" s="395">
        <f>'Sources and Uses Budget'!C49</f>
        <v>186542</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40000</v>
      </c>
      <c r="C50" s="396"/>
      <c r="D50" s="396"/>
      <c r="E50" s="395">
        <f>'Sources and Uses Budget'!S50</f>
        <v>40000</v>
      </c>
      <c r="F50" s="396"/>
      <c r="G50" s="396"/>
      <c r="H50" s="395">
        <f>'Sources and Uses Budget'!T50</f>
        <v>0</v>
      </c>
      <c r="I50" s="396"/>
      <c r="J50" s="396"/>
      <c r="K50" s="393"/>
    </row>
    <row r="51" spans="1:11" s="394" customFormat="1">
      <c r="A51" s="398" t="s">
        <v>159</v>
      </c>
      <c r="B51" s="395">
        <f>'Sources and Uses Budget'!C51</f>
        <v>54000</v>
      </c>
      <c r="C51" s="396"/>
      <c r="D51" s="396"/>
      <c r="E51" s="395">
        <f>'Sources and Uses Budget'!S51</f>
        <v>54000</v>
      </c>
      <c r="F51" s="396"/>
      <c r="G51" s="396"/>
      <c r="H51" s="395">
        <f>'Sources and Uses Budget'!T51</f>
        <v>0</v>
      </c>
      <c r="I51" s="396"/>
      <c r="J51" s="396"/>
      <c r="K51" s="393"/>
    </row>
    <row r="52" spans="1:11" s="394" customFormat="1">
      <c r="A52" s="398" t="s">
        <v>160</v>
      </c>
      <c r="B52" s="395">
        <f>'Sources and Uses Budget'!C52</f>
        <v>20000</v>
      </c>
      <c r="C52" s="396"/>
      <c r="D52" s="396"/>
      <c r="E52" s="395">
        <f>'Sources and Uses Budget'!S52</f>
        <v>20000</v>
      </c>
      <c r="F52" s="396"/>
      <c r="G52" s="396"/>
      <c r="H52" s="395">
        <f>'Sources and Uses Budget'!T52</f>
        <v>0</v>
      </c>
      <c r="I52" s="396"/>
      <c r="J52" s="396"/>
      <c r="K52" s="393"/>
    </row>
    <row r="53" spans="1:11" s="394" customFormat="1">
      <c r="A53" s="398" t="str">
        <f>'Sources and Uses Budget'!$A53</f>
        <v>Other: (Specify)</v>
      </c>
      <c r="B53" s="395">
        <f>'Sources and Uses Budget'!C53</f>
        <v>0</v>
      </c>
      <c r="C53" s="396"/>
      <c r="D53" s="396"/>
      <c r="E53" s="395">
        <f>'Sources and Uses Budget'!S53</f>
        <v>0</v>
      </c>
      <c r="F53" s="396"/>
      <c r="G53" s="396"/>
      <c r="H53" s="395">
        <f>'Sources and Uses Budget'!T53</f>
        <v>0</v>
      </c>
      <c r="I53" s="396"/>
      <c r="J53" s="396"/>
      <c r="K53" s="393"/>
    </row>
    <row r="54" spans="1:11" s="403" customFormat="1">
      <c r="A54" s="399" t="s">
        <v>162</v>
      </c>
      <c r="B54" s="395">
        <f>'Sources and Uses Budget'!C54</f>
        <v>1603566</v>
      </c>
      <c r="C54" s="401">
        <f>SUM(C45:C53)</f>
        <v>0</v>
      </c>
      <c r="D54" s="401">
        <f>SUM(D45:D53)</f>
        <v>0</v>
      </c>
      <c r="E54" s="395">
        <f>'Sources and Uses Budget'!S54</f>
        <v>1176485</v>
      </c>
      <c r="F54" s="401">
        <f>SUM(F45:F53)</f>
        <v>0</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0</v>
      </c>
      <c r="C56" s="396"/>
      <c r="D56" s="396"/>
      <c r="E56" s="397"/>
      <c r="F56" s="397"/>
      <c r="G56" s="397"/>
      <c r="H56" s="397"/>
      <c r="I56" s="397"/>
      <c r="J56" s="397"/>
      <c r="K56" s="393"/>
    </row>
    <row r="57" spans="1:11" s="394" customFormat="1" ht="12" customHeight="1">
      <c r="A57" s="398" t="s">
        <v>157</v>
      </c>
      <c r="B57" s="395">
        <f>'Sources and Uses Budget'!C57</f>
        <v>10000</v>
      </c>
      <c r="C57" s="396"/>
      <c r="D57" s="396"/>
      <c r="E57" s="397"/>
      <c r="F57" s="397"/>
      <c r="G57" s="397"/>
      <c r="H57" s="397"/>
      <c r="I57" s="397"/>
      <c r="J57" s="397"/>
      <c r="K57" s="393"/>
    </row>
    <row r="58" spans="1:11" s="394" customFormat="1">
      <c r="A58" s="398" t="s">
        <v>161</v>
      </c>
      <c r="B58" s="395">
        <f>'Sources and Uses Budget'!C58</f>
        <v>5000</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Other: (Specify)</v>
      </c>
      <c r="B61" s="395">
        <f>'Sources and Uses Budget'!C61</f>
        <v>0</v>
      </c>
      <c r="C61" s="396"/>
      <c r="D61" s="396"/>
      <c r="E61" s="397"/>
      <c r="F61" s="397"/>
      <c r="G61" s="397"/>
      <c r="H61" s="397"/>
      <c r="I61" s="397"/>
      <c r="J61" s="397"/>
      <c r="K61" s="393"/>
    </row>
    <row r="62" spans="1:11" s="394" customFormat="1" ht="13.7" customHeight="1">
      <c r="A62" s="399" t="s">
        <v>307</v>
      </c>
      <c r="B62" s="395">
        <f>'Sources and Uses Budget'!C62</f>
        <v>15000</v>
      </c>
      <c r="C62" s="395">
        <f>SUM(C56:C61)</f>
        <v>0</v>
      </c>
      <c r="D62" s="395">
        <f>SUM(D56:D61)</f>
        <v>0</v>
      </c>
      <c r="E62" s="397"/>
      <c r="F62" s="397"/>
      <c r="G62" s="397"/>
      <c r="H62" s="397"/>
      <c r="I62" s="397"/>
      <c r="J62" s="397"/>
      <c r="K62" s="393"/>
    </row>
    <row r="63" spans="1:11" s="394" customFormat="1">
      <c r="A63" s="404" t="s">
        <v>308</v>
      </c>
      <c r="B63" s="395">
        <f>'Sources and Uses Budget'!C63</f>
        <v>38524817</v>
      </c>
      <c r="C63" s="395">
        <f>SUM(C8+C11+C13+C14+C15+C26+C27+C38+C42+C43+C54+C62)</f>
        <v>0</v>
      </c>
      <c r="D63" s="395">
        <f>SUM(D8+D11+D13+D14+D15+D26+D27+D38+D42+D43+D54+D62)</f>
        <v>0</v>
      </c>
      <c r="E63" s="395">
        <f>'Sources and Uses Budget'!S63</f>
        <v>35372736</v>
      </c>
      <c r="F63" s="395">
        <f>SUM(F10+F13+F14+F15+F26+F27+F38+F42+F43+F54)</f>
        <v>0</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1853</v>
      </c>
      <c r="B64" s="392"/>
      <c r="C64" s="392"/>
      <c r="D64" s="392"/>
      <c r="E64" s="392"/>
      <c r="F64" s="392"/>
      <c r="G64" s="392"/>
      <c r="H64" s="392"/>
      <c r="I64" s="392"/>
      <c r="J64" s="392"/>
      <c r="K64" s="393"/>
    </row>
    <row r="65" spans="1:11" s="394" customFormat="1">
      <c r="A65" s="145" t="s">
        <v>176</v>
      </c>
      <c r="B65" s="395">
        <f>'Sources and Uses Budget'!C65</f>
        <v>65000</v>
      </c>
      <c r="C65" s="396"/>
      <c r="D65" s="396"/>
      <c r="E65" s="395">
        <f>'Sources and Uses Budget'!S65</f>
        <v>65000</v>
      </c>
      <c r="F65" s="396"/>
      <c r="G65" s="396"/>
      <c r="H65" s="395">
        <f>'Sources and Uses Budget'!T65</f>
        <v>0</v>
      </c>
      <c r="I65" s="396"/>
      <c r="J65" s="396"/>
      <c r="K65" s="393"/>
    </row>
    <row r="66" spans="1:11" s="394" customFormat="1" ht="24">
      <c r="A66" s="306" t="s">
        <v>1850</v>
      </c>
      <c r="B66" s="395">
        <f>'Sources and Uses Budget'!C66</f>
        <v>0</v>
      </c>
      <c r="C66" s="396"/>
      <c r="D66" s="396"/>
      <c r="E66" s="395">
        <f>'Sources and Uses Budget'!S66</f>
        <v>0</v>
      </c>
      <c r="F66" s="396"/>
      <c r="G66" s="396"/>
      <c r="H66" s="395">
        <f>'Sources and Uses Budget'!T66</f>
        <v>0</v>
      </c>
      <c r="I66" s="396"/>
      <c r="J66" s="396"/>
      <c r="K66" s="393"/>
    </row>
    <row r="67" spans="1:11" s="394" customFormat="1" ht="24">
      <c r="A67" s="306" t="s">
        <v>1851</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1857</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Borrower's Attorney</v>
      </c>
      <c r="B69" s="395">
        <f>'Sources and Uses Budget'!C69</f>
        <v>50000</v>
      </c>
      <c r="C69" s="396"/>
      <c r="D69" s="396"/>
      <c r="E69" s="395">
        <f>'Sources and Uses Budget'!S69</f>
        <v>50000</v>
      </c>
      <c r="F69" s="396"/>
      <c r="G69" s="396"/>
      <c r="H69" s="395">
        <f>'Sources and Uses Budget'!T69</f>
        <v>0</v>
      </c>
      <c r="I69" s="396"/>
      <c r="J69" s="396"/>
      <c r="K69" s="393"/>
    </row>
    <row r="70" spans="1:11" s="394" customFormat="1">
      <c r="A70" s="399" t="s">
        <v>628</v>
      </c>
      <c r="B70" s="395">
        <f>'Sources and Uses Budget'!C70</f>
        <v>115000</v>
      </c>
      <c r="C70" s="395">
        <f>SUM(C64:C69)</f>
        <v>0</v>
      </c>
      <c r="D70" s="395">
        <f>SUM(D64:D69)</f>
        <v>0</v>
      </c>
      <c r="E70" s="395">
        <f>'Sources and Uses Budget'!S70</f>
        <v>115000</v>
      </c>
      <c r="F70" s="401">
        <f>SUM(F65:F69)</f>
        <v>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30000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157194</v>
      </c>
      <c r="C75" s="396"/>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187194</v>
      </c>
      <c r="C77" s="395">
        <f>SUM(C72:C76)</f>
        <v>0</v>
      </c>
      <c r="D77" s="395">
        <f>SUM(D72:D76)</f>
        <v>0</v>
      </c>
      <c r="E77" s="397"/>
      <c r="F77" s="397"/>
      <c r="G77" s="397"/>
      <c r="H77" s="397"/>
      <c r="I77" s="397"/>
      <c r="J77" s="397"/>
      <c r="K77" s="393"/>
    </row>
    <row r="78" spans="1:11" s="394" customFormat="1">
      <c r="A78" s="391" t="s">
        <v>1376</v>
      </c>
      <c r="B78" s="392"/>
      <c r="C78" s="392"/>
      <c r="D78" s="392"/>
      <c r="E78" s="392"/>
      <c r="F78" s="392"/>
      <c r="G78" s="392"/>
      <c r="H78" s="392"/>
      <c r="I78" s="392"/>
      <c r="J78" s="392"/>
      <c r="K78" s="393"/>
    </row>
    <row r="79" spans="1:11" s="394" customFormat="1">
      <c r="A79" s="398" t="s">
        <v>1378</v>
      </c>
      <c r="B79" s="395">
        <f>'Sources and Uses Budget'!C79</f>
        <v>1656629</v>
      </c>
      <c r="C79" s="396"/>
      <c r="D79" s="396"/>
      <c r="E79" s="395">
        <f>'Sources and Uses Budget'!S79</f>
        <v>1656629</v>
      </c>
      <c r="F79" s="396"/>
      <c r="G79" s="396"/>
      <c r="H79" s="395">
        <f>'Sources and Uses Budget'!T79</f>
        <v>0</v>
      </c>
      <c r="I79" s="396"/>
      <c r="J79" s="396"/>
      <c r="K79" s="393"/>
    </row>
    <row r="80" spans="1:11" s="394" customFormat="1">
      <c r="A80" s="398" t="s">
        <v>61</v>
      </c>
      <c r="B80" s="395">
        <f>'Sources and Uses Budget'!C80</f>
        <v>303641</v>
      </c>
      <c r="C80" s="396"/>
      <c r="D80" s="396"/>
      <c r="E80" s="395">
        <f>'Sources and Uses Budget'!S80</f>
        <v>303641</v>
      </c>
      <c r="F80" s="396"/>
      <c r="G80" s="396"/>
      <c r="H80" s="395">
        <f>'Sources and Uses Budget'!T80</f>
        <v>0</v>
      </c>
      <c r="I80" s="396"/>
      <c r="J80" s="396"/>
      <c r="K80" s="393"/>
    </row>
    <row r="81" spans="1:11" s="394" customFormat="1">
      <c r="A81" s="399" t="s">
        <v>1375</v>
      </c>
      <c r="B81" s="395">
        <f>'Sources and Uses Budget'!C81</f>
        <v>1960270</v>
      </c>
      <c r="C81" s="395">
        <f>SUM(C79:C80)</f>
        <v>0</v>
      </c>
      <c r="D81" s="395">
        <f>SUM(D79:D80)</f>
        <v>0</v>
      </c>
      <c r="E81" s="395">
        <f>'Sources and Uses Budget'!S81</f>
        <v>1960270</v>
      </c>
      <c r="F81" s="395">
        <f>SUM(F79:F80)</f>
        <v>0</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2594</v>
      </c>
      <c r="B83" s="395">
        <f>'Sources and Uses Budget'!C83</f>
        <v>145735</v>
      </c>
      <c r="C83" s="396"/>
      <c r="D83" s="396"/>
      <c r="E83" s="397"/>
      <c r="F83" s="397"/>
      <c r="G83" s="397"/>
      <c r="H83" s="397"/>
      <c r="I83" s="397"/>
      <c r="J83" s="397"/>
      <c r="K83" s="393"/>
    </row>
    <row r="84" spans="1:11" s="394" customFormat="1">
      <c r="A84" s="145" t="s">
        <v>810</v>
      </c>
      <c r="B84" s="395">
        <f>'Sources and Uses Budget'!C84</f>
        <v>7000</v>
      </c>
      <c r="C84" s="396"/>
      <c r="D84" s="396"/>
      <c r="E84" s="395">
        <f>'Sources and Uses Budget'!S84</f>
        <v>7000</v>
      </c>
      <c r="F84" s="396"/>
      <c r="G84" s="396"/>
      <c r="H84" s="395">
        <f>'Sources and Uses Budget'!T84</f>
        <v>0</v>
      </c>
      <c r="I84" s="396"/>
      <c r="J84" s="396"/>
      <c r="K84" s="393"/>
    </row>
    <row r="85" spans="1:11" s="394" customFormat="1">
      <c r="A85" s="145" t="s">
        <v>811</v>
      </c>
      <c r="B85" s="395">
        <f>'Sources and Uses Budget'!C85</f>
        <v>1374843</v>
      </c>
      <c r="C85" s="396"/>
      <c r="D85" s="396"/>
      <c r="E85" s="395">
        <f>'Sources and Uses Budget'!S85</f>
        <v>1374843</v>
      </c>
      <c r="F85" s="396"/>
      <c r="G85" s="396"/>
      <c r="H85" s="395">
        <f>'Sources and Uses Budget'!T85</f>
        <v>0</v>
      </c>
      <c r="I85" s="396"/>
      <c r="J85" s="396"/>
      <c r="K85" s="393"/>
    </row>
    <row r="86" spans="1:11" s="394" customFormat="1">
      <c r="A86" s="145" t="s">
        <v>812</v>
      </c>
      <c r="B86" s="395">
        <f>'Sources and Uses Budget'!C86</f>
        <v>2850157</v>
      </c>
      <c r="C86" s="396"/>
      <c r="D86" s="396"/>
      <c r="E86" s="395">
        <f>'Sources and Uses Budget'!S86</f>
        <v>2850157</v>
      </c>
      <c r="F86" s="396"/>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38625</v>
      </c>
      <c r="C88" s="396"/>
      <c r="D88" s="396"/>
      <c r="E88" s="397"/>
      <c r="F88" s="397"/>
      <c r="G88" s="397"/>
      <c r="H88" s="397"/>
      <c r="I88" s="397"/>
      <c r="J88" s="397"/>
      <c r="K88" s="393"/>
    </row>
    <row r="89" spans="1:11" s="394" customFormat="1">
      <c r="A89" s="145" t="s">
        <v>815</v>
      </c>
      <c r="B89" s="395">
        <f>'Sources and Uses Budget'!C89</f>
        <v>150000</v>
      </c>
      <c r="C89" s="396"/>
      <c r="D89" s="396"/>
      <c r="E89" s="395">
        <f>'Sources and Uses Budget'!S89</f>
        <v>150000</v>
      </c>
      <c r="F89" s="396"/>
      <c r="G89" s="396"/>
      <c r="H89" s="395">
        <f>'Sources and Uses Budget'!T89</f>
        <v>0</v>
      </c>
      <c r="I89" s="396"/>
      <c r="J89" s="396"/>
      <c r="K89" s="393"/>
    </row>
    <row r="90" spans="1:11" s="394" customFormat="1">
      <c r="A90" s="145" t="s">
        <v>816</v>
      </c>
      <c r="B90" s="395">
        <f>'Sources and Uses Budget'!C90</f>
        <v>10000</v>
      </c>
      <c r="C90" s="396"/>
      <c r="D90" s="396"/>
      <c r="E90" s="395">
        <f>'Sources and Uses Budget'!S90</f>
        <v>10000</v>
      </c>
      <c r="F90" s="396"/>
      <c r="G90" s="396"/>
      <c r="H90" s="395">
        <f>'Sources and Uses Budget'!T90</f>
        <v>0</v>
      </c>
      <c r="I90" s="396"/>
      <c r="J90" s="396"/>
      <c r="K90" s="393"/>
    </row>
    <row r="91" spans="1:11" s="394" customFormat="1">
      <c r="A91" s="156" t="s">
        <v>387</v>
      </c>
      <c r="B91" s="395">
        <f>'Sources and Uses Budget'!C91</f>
        <v>45000</v>
      </c>
      <c r="C91" s="396"/>
      <c r="D91" s="396"/>
      <c r="E91" s="395">
        <f>'Sources and Uses Budget'!S91</f>
        <v>45000</v>
      </c>
      <c r="F91" s="396"/>
      <c r="G91" s="396"/>
      <c r="H91" s="395">
        <f>'Sources and Uses Budget'!T91</f>
        <v>0</v>
      </c>
      <c r="I91" s="396"/>
      <c r="J91" s="396"/>
      <c r="K91" s="393"/>
    </row>
    <row r="92" spans="1:11" s="394" customFormat="1">
      <c r="A92" s="546" t="s">
        <v>1377</v>
      </c>
      <c r="B92" s="395">
        <f>'Sources and Uses Budget'!C92</f>
        <v>7500</v>
      </c>
      <c r="C92" s="396"/>
      <c r="D92" s="396"/>
      <c r="E92" s="395">
        <f>'Sources and Uses Budget'!S92</f>
        <v>7500</v>
      </c>
      <c r="F92" s="396"/>
      <c r="G92" s="396"/>
      <c r="H92" s="395">
        <f>'Sources and Uses Budget'!T92</f>
        <v>0</v>
      </c>
      <c r="I92" s="396"/>
      <c r="J92" s="396"/>
      <c r="K92" s="393"/>
    </row>
    <row r="93" spans="1:11" s="394" customFormat="1">
      <c r="A93" s="398" t="str">
        <f>'Sources and Uses Budget'!$A93</f>
        <v>Prevailing Wage Monitoring</v>
      </c>
      <c r="B93" s="395">
        <f>'Sources and Uses Budget'!C93</f>
        <v>85000</v>
      </c>
      <c r="C93" s="396"/>
      <c r="D93" s="396"/>
      <c r="E93" s="395">
        <f>'Sources and Uses Budget'!S93</f>
        <v>85000</v>
      </c>
      <c r="F93" s="396"/>
      <c r="G93" s="396"/>
      <c r="H93" s="395">
        <f>'Sources and Uses Budget'!T93</f>
        <v>0</v>
      </c>
      <c r="I93" s="396"/>
      <c r="J93" s="396"/>
      <c r="K93" s="393"/>
    </row>
    <row r="94" spans="1:11" s="394" customFormat="1">
      <c r="A94" s="398" t="str">
        <f>'Sources and Uses Budget'!$A94</f>
        <v>Other: (Specify)</v>
      </c>
      <c r="B94" s="395">
        <f>'Sources and Uses Budget'!C94</f>
        <v>0</v>
      </c>
      <c r="C94" s="396"/>
      <c r="D94" s="396"/>
      <c r="E94" s="395">
        <f>'Sources and Uses Budget'!S94</f>
        <v>0</v>
      </c>
      <c r="F94" s="396"/>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4713860</v>
      </c>
      <c r="C96" s="395">
        <f>SUM(C83:C95)</f>
        <v>0</v>
      </c>
      <c r="D96" s="395">
        <f>SUM(D83:D95)</f>
        <v>0</v>
      </c>
      <c r="E96" s="395">
        <f>'Sources and Uses Budget'!S96</f>
        <v>4529500</v>
      </c>
      <c r="F96" s="401">
        <f>SUM(F84:F87,F89:F95)</f>
        <v>0</v>
      </c>
      <c r="G96" s="401">
        <f>SUM(G84:G87,G89:G95)</f>
        <v>0</v>
      </c>
      <c r="H96" s="395">
        <f>'Sources and Uses Budget'!T96</f>
        <v>0</v>
      </c>
      <c r="I96" s="395">
        <f>SUM(I84:I87,I89:I95)</f>
        <v>0</v>
      </c>
      <c r="J96" s="395">
        <f>SUM(J84:J87,J89:J95)</f>
        <v>0</v>
      </c>
      <c r="K96" s="393"/>
    </row>
    <row r="97" spans="1:11" s="394" customFormat="1">
      <c r="A97" s="399" t="s">
        <v>1111</v>
      </c>
      <c r="B97" s="395">
        <f>'Sources and Uses Budget'!C97</f>
        <v>45501141</v>
      </c>
      <c r="C97" s="395">
        <f>SUM(C63+C70+C77+C81+C96)</f>
        <v>0</v>
      </c>
      <c r="D97" s="395">
        <f>SUM(D63+D70+D77+D81+D96)</f>
        <v>0</v>
      </c>
      <c r="E97" s="395">
        <f>'Sources and Uses Budget'!S97</f>
        <v>41977506</v>
      </c>
      <c r="F97" s="401">
        <f>SUM(+F63+F70+F81+F96)</f>
        <v>0</v>
      </c>
      <c r="G97" s="401">
        <f>SUM(+G63+G70+G81+G96)</f>
        <v>0</v>
      </c>
      <c r="H97" s="395">
        <f>'Sources and Uses Budget'!T97</f>
        <v>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2892116</v>
      </c>
      <c r="C99" s="396"/>
      <c r="D99" s="396"/>
      <c r="E99" s="395">
        <f>'Sources and Uses Budget'!S99</f>
        <v>2892116</v>
      </c>
      <c r="F99" s="396"/>
      <c r="G99" s="396"/>
      <c r="H99" s="395">
        <f>'Sources and Uses Budget'!T99</f>
        <v>0</v>
      </c>
      <c r="I99" s="396"/>
      <c r="J99" s="396"/>
      <c r="K99" s="393"/>
    </row>
    <row r="100" spans="1:11" s="394" customFormat="1">
      <c r="A100" s="306" t="s">
        <v>1855</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1856</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2892116</v>
      </c>
      <c r="C104" s="395">
        <f>SUM(C99:C103)</f>
        <v>0</v>
      </c>
      <c r="D104" s="395">
        <f>SUM(D99:D103)</f>
        <v>0</v>
      </c>
      <c r="E104" s="395">
        <f>'Sources and Uses Budget'!S104</f>
        <v>2892116</v>
      </c>
      <c r="F104" s="401">
        <f>SUM(F99:F103)</f>
        <v>0</v>
      </c>
      <c r="G104" s="401">
        <f>SUM(G99:G103)</f>
        <v>0</v>
      </c>
      <c r="H104" s="395">
        <f>'Sources and Uses Budget'!T104</f>
        <v>0</v>
      </c>
      <c r="I104" s="401">
        <f>SUM(I99:I103)</f>
        <v>0</v>
      </c>
      <c r="J104" s="401">
        <f>SUM(J99:J103)</f>
        <v>0</v>
      </c>
      <c r="K104" s="393"/>
    </row>
    <row r="105" spans="1:11" s="394" customFormat="1">
      <c r="A105" s="399" t="s">
        <v>1112</v>
      </c>
      <c r="B105" s="395">
        <f>'Sources and Uses Budget'!C105</f>
        <v>48393257</v>
      </c>
      <c r="C105" s="401">
        <f>SUM(C97+C104)</f>
        <v>0</v>
      </c>
      <c r="D105" s="401">
        <f>SUM(D97+D104)</f>
        <v>0</v>
      </c>
      <c r="E105" s="395">
        <f>'Sources and Uses Budget'!S105</f>
        <v>44869622</v>
      </c>
      <c r="F105" s="401">
        <f>F97+F104</f>
        <v>0</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44869622</v>
      </c>
      <c r="F107" s="401">
        <f>F105+F106</f>
        <v>0</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72"/>
      <c r="E124" s="1315"/>
      <c r="F124" s="1315"/>
      <c r="G124" s="1315"/>
      <c r="H124" s="1315"/>
      <c r="I124" s="1315"/>
      <c r="J124" s="410"/>
      <c r="K124" s="393"/>
    </row>
    <row r="125" spans="1:11" s="394" customFormat="1" ht="12.75">
      <c r="A125" s="419"/>
      <c r="B125" s="418"/>
      <c r="C125" s="419"/>
      <c r="D125" s="1315"/>
      <c r="E125" s="1315"/>
      <c r="F125" s="1315"/>
      <c r="G125" s="1315"/>
      <c r="H125" s="1315"/>
      <c r="I125" s="1315"/>
      <c r="J125" s="410"/>
      <c r="K125" s="393"/>
    </row>
    <row r="126" spans="1:11" s="394" customFormat="1" ht="12.75">
      <c r="A126" s="419"/>
      <c r="B126" s="418"/>
      <c r="C126" s="419"/>
      <c r="D126" s="1315"/>
      <c r="E126" s="1315"/>
      <c r="F126" s="1315"/>
      <c r="G126" s="1315"/>
      <c r="H126" s="1315"/>
      <c r="I126" s="1315"/>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73"/>
      <c r="B139" s="1315"/>
      <c r="C139" s="1315"/>
      <c r="D139" s="390"/>
      <c r="E139" s="419"/>
      <c r="F139" s="419"/>
      <c r="G139" s="419"/>
    </row>
    <row r="140" spans="1:11" ht="12" customHeight="1">
      <c r="A140" s="1272"/>
      <c r="B140" s="1272"/>
      <c r="C140" s="1272"/>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2307" t="s">
        <v>2596</v>
      </c>
      <c r="B1" s="2308"/>
      <c r="C1" s="2308"/>
      <c r="D1" s="2308"/>
      <c r="E1" s="2308"/>
      <c r="F1" s="2308"/>
      <c r="G1" s="2308"/>
      <c r="H1" s="2308"/>
      <c r="I1" s="2308"/>
      <c r="J1" s="2308"/>
      <c r="K1" s="2308"/>
      <c r="L1" s="2308"/>
      <c r="M1" s="2308"/>
      <c r="N1" s="2308"/>
      <c r="O1" s="2308"/>
      <c r="P1" s="2308"/>
      <c r="Q1" s="2308"/>
      <c r="R1" s="2308"/>
      <c r="S1" s="2308"/>
      <c r="T1" s="2308"/>
      <c r="U1" s="2308"/>
      <c r="V1" s="2308"/>
      <c r="W1" s="2308"/>
      <c r="X1" s="2308"/>
      <c r="Y1" s="2308"/>
      <c r="Z1" s="2308"/>
      <c r="AA1" s="2308"/>
      <c r="AB1" s="2308"/>
      <c r="AC1" s="2308"/>
      <c r="AD1" s="2308"/>
      <c r="AE1" s="2308"/>
      <c r="AF1" s="2308"/>
      <c r="AG1" s="2308"/>
      <c r="AH1" s="2308"/>
      <c r="AI1" s="2308"/>
      <c r="AJ1" s="2308"/>
      <c r="AK1" s="2308"/>
      <c r="AL1" s="2308"/>
      <c r="AM1" s="2308"/>
      <c r="AN1" s="2308"/>
      <c r="AO1" s="2308"/>
      <c r="AP1" s="2308"/>
      <c r="AQ1" s="2308"/>
      <c r="AR1" s="2308"/>
      <c r="AS1" s="2308"/>
      <c r="AT1" s="2308"/>
      <c r="AU1" s="2308"/>
      <c r="AV1" s="2308"/>
      <c r="AW1" s="2308"/>
      <c r="AX1" s="2308"/>
      <c r="AY1" s="2308"/>
      <c r="AZ1" s="2308"/>
      <c r="BA1" s="2308"/>
      <c r="BB1" s="2308"/>
      <c r="BC1" s="2308"/>
      <c r="BD1" s="2308"/>
      <c r="BE1" s="2309"/>
    </row>
    <row r="2" spans="1:65" ht="15.75" customHeight="1">
      <c r="A2" s="2310" t="s">
        <v>2597</v>
      </c>
      <c r="B2" s="2311"/>
      <c r="C2" s="2311"/>
      <c r="D2" s="2311"/>
      <c r="E2" s="2311"/>
      <c r="F2" s="2311"/>
      <c r="G2" s="2311"/>
      <c r="H2" s="2311"/>
      <c r="I2" s="2311"/>
      <c r="J2" s="2311"/>
      <c r="K2" s="2311"/>
      <c r="L2" s="231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311"/>
      <c r="AO2" s="2311"/>
      <c r="AP2" s="2311"/>
      <c r="AQ2" s="2311"/>
      <c r="AR2" s="2311"/>
      <c r="AS2" s="2311"/>
      <c r="AT2" s="2311"/>
      <c r="AU2" s="2311"/>
      <c r="AV2" s="2311"/>
      <c r="AW2" s="2311"/>
      <c r="AX2" s="2311"/>
      <c r="AY2" s="2311"/>
      <c r="AZ2" s="2311"/>
      <c r="BA2" s="2311"/>
      <c r="BB2" s="2311"/>
      <c r="BC2" s="2311"/>
      <c r="BD2" s="2311"/>
      <c r="BE2" s="2312"/>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2238" t="str">
        <f>IF(Application!H18="","",Application!H18)</f>
        <v>Cussick Apartments</v>
      </c>
      <c r="M4" s="2239"/>
      <c r="N4" s="2239"/>
      <c r="O4" s="2239"/>
      <c r="P4" s="2239"/>
      <c r="Q4" s="2239"/>
      <c r="R4" s="2239"/>
      <c r="S4" s="2239"/>
      <c r="T4" s="2239"/>
      <c r="U4" s="2239"/>
      <c r="V4" s="2239"/>
      <c r="W4" s="2239"/>
      <c r="X4" s="2239"/>
      <c r="Y4" s="2239"/>
      <c r="Z4" s="2239"/>
      <c r="AA4" s="2239"/>
      <c r="AB4" s="2239"/>
      <c r="AC4" s="2240"/>
      <c r="AD4" s="1086"/>
      <c r="AE4" s="1086"/>
      <c r="AF4" s="1939" t="s">
        <v>1887</v>
      </c>
      <c r="AG4" s="1940"/>
      <c r="AH4" s="1940"/>
      <c r="AI4" s="1940"/>
      <c r="AJ4" s="1940"/>
      <c r="AK4" s="1940"/>
      <c r="AL4" s="1940"/>
      <c r="AM4" s="1940"/>
      <c r="AN4" s="1940"/>
      <c r="AO4" s="1940"/>
      <c r="AP4" s="2313">
        <v>44562</v>
      </c>
      <c r="AQ4" s="2286"/>
      <c r="AR4" s="2286"/>
      <c r="AS4" s="2286"/>
      <c r="AT4" s="2286"/>
      <c r="AU4" s="2287"/>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995" t="s">
        <v>1888</v>
      </c>
      <c r="AG5" s="1996"/>
      <c r="AH5" s="1996"/>
      <c r="AI5" s="1996"/>
      <c r="AJ5" s="1996"/>
      <c r="AK5" s="1996"/>
      <c r="AL5" s="1996"/>
      <c r="AM5" s="1996"/>
      <c r="AN5" s="1996"/>
      <c r="AO5" s="1996"/>
      <c r="AP5" s="2313">
        <v>44562</v>
      </c>
      <c r="AQ5" s="2286"/>
      <c r="AR5" s="2286"/>
      <c r="AS5" s="2286"/>
      <c r="AT5" s="2286"/>
      <c r="AU5" s="2287"/>
      <c r="AV5" s="1086"/>
      <c r="AW5" s="1086"/>
      <c r="AX5" s="1086"/>
      <c r="AY5" s="1086"/>
      <c r="AZ5" s="1086"/>
      <c r="BA5" s="1086"/>
      <c r="BB5" s="1086"/>
      <c r="BC5" s="1086"/>
      <c r="BD5" s="1086"/>
      <c r="BE5" s="1087"/>
    </row>
    <row r="6" spans="1:65" ht="15.75" customHeight="1" thickBot="1">
      <c r="A6" s="1085"/>
      <c r="B6" s="1088" t="s">
        <v>1889</v>
      </c>
      <c r="C6" s="1086"/>
      <c r="D6" s="1086"/>
      <c r="E6" s="1086"/>
      <c r="F6" s="1086"/>
      <c r="G6" s="1086"/>
      <c r="H6" s="1086"/>
      <c r="I6" s="1086"/>
      <c r="J6" s="1086"/>
      <c r="K6" s="1086"/>
      <c r="L6" s="2292" t="str">
        <f>IF(Application!H16="","",Application!H16)</f>
        <v>Community Revitalization and Development Corporation</v>
      </c>
      <c r="M6" s="2293"/>
      <c r="N6" s="2293"/>
      <c r="O6" s="2293"/>
      <c r="P6" s="2293"/>
      <c r="Q6" s="2293"/>
      <c r="R6" s="2293"/>
      <c r="S6" s="2293"/>
      <c r="T6" s="2293"/>
      <c r="U6" s="2293"/>
      <c r="V6" s="2293"/>
      <c r="W6" s="2293"/>
      <c r="X6" s="2293"/>
      <c r="Y6" s="2293"/>
      <c r="Z6" s="2293"/>
      <c r="AA6" s="2293"/>
      <c r="AB6" s="2293"/>
      <c r="AC6" s="2294"/>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1890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295" t="str">
        <f>Application!T196</f>
        <v>No</v>
      </c>
      <c r="AC8" s="2296"/>
      <c r="AD8" s="2297"/>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1892</v>
      </c>
      <c r="C10" s="1088"/>
      <c r="D10" s="1088"/>
      <c r="E10" s="1088"/>
      <c r="F10" s="1088"/>
      <c r="G10" s="1088"/>
      <c r="H10" s="1088"/>
      <c r="I10" s="1088"/>
      <c r="J10" s="1088"/>
      <c r="K10" s="1088"/>
      <c r="L10" s="1088"/>
      <c r="M10" s="1086"/>
      <c r="N10" s="2298">
        <f>Application!AO637</f>
        <v>3601874</v>
      </c>
      <c r="O10" s="2299"/>
      <c r="P10" s="2299"/>
      <c r="Q10" s="2299"/>
      <c r="R10" s="2299"/>
      <c r="S10" s="2299"/>
      <c r="T10" s="2300"/>
      <c r="U10" s="1086"/>
      <c r="V10" s="1086"/>
      <c r="W10" s="1086"/>
      <c r="X10" s="1980" t="s">
        <v>1893</v>
      </c>
      <c r="Y10" s="1981"/>
      <c r="Z10" s="1981"/>
      <c r="AA10" s="1981"/>
      <c r="AB10" s="1981"/>
      <c r="AC10" s="1981"/>
      <c r="AD10" s="1981"/>
      <c r="AE10" s="1981"/>
      <c r="AF10" s="1981"/>
      <c r="AG10" s="1981"/>
      <c r="AH10" s="1981"/>
      <c r="AI10" s="1981"/>
      <c r="AJ10" s="1981"/>
      <c r="AK10" s="1982"/>
      <c r="AL10" s="2317">
        <f>Application!W471</f>
        <v>0</v>
      </c>
      <c r="AM10" s="2296"/>
      <c r="AN10" s="2296"/>
      <c r="AO10" s="2296"/>
      <c r="AP10" s="2297"/>
      <c r="AQ10" s="1089"/>
      <c r="AR10" s="1089"/>
      <c r="AS10" s="1089"/>
      <c r="AT10" s="1089"/>
      <c r="AU10" s="1089"/>
      <c r="AV10" s="1089"/>
      <c r="AW10" s="1089"/>
      <c r="AX10" s="1086"/>
      <c r="AY10" s="1086"/>
      <c r="AZ10" s="1086"/>
      <c r="BA10" s="1086"/>
      <c r="BB10" s="1086"/>
      <c r="BC10" s="1086"/>
      <c r="BD10" s="1086"/>
      <c r="BE10" s="1087"/>
    </row>
    <row r="11" spans="1:65" thickBot="1">
      <c r="A11" s="1085"/>
      <c r="B11" s="1088" t="s">
        <v>1894</v>
      </c>
      <c r="C11" s="1088"/>
      <c r="D11" s="1088"/>
      <c r="E11" s="1088"/>
      <c r="F11" s="1088"/>
      <c r="G11" s="1088"/>
      <c r="H11" s="1088"/>
      <c r="I11" s="1088"/>
      <c r="J11" s="1088"/>
      <c r="K11" s="1088"/>
      <c r="L11" s="1088"/>
      <c r="M11" s="1086"/>
      <c r="N11" s="2301">
        <f>Application!AA925</f>
        <v>0</v>
      </c>
      <c r="O11" s="2302"/>
      <c r="P11" s="2302"/>
      <c r="Q11" s="2302"/>
      <c r="R11" s="2302"/>
      <c r="S11" s="2302"/>
      <c r="T11" s="2303"/>
      <c r="U11" s="1086"/>
      <c r="V11" s="1086"/>
      <c r="W11" s="1086"/>
      <c r="X11" s="2304" t="s">
        <v>1895</v>
      </c>
      <c r="Y11" s="2305"/>
      <c r="Z11" s="2305"/>
      <c r="AA11" s="2305"/>
      <c r="AB11" s="2305"/>
      <c r="AC11" s="2305"/>
      <c r="AD11" s="2305"/>
      <c r="AE11" s="2305"/>
      <c r="AF11" s="2305"/>
      <c r="AG11" s="2305"/>
      <c r="AH11" s="2305"/>
      <c r="AI11" s="2305"/>
      <c r="AJ11" s="2305"/>
      <c r="AK11" s="2306"/>
      <c r="AL11" s="2314">
        <v>44562</v>
      </c>
      <c r="AM11" s="2315"/>
      <c r="AN11" s="2315"/>
      <c r="AO11" s="2315"/>
      <c r="AP11" s="2316"/>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980" t="s">
        <v>2598</v>
      </c>
      <c r="Y12" s="1981"/>
      <c r="Z12" s="1981"/>
      <c r="AA12" s="1981"/>
      <c r="AB12" s="1981"/>
      <c r="AC12" s="1981"/>
      <c r="AD12" s="1981"/>
      <c r="AE12" s="1981"/>
      <c r="AF12" s="1981"/>
      <c r="AG12" s="1981"/>
      <c r="AH12" s="1981"/>
      <c r="AI12" s="1981"/>
      <c r="AJ12" s="1981"/>
      <c r="AK12" s="1982"/>
      <c r="AL12" s="2314">
        <v>44562</v>
      </c>
      <c r="AM12" s="2315"/>
      <c r="AN12" s="2315"/>
      <c r="AO12" s="2315"/>
      <c r="AP12" s="2316"/>
      <c r="AQ12" s="1089"/>
      <c r="AR12" s="1089"/>
      <c r="AS12" s="1089"/>
      <c r="AT12" s="1089"/>
      <c r="AU12" s="1089"/>
      <c r="AV12" s="1086"/>
      <c r="AW12" s="1086"/>
      <c r="AX12" s="1086"/>
      <c r="AY12" s="1086"/>
      <c r="AZ12" s="1086"/>
      <c r="BA12" s="1086"/>
      <c r="BB12" s="1086"/>
      <c r="BC12" s="1086"/>
      <c r="BD12" s="1086"/>
      <c r="BE12" s="1092"/>
    </row>
    <row r="13" spans="1:65" thickBot="1">
      <c r="A13" s="1086"/>
      <c r="B13" s="1980" t="s">
        <v>1896</v>
      </c>
      <c r="C13" s="1981"/>
      <c r="D13" s="1981"/>
      <c r="E13" s="1981"/>
      <c r="F13" s="1981"/>
      <c r="G13" s="1981"/>
      <c r="H13" s="1981"/>
      <c r="I13" s="1981"/>
      <c r="J13" s="1981"/>
      <c r="K13" s="1981"/>
      <c r="L13" s="1981"/>
      <c r="M13" s="1981"/>
      <c r="N13" s="1981"/>
      <c r="O13" s="1981"/>
      <c r="P13" s="1982"/>
      <c r="Q13" s="2285" t="s">
        <v>1891</v>
      </c>
      <c r="R13" s="2286"/>
      <c r="S13" s="2286"/>
      <c r="T13" s="2287"/>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2288" t="s">
        <v>1897</v>
      </c>
      <c r="C15" s="2288"/>
      <c r="D15" s="2288"/>
      <c r="E15" s="2288"/>
      <c r="F15" s="2288"/>
      <c r="G15" s="2288"/>
      <c r="H15" s="2288"/>
      <c r="I15" s="2288"/>
      <c r="J15" s="2288"/>
      <c r="K15" s="2288"/>
      <c r="L15" s="2289"/>
      <c r="M15" s="1939" t="s">
        <v>1898</v>
      </c>
      <c r="N15" s="1940"/>
      <c r="O15" s="1940"/>
      <c r="P15" s="1940"/>
      <c r="Q15" s="1940"/>
      <c r="R15" s="1940"/>
      <c r="S15" s="2290" t="str">
        <f>IF(Application!AB214="","",Application!AB214)</f>
        <v/>
      </c>
      <c r="T15" s="2290"/>
      <c r="U15" s="2290"/>
      <c r="V15" s="2290"/>
      <c r="W15" s="2291"/>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24" t="s">
        <v>1899</v>
      </c>
      <c r="C17" s="2025"/>
      <c r="D17" s="2025"/>
      <c r="E17" s="2025"/>
      <c r="F17" s="2025"/>
      <c r="G17" s="2025"/>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6"/>
      <c r="AZ17" s="1086"/>
      <c r="BA17" s="1086"/>
      <c r="BB17" s="1086"/>
      <c r="BC17" s="1086"/>
      <c r="BD17" s="1086"/>
      <c r="BE17" s="1092"/>
      <c r="BF17" s="1084"/>
    </row>
    <row r="18" spans="1:58" ht="15.75" customHeight="1">
      <c r="A18" s="1086"/>
      <c r="B18" s="2278" t="s">
        <v>1900</v>
      </c>
      <c r="C18" s="2279"/>
      <c r="D18" s="2279"/>
      <c r="E18" s="2279"/>
      <c r="F18" s="2279"/>
      <c r="G18" s="2279"/>
      <c r="H18" s="2279"/>
      <c r="I18" s="2280"/>
      <c r="J18" s="2281" t="s">
        <v>1792</v>
      </c>
      <c r="K18" s="2282"/>
      <c r="L18" s="2282"/>
      <c r="M18" s="2282"/>
      <c r="N18" s="2282"/>
      <c r="O18" s="2283"/>
      <c r="P18" s="2281" t="s">
        <v>330</v>
      </c>
      <c r="Q18" s="2282"/>
      <c r="R18" s="2282"/>
      <c r="S18" s="2282"/>
      <c r="T18" s="2282"/>
      <c r="U18" s="2283"/>
      <c r="V18" s="2281" t="s">
        <v>331</v>
      </c>
      <c r="W18" s="2282"/>
      <c r="X18" s="2282"/>
      <c r="Y18" s="2282"/>
      <c r="Z18" s="2282"/>
      <c r="AA18" s="2283"/>
      <c r="AB18" s="2281" t="s">
        <v>168</v>
      </c>
      <c r="AC18" s="2282"/>
      <c r="AD18" s="2282"/>
      <c r="AE18" s="2282"/>
      <c r="AF18" s="2282"/>
      <c r="AG18" s="2283"/>
      <c r="AH18" s="2281" t="s">
        <v>169</v>
      </c>
      <c r="AI18" s="2282"/>
      <c r="AJ18" s="2282"/>
      <c r="AK18" s="2282"/>
      <c r="AL18" s="2282"/>
      <c r="AM18" s="2283"/>
      <c r="AN18" s="2281" t="s">
        <v>170</v>
      </c>
      <c r="AO18" s="2282"/>
      <c r="AP18" s="2282"/>
      <c r="AQ18" s="2282"/>
      <c r="AR18" s="2282"/>
      <c r="AS18" s="2283"/>
      <c r="AT18" s="2281" t="s">
        <v>1901</v>
      </c>
      <c r="AU18" s="2282"/>
      <c r="AV18" s="2282"/>
      <c r="AW18" s="2282"/>
      <c r="AX18" s="2282"/>
      <c r="AY18" s="2284"/>
      <c r="AZ18" s="1086"/>
      <c r="BA18" s="1086"/>
      <c r="BB18" s="1086"/>
      <c r="BC18" s="1086"/>
      <c r="BD18" s="1086"/>
      <c r="BE18" s="1092"/>
    </row>
    <row r="19" spans="1:58" ht="15">
      <c r="A19" s="1086"/>
      <c r="B19" s="2276">
        <v>0.2</v>
      </c>
      <c r="C19" s="2277"/>
      <c r="D19" s="2277"/>
      <c r="E19" s="2277"/>
      <c r="F19" s="2277"/>
      <c r="G19" s="2277"/>
      <c r="H19" s="2277"/>
      <c r="I19" s="2277"/>
      <c r="J19" s="2267">
        <f>SUM(P19:AS19)</f>
        <v>0</v>
      </c>
      <c r="K19" s="2268"/>
      <c r="L19" s="2268"/>
      <c r="M19" s="2268"/>
      <c r="N19" s="2268"/>
      <c r="O19" s="2269"/>
      <c r="P19" s="2267" cm="1">
        <f t="array" ref="P19">SUMPRODUCT((Application!$B$728:$B$752 = 'CalHFA Addendum'!P$18)*(Application!$AC$728:$AC$752 = 'CalHFA Addendum'!$B19),Application!$G$728:$G$752)</f>
        <v>0</v>
      </c>
      <c r="Q19" s="2268"/>
      <c r="R19" s="2268"/>
      <c r="S19" s="2268"/>
      <c r="T19" s="2268"/>
      <c r="U19" s="2269"/>
      <c r="V19" s="2267" cm="1">
        <f t="array" ref="V19">SUMPRODUCT((Application!$B$728:$B$752 = 'CalHFA Addendum'!V$18)*(Application!$AC$728:$AC$752 = 'CalHFA Addendum'!$B19),Application!$G$728:$G$752)</f>
        <v>0</v>
      </c>
      <c r="W19" s="2268"/>
      <c r="X19" s="2268"/>
      <c r="Y19" s="2268"/>
      <c r="Z19" s="2268"/>
      <c r="AA19" s="2269"/>
      <c r="AB19" s="2267" cm="1">
        <f t="array" ref="AB19">SUMPRODUCT((Application!$B$728:$B$752 = 'CalHFA Addendum'!AB$18)*(Application!$AC$728:$AC$752 = 'CalHFA Addendum'!$B19),Application!$G$728:$G$752)</f>
        <v>0</v>
      </c>
      <c r="AC19" s="2268"/>
      <c r="AD19" s="2268"/>
      <c r="AE19" s="2268"/>
      <c r="AF19" s="2268"/>
      <c r="AG19" s="2269"/>
      <c r="AH19" s="2267" cm="1">
        <f t="array" ref="AH19">SUMPRODUCT((Application!$B$728:$B$752 = 'CalHFA Addendum'!AH$18)*(Application!$AC$728:$AC$752 = 'CalHFA Addendum'!$B19),Application!$G$728:$G$752)</f>
        <v>0</v>
      </c>
      <c r="AI19" s="2268"/>
      <c r="AJ19" s="2268"/>
      <c r="AK19" s="2268"/>
      <c r="AL19" s="2268"/>
      <c r="AM19" s="2269"/>
      <c r="AN19" s="2267" cm="1">
        <f t="array" ref="AN19">SUMPRODUCT((Application!$B$728:$B$752 = 'CalHFA Addendum'!AN$18)*(Application!$AC$728:$AC$752 = 'CalHFA Addendum'!$B19),Application!$G$728:$G$752)</f>
        <v>0</v>
      </c>
      <c r="AO19" s="2268"/>
      <c r="AP19" s="2268"/>
      <c r="AQ19" s="2268"/>
      <c r="AR19" s="2268"/>
      <c r="AS19" s="2269"/>
      <c r="AT19" s="2270">
        <f t="shared" ref="AT19:AT28" si="0">J19/$J$29</f>
        <v>0</v>
      </c>
      <c r="AU19" s="2271"/>
      <c r="AV19" s="2271"/>
      <c r="AW19" s="2271"/>
      <c r="AX19" s="2271"/>
      <c r="AY19" s="2272"/>
      <c r="AZ19" s="1093"/>
      <c r="BA19" s="1086"/>
      <c r="BB19" s="1086"/>
      <c r="BC19" s="1086"/>
      <c r="BD19" s="1086"/>
      <c r="BE19" s="1092"/>
    </row>
    <row r="20" spans="1:58" ht="15" customHeight="1">
      <c r="A20" s="1086"/>
      <c r="B20" s="2276">
        <v>0.3</v>
      </c>
      <c r="C20" s="2277"/>
      <c r="D20" s="2277"/>
      <c r="E20" s="2277"/>
      <c r="F20" s="2277"/>
      <c r="G20" s="2277"/>
      <c r="H20" s="2277"/>
      <c r="I20" s="2277"/>
      <c r="J20" s="2267">
        <f t="shared" ref="J20:J28" si="1">SUM(P20:AS20)</f>
        <v>21</v>
      </c>
      <c r="K20" s="2268"/>
      <c r="L20" s="2268"/>
      <c r="M20" s="2268"/>
      <c r="N20" s="2268"/>
      <c r="O20" s="2269"/>
      <c r="P20" s="2267" cm="1">
        <f t="array" ref="P20">SUMPRODUCT((Application!$B$728:$B$752 = 'CalHFA Addendum'!P$18)*(Application!$AC$728:$AC$752 = 'CalHFA Addendum'!$B20),Application!$G$728:$G$752)</f>
        <v>0</v>
      </c>
      <c r="Q20" s="2268"/>
      <c r="R20" s="2268"/>
      <c r="S20" s="2268"/>
      <c r="T20" s="2268"/>
      <c r="U20" s="2269"/>
      <c r="V20" s="2267" cm="1">
        <f t="array" ref="V20">SUMPRODUCT((Application!$B$728:$B$752 = 'CalHFA Addendum'!V$18)*(Application!$AC$728:$AC$752 = 'CalHFA Addendum'!$B20),Application!$G$728:$G$752)</f>
        <v>3</v>
      </c>
      <c r="W20" s="2268"/>
      <c r="X20" s="2268"/>
      <c r="Y20" s="2268"/>
      <c r="Z20" s="2268"/>
      <c r="AA20" s="2269"/>
      <c r="AB20" s="2267" cm="1">
        <f t="array" ref="AB20">SUMPRODUCT((Application!$B$728:$B$752 = 'CalHFA Addendum'!AB$18)*(Application!$AC$728:$AC$752 = 'CalHFA Addendum'!$B20),Application!$G$728:$G$752)</f>
        <v>9</v>
      </c>
      <c r="AC20" s="2268"/>
      <c r="AD20" s="2268"/>
      <c r="AE20" s="2268"/>
      <c r="AF20" s="2268"/>
      <c r="AG20" s="2269"/>
      <c r="AH20" s="2267" cm="1">
        <f t="array" ref="AH20">SUMPRODUCT((Application!$B$728:$B$752 = 'CalHFA Addendum'!AH$18)*(Application!$AC$728:$AC$752 = 'CalHFA Addendum'!$B20),Application!$G$728:$G$752)</f>
        <v>7</v>
      </c>
      <c r="AI20" s="2268"/>
      <c r="AJ20" s="2268"/>
      <c r="AK20" s="2268"/>
      <c r="AL20" s="2268"/>
      <c r="AM20" s="2269"/>
      <c r="AN20" s="2267" cm="1">
        <f t="array" ref="AN20">SUMPRODUCT((Application!$B$728:$B$752 = 'CalHFA Addendum'!AN$18)*(Application!$AC$728:$AC$752 = 'CalHFA Addendum'!$B20),Application!$G$728:$G$752)</f>
        <v>2</v>
      </c>
      <c r="AO20" s="2268"/>
      <c r="AP20" s="2268"/>
      <c r="AQ20" s="2268"/>
      <c r="AR20" s="2268"/>
      <c r="AS20" s="2269"/>
      <c r="AT20" s="2270">
        <f t="shared" si="0"/>
        <v>0.28000000000000003</v>
      </c>
      <c r="AU20" s="2271"/>
      <c r="AV20" s="2271"/>
      <c r="AW20" s="2271"/>
      <c r="AX20" s="2271"/>
      <c r="AY20" s="2272"/>
      <c r="AZ20" s="1086"/>
      <c r="BA20" s="1086"/>
      <c r="BB20" s="1086"/>
      <c r="BC20" s="1086"/>
      <c r="BD20" s="1086"/>
      <c r="BE20" s="1092"/>
    </row>
    <row r="21" spans="1:58" ht="15">
      <c r="A21" s="1086"/>
      <c r="B21" s="2276">
        <v>0.4</v>
      </c>
      <c r="C21" s="2277"/>
      <c r="D21" s="2277"/>
      <c r="E21" s="2277"/>
      <c r="F21" s="2277"/>
      <c r="G21" s="2277"/>
      <c r="H21" s="2277"/>
      <c r="I21" s="2277"/>
      <c r="J21" s="2267">
        <f t="shared" si="1"/>
        <v>35</v>
      </c>
      <c r="K21" s="2268"/>
      <c r="L21" s="2268"/>
      <c r="M21" s="2268"/>
      <c r="N21" s="2268"/>
      <c r="O21" s="2269"/>
      <c r="P21" s="2267" cm="1">
        <f t="array" ref="P21">SUMPRODUCT((Application!$B$728:$B$752 = 'CalHFA Addendum'!P$18)*(Application!$AC$728:$AC$752 = 'CalHFA Addendum'!$B21),Application!$G$728:$G$752)</f>
        <v>0</v>
      </c>
      <c r="Q21" s="2268"/>
      <c r="R21" s="2268"/>
      <c r="S21" s="2268"/>
      <c r="T21" s="2268"/>
      <c r="U21" s="2269"/>
      <c r="V21" s="2267" cm="1">
        <f t="array" ref="V21">SUMPRODUCT((Application!$B$728:$B$752 = 'CalHFA Addendum'!V$18)*(Application!$AC$728:$AC$752 = 'CalHFA Addendum'!$B21),Application!$G$728:$G$752)</f>
        <v>3</v>
      </c>
      <c r="W21" s="2268"/>
      <c r="X21" s="2268"/>
      <c r="Y21" s="2268"/>
      <c r="Z21" s="2268"/>
      <c r="AA21" s="2269"/>
      <c r="AB21" s="2267" cm="1">
        <f t="array" ref="AB21">SUMPRODUCT((Application!$B$728:$B$752 = 'CalHFA Addendum'!AB$18)*(Application!$AC$728:$AC$752 = 'CalHFA Addendum'!$B21),Application!$G$728:$G$752)</f>
        <v>10</v>
      </c>
      <c r="AC21" s="2268"/>
      <c r="AD21" s="2268"/>
      <c r="AE21" s="2268"/>
      <c r="AF21" s="2268"/>
      <c r="AG21" s="2269"/>
      <c r="AH21" s="2267" cm="1">
        <f t="array" ref="AH21">SUMPRODUCT((Application!$B$728:$B$752 = 'CalHFA Addendum'!AH$18)*(Application!$AC$728:$AC$752 = 'CalHFA Addendum'!$B21),Application!$G$728:$G$752)</f>
        <v>16</v>
      </c>
      <c r="AI21" s="2268"/>
      <c r="AJ21" s="2268"/>
      <c r="AK21" s="2268"/>
      <c r="AL21" s="2268"/>
      <c r="AM21" s="2269"/>
      <c r="AN21" s="2267" cm="1">
        <f t="array" ref="AN21">SUMPRODUCT((Application!$B$728:$B$752 = 'CalHFA Addendum'!AN$18)*(Application!$AC$728:$AC$752 = 'CalHFA Addendum'!$B21),Application!$G$728:$G$752)</f>
        <v>6</v>
      </c>
      <c r="AO21" s="2268"/>
      <c r="AP21" s="2268"/>
      <c r="AQ21" s="2268"/>
      <c r="AR21" s="2268"/>
      <c r="AS21" s="2269"/>
      <c r="AT21" s="2270">
        <f t="shared" si="0"/>
        <v>0.46666666666666667</v>
      </c>
      <c r="AU21" s="2271"/>
      <c r="AV21" s="2271"/>
      <c r="AW21" s="2271"/>
      <c r="AX21" s="2271"/>
      <c r="AY21" s="2272"/>
      <c r="AZ21" s="1086"/>
      <c r="BA21" s="1086"/>
      <c r="BB21" s="1086"/>
      <c r="BC21" s="1086"/>
      <c r="BD21" s="1086"/>
      <c r="BE21" s="1092"/>
    </row>
    <row r="22" spans="1:58" ht="15">
      <c r="A22" s="1086"/>
      <c r="B22" s="2276">
        <v>0.5</v>
      </c>
      <c r="C22" s="2277"/>
      <c r="D22" s="2277"/>
      <c r="E22" s="2277"/>
      <c r="F22" s="2277"/>
      <c r="G22" s="2277"/>
      <c r="H22" s="2277"/>
      <c r="I22" s="2277"/>
      <c r="J22" s="2267">
        <f t="shared" si="1"/>
        <v>14</v>
      </c>
      <c r="K22" s="2268"/>
      <c r="L22" s="2268"/>
      <c r="M22" s="2268"/>
      <c r="N22" s="2268"/>
      <c r="O22" s="2269"/>
      <c r="P22" s="2267" cm="1">
        <f t="array" ref="P22">SUMPRODUCT((Application!$B$728:$B$752 = 'CalHFA Addendum'!P$18)*(Application!$AC$728:$AC$752 = 'CalHFA Addendum'!$B22),Application!$G$728:$G$752)</f>
        <v>0</v>
      </c>
      <c r="Q22" s="2268"/>
      <c r="R22" s="2268"/>
      <c r="S22" s="2268"/>
      <c r="T22" s="2268"/>
      <c r="U22" s="2269"/>
      <c r="V22" s="2267" cm="1">
        <f t="array" ref="V22">SUMPRODUCT((Application!$B$728:$B$752 = 'CalHFA Addendum'!V$18)*(Application!$AC$728:$AC$752 = 'CalHFA Addendum'!$B22),Application!$G$728:$G$752)</f>
        <v>1</v>
      </c>
      <c r="W22" s="2268"/>
      <c r="X22" s="2268"/>
      <c r="Y22" s="2268"/>
      <c r="Z22" s="2268"/>
      <c r="AA22" s="2269"/>
      <c r="AB22" s="2267" cm="1">
        <f t="array" ref="AB22">SUMPRODUCT((Application!$B$728:$B$752 = 'CalHFA Addendum'!AB$18)*(Application!$AC$728:$AC$752 = 'CalHFA Addendum'!$B22),Application!$G$728:$G$752)</f>
        <v>4</v>
      </c>
      <c r="AC22" s="2268"/>
      <c r="AD22" s="2268"/>
      <c r="AE22" s="2268"/>
      <c r="AF22" s="2268"/>
      <c r="AG22" s="2269"/>
      <c r="AH22" s="2267" cm="1">
        <f t="array" ref="AH22">SUMPRODUCT((Application!$B$728:$B$752 = 'CalHFA Addendum'!AH$18)*(Application!$AC$728:$AC$752 = 'CalHFA Addendum'!$B22),Application!$G$728:$G$752)</f>
        <v>8</v>
      </c>
      <c r="AI22" s="2268"/>
      <c r="AJ22" s="2268"/>
      <c r="AK22" s="2268"/>
      <c r="AL22" s="2268"/>
      <c r="AM22" s="2269"/>
      <c r="AN22" s="2267" cm="1">
        <f t="array" ref="AN22">SUMPRODUCT((Application!$B$728:$B$752 = 'CalHFA Addendum'!AN$18)*(Application!$AC$728:$AC$752 = 'CalHFA Addendum'!$B22),Application!$G$728:$G$752)</f>
        <v>1</v>
      </c>
      <c r="AO22" s="2268"/>
      <c r="AP22" s="2268"/>
      <c r="AQ22" s="2268"/>
      <c r="AR22" s="2268"/>
      <c r="AS22" s="2269"/>
      <c r="AT22" s="2270">
        <f t="shared" si="0"/>
        <v>0.18666666666666668</v>
      </c>
      <c r="AU22" s="2271"/>
      <c r="AV22" s="2271"/>
      <c r="AW22" s="2271"/>
      <c r="AX22" s="2271"/>
      <c r="AY22" s="2272"/>
      <c r="AZ22" s="1086"/>
      <c r="BA22" s="1086"/>
      <c r="BB22" s="1086"/>
      <c r="BC22" s="1086"/>
      <c r="BD22" s="1086"/>
      <c r="BE22" s="1092"/>
    </row>
    <row r="23" spans="1:58" ht="15">
      <c r="A23" s="1086"/>
      <c r="B23" s="2276">
        <v>0.6</v>
      </c>
      <c r="C23" s="2277"/>
      <c r="D23" s="2277"/>
      <c r="E23" s="2277"/>
      <c r="F23" s="2277"/>
      <c r="G23" s="2277"/>
      <c r="H23" s="2277"/>
      <c r="I23" s="2277"/>
      <c r="J23" s="2267">
        <f t="shared" si="1"/>
        <v>4</v>
      </c>
      <c r="K23" s="2268"/>
      <c r="L23" s="2268"/>
      <c r="M23" s="2268"/>
      <c r="N23" s="2268"/>
      <c r="O23" s="2269"/>
      <c r="P23" s="2267" cm="1">
        <f t="array" ref="P23">SUMPRODUCT((Application!$B$728:$B$752 = 'CalHFA Addendum'!P$18)*(Application!$AC$728:$AC$752 = 'CalHFA Addendum'!$B23),Application!$G$728:$G$752)</f>
        <v>0</v>
      </c>
      <c r="Q23" s="2268"/>
      <c r="R23" s="2268"/>
      <c r="S23" s="2268"/>
      <c r="T23" s="2268"/>
      <c r="U23" s="2269"/>
      <c r="V23" s="2267" cm="1">
        <f t="array" ref="V23">SUMPRODUCT((Application!$B$728:$B$752 = 'CalHFA Addendum'!V$18)*(Application!$AC$728:$AC$752 = 'CalHFA Addendum'!$B23),Application!$G$728:$G$752)</f>
        <v>1</v>
      </c>
      <c r="W23" s="2268"/>
      <c r="X23" s="2268"/>
      <c r="Y23" s="2268"/>
      <c r="Z23" s="2268"/>
      <c r="AA23" s="2269"/>
      <c r="AB23" s="2267" cm="1">
        <f t="array" ref="AB23">SUMPRODUCT((Application!$B$728:$B$752 = 'CalHFA Addendum'!AB$18)*(Application!$AC$728:$AC$752 = 'CalHFA Addendum'!$B23),Application!$G$728:$G$752)</f>
        <v>1</v>
      </c>
      <c r="AC23" s="2268"/>
      <c r="AD23" s="2268"/>
      <c r="AE23" s="2268"/>
      <c r="AF23" s="2268"/>
      <c r="AG23" s="2269"/>
      <c r="AH23" s="2267" cm="1">
        <f t="array" ref="AH23">SUMPRODUCT((Application!$B$728:$B$752 = 'CalHFA Addendum'!AH$18)*(Application!$AC$728:$AC$752 = 'CalHFA Addendum'!$B23),Application!$G$728:$G$752)</f>
        <v>1</v>
      </c>
      <c r="AI23" s="2268"/>
      <c r="AJ23" s="2268"/>
      <c r="AK23" s="2268"/>
      <c r="AL23" s="2268"/>
      <c r="AM23" s="2269"/>
      <c r="AN23" s="2267" cm="1">
        <f t="array" ref="AN23">SUMPRODUCT((Application!$B$728:$B$752 = 'CalHFA Addendum'!AN$18)*(Application!$AC$728:$AC$752 = 'CalHFA Addendum'!$B23),Application!$G$728:$G$752)</f>
        <v>1</v>
      </c>
      <c r="AO23" s="2268"/>
      <c r="AP23" s="2268"/>
      <c r="AQ23" s="2268"/>
      <c r="AR23" s="2268"/>
      <c r="AS23" s="2269"/>
      <c r="AT23" s="2270">
        <f t="shared" si="0"/>
        <v>5.3333333333333337E-2</v>
      </c>
      <c r="AU23" s="2271"/>
      <c r="AV23" s="2271"/>
      <c r="AW23" s="2271"/>
      <c r="AX23" s="2271"/>
      <c r="AY23" s="2272"/>
      <c r="AZ23" s="1086"/>
      <c r="BA23" s="1086"/>
      <c r="BB23" s="1086"/>
      <c r="BC23" s="1086"/>
      <c r="BD23" s="1086"/>
      <c r="BE23" s="1092"/>
    </row>
    <row r="24" spans="1:58" ht="15">
      <c r="A24" s="1086"/>
      <c r="B24" s="2276">
        <v>0.7</v>
      </c>
      <c r="C24" s="2277"/>
      <c r="D24" s="2277"/>
      <c r="E24" s="2277"/>
      <c r="F24" s="2277"/>
      <c r="G24" s="2277"/>
      <c r="H24" s="2277"/>
      <c r="I24" s="2277"/>
      <c r="J24" s="2267">
        <f t="shared" si="1"/>
        <v>0</v>
      </c>
      <c r="K24" s="2268"/>
      <c r="L24" s="2268"/>
      <c r="M24" s="2268"/>
      <c r="N24" s="2268"/>
      <c r="O24" s="2269"/>
      <c r="P24" s="2267" cm="1">
        <f t="array" ref="P24">SUMPRODUCT((Application!$B$728:$B$752 = 'CalHFA Addendum'!P$18)*(Application!$AC$728:$AC$752 = 'CalHFA Addendum'!$B24),Application!$G$728:$G$752)</f>
        <v>0</v>
      </c>
      <c r="Q24" s="2268"/>
      <c r="R24" s="2268"/>
      <c r="S24" s="2268"/>
      <c r="T24" s="2268"/>
      <c r="U24" s="2269"/>
      <c r="V24" s="2267" cm="1">
        <f t="array" ref="V24">SUMPRODUCT((Application!$B$728:$B$752 = 'CalHFA Addendum'!V$18)*(Application!$AC$728:$AC$752 = 'CalHFA Addendum'!$B24),Application!$G$728:$G$752)</f>
        <v>0</v>
      </c>
      <c r="W24" s="2268"/>
      <c r="X24" s="2268"/>
      <c r="Y24" s="2268"/>
      <c r="Z24" s="2268"/>
      <c r="AA24" s="2269"/>
      <c r="AB24" s="2267" cm="1">
        <f t="array" ref="AB24">SUMPRODUCT((Application!$B$728:$B$752 = 'CalHFA Addendum'!AB$18)*(Application!$AC$728:$AC$752 = 'CalHFA Addendum'!$B24),Application!$G$728:$G$752)</f>
        <v>0</v>
      </c>
      <c r="AC24" s="2268"/>
      <c r="AD24" s="2268"/>
      <c r="AE24" s="2268"/>
      <c r="AF24" s="2268"/>
      <c r="AG24" s="2269"/>
      <c r="AH24" s="2267" cm="1">
        <f t="array" ref="AH24">SUMPRODUCT((Application!$B$728:$B$752 = 'CalHFA Addendum'!AH$18)*(Application!$AC$728:$AC$752 = 'CalHFA Addendum'!$B24),Application!$G$728:$G$752)</f>
        <v>0</v>
      </c>
      <c r="AI24" s="2268"/>
      <c r="AJ24" s="2268"/>
      <c r="AK24" s="2268"/>
      <c r="AL24" s="2268"/>
      <c r="AM24" s="2269"/>
      <c r="AN24" s="2267" cm="1">
        <f t="array" ref="AN24">SUMPRODUCT((Application!$B$728:$B$752 = 'CalHFA Addendum'!AN$18)*(Application!$AC$728:$AC$752 = 'CalHFA Addendum'!$B24),Application!$G$728:$G$752)</f>
        <v>0</v>
      </c>
      <c r="AO24" s="2268"/>
      <c r="AP24" s="2268"/>
      <c r="AQ24" s="2268"/>
      <c r="AR24" s="2268"/>
      <c r="AS24" s="2269"/>
      <c r="AT24" s="2270">
        <f t="shared" si="0"/>
        <v>0</v>
      </c>
      <c r="AU24" s="2271"/>
      <c r="AV24" s="2271"/>
      <c r="AW24" s="2271"/>
      <c r="AX24" s="2271"/>
      <c r="AY24" s="2272"/>
      <c r="AZ24" s="1086"/>
      <c r="BA24" s="1086"/>
      <c r="BB24" s="1086"/>
      <c r="BC24" s="1086"/>
      <c r="BD24" s="1086"/>
      <c r="BE24" s="1092"/>
    </row>
    <row r="25" spans="1:58" ht="15">
      <c r="A25" s="1086"/>
      <c r="B25" s="2276">
        <v>0.8</v>
      </c>
      <c r="C25" s="2277"/>
      <c r="D25" s="2277"/>
      <c r="E25" s="2277"/>
      <c r="F25" s="2277"/>
      <c r="G25" s="2277"/>
      <c r="H25" s="2277"/>
      <c r="I25" s="2277"/>
      <c r="J25" s="2267">
        <f t="shared" si="1"/>
        <v>0</v>
      </c>
      <c r="K25" s="2268"/>
      <c r="L25" s="2268"/>
      <c r="M25" s="2268"/>
      <c r="N25" s="2268"/>
      <c r="O25" s="2269"/>
      <c r="P25" s="2267" cm="1">
        <f t="array" ref="P25">SUMPRODUCT((Application!$B$728:$B$752 = 'CalHFA Addendum'!P$18)*(Application!$AC$728:$AC$752 = 'CalHFA Addendum'!$B25),Application!$G$728:$G$752)</f>
        <v>0</v>
      </c>
      <c r="Q25" s="2268"/>
      <c r="R25" s="2268"/>
      <c r="S25" s="2268"/>
      <c r="T25" s="2268"/>
      <c r="U25" s="2269"/>
      <c r="V25" s="2267" cm="1">
        <f t="array" ref="V25">SUMPRODUCT((Application!$B$728:$B$752 = 'CalHFA Addendum'!V$18)*(Application!$AC$728:$AC$752 = 'CalHFA Addendum'!$B25),Application!$G$728:$G$752)</f>
        <v>0</v>
      </c>
      <c r="W25" s="2268"/>
      <c r="X25" s="2268"/>
      <c r="Y25" s="2268"/>
      <c r="Z25" s="2268"/>
      <c r="AA25" s="2269"/>
      <c r="AB25" s="2267" cm="1">
        <f t="array" ref="AB25">SUMPRODUCT((Application!$B$728:$B$752 = 'CalHFA Addendum'!AB$18)*(Application!$AC$728:$AC$752 = 'CalHFA Addendum'!$B25),Application!$G$728:$G$752)</f>
        <v>0</v>
      </c>
      <c r="AC25" s="2268"/>
      <c r="AD25" s="2268"/>
      <c r="AE25" s="2268"/>
      <c r="AF25" s="2268"/>
      <c r="AG25" s="2269"/>
      <c r="AH25" s="2267" cm="1">
        <f t="array" ref="AH25">SUMPRODUCT((Application!$B$728:$B$752 = 'CalHFA Addendum'!AH$18)*(Application!$AC$728:$AC$752 = 'CalHFA Addendum'!$B25),Application!$G$728:$G$752)</f>
        <v>0</v>
      </c>
      <c r="AI25" s="2268"/>
      <c r="AJ25" s="2268"/>
      <c r="AK25" s="2268"/>
      <c r="AL25" s="2268"/>
      <c r="AM25" s="2269"/>
      <c r="AN25" s="2267" cm="1">
        <f t="array" ref="AN25">SUMPRODUCT((Application!$B$728:$B$752 = 'CalHFA Addendum'!AN$18)*(Application!$AC$728:$AC$752 = 'CalHFA Addendum'!$B25),Application!$G$728:$G$752)</f>
        <v>0</v>
      </c>
      <c r="AO25" s="2268"/>
      <c r="AP25" s="2268"/>
      <c r="AQ25" s="2268"/>
      <c r="AR25" s="2268"/>
      <c r="AS25" s="2269"/>
      <c r="AT25" s="2270">
        <f t="shared" si="0"/>
        <v>0</v>
      </c>
      <c r="AU25" s="2271"/>
      <c r="AV25" s="2271"/>
      <c r="AW25" s="2271"/>
      <c r="AX25" s="2271"/>
      <c r="AY25" s="2272"/>
      <c r="AZ25" s="1086"/>
      <c r="BA25" s="1086"/>
      <c r="BB25" s="1086"/>
      <c r="BC25" s="1086"/>
      <c r="BD25" s="1086"/>
      <c r="BE25" s="1092"/>
    </row>
    <row r="26" spans="1:58" ht="15">
      <c r="A26" s="1086"/>
      <c r="B26" s="2276">
        <v>0.9</v>
      </c>
      <c r="C26" s="2277"/>
      <c r="D26" s="2277"/>
      <c r="E26" s="2277"/>
      <c r="F26" s="2277"/>
      <c r="G26" s="2277"/>
      <c r="H26" s="2277"/>
      <c r="I26" s="2277"/>
      <c r="J26" s="2267">
        <f t="shared" si="1"/>
        <v>0</v>
      </c>
      <c r="K26" s="2268"/>
      <c r="L26" s="2268"/>
      <c r="M26" s="2268"/>
      <c r="N26" s="2268"/>
      <c r="O26" s="2269"/>
      <c r="P26" s="2267" cm="1">
        <f t="array" ref="P26">SUMPRODUCT((Application!$B$728:$B$752 = 'CalHFA Addendum'!P$18)*(Application!$AC$728:$AC$752 = 'CalHFA Addendum'!$B26),Application!$G$728:$G$752)</f>
        <v>0</v>
      </c>
      <c r="Q26" s="2268"/>
      <c r="R26" s="2268"/>
      <c r="S26" s="2268"/>
      <c r="T26" s="2268"/>
      <c r="U26" s="2269"/>
      <c r="V26" s="2267" cm="1">
        <f t="array" ref="V26">SUMPRODUCT((Application!$B$728:$B$752 = 'CalHFA Addendum'!V$18)*(Application!$AC$728:$AC$752 = 'CalHFA Addendum'!$B26),Application!$G$728:$G$752)</f>
        <v>0</v>
      </c>
      <c r="W26" s="2268"/>
      <c r="X26" s="2268"/>
      <c r="Y26" s="2268"/>
      <c r="Z26" s="2268"/>
      <c r="AA26" s="2269"/>
      <c r="AB26" s="2267" cm="1">
        <f t="array" ref="AB26">SUMPRODUCT((Application!$B$728:$B$752 = 'CalHFA Addendum'!AB$18)*(Application!$AC$728:$AC$752 = 'CalHFA Addendum'!$B26),Application!$G$728:$G$752)</f>
        <v>0</v>
      </c>
      <c r="AC26" s="2268"/>
      <c r="AD26" s="2268"/>
      <c r="AE26" s="2268"/>
      <c r="AF26" s="2268"/>
      <c r="AG26" s="2269"/>
      <c r="AH26" s="2267" cm="1">
        <f t="array" ref="AH26">SUMPRODUCT((Application!$B$728:$B$752 = 'CalHFA Addendum'!AH$18)*(Application!$AC$728:$AC$752 = 'CalHFA Addendum'!$B26),Application!$G$728:$G$752)</f>
        <v>0</v>
      </c>
      <c r="AI26" s="2268"/>
      <c r="AJ26" s="2268"/>
      <c r="AK26" s="2268"/>
      <c r="AL26" s="2268"/>
      <c r="AM26" s="2269"/>
      <c r="AN26" s="2267" cm="1">
        <f t="array" ref="AN26">SUMPRODUCT((Application!$B$728:$B$752 = 'CalHFA Addendum'!AN$18)*(Application!$AC$728:$AC$752 = 'CalHFA Addendum'!$B26),Application!$G$728:$G$752)</f>
        <v>0</v>
      </c>
      <c r="AO26" s="2268"/>
      <c r="AP26" s="2268"/>
      <c r="AQ26" s="2268"/>
      <c r="AR26" s="2268"/>
      <c r="AS26" s="2269"/>
      <c r="AT26" s="2270">
        <f t="shared" si="0"/>
        <v>0</v>
      </c>
      <c r="AU26" s="2271"/>
      <c r="AV26" s="2271"/>
      <c r="AW26" s="2271"/>
      <c r="AX26" s="2271"/>
      <c r="AY26" s="2272"/>
      <c r="AZ26" s="1086"/>
      <c r="BA26" s="1086"/>
      <c r="BB26" s="1086"/>
      <c r="BC26" s="1086"/>
      <c r="BD26" s="1086"/>
      <c r="BE26" s="1092"/>
    </row>
    <row r="27" spans="1:58" ht="15">
      <c r="A27" s="1086"/>
      <c r="B27" s="2276">
        <v>1</v>
      </c>
      <c r="C27" s="2277"/>
      <c r="D27" s="2277"/>
      <c r="E27" s="2277"/>
      <c r="F27" s="2277"/>
      <c r="G27" s="2277"/>
      <c r="H27" s="2277"/>
      <c r="I27" s="2277"/>
      <c r="J27" s="2267">
        <f t="shared" si="1"/>
        <v>0</v>
      </c>
      <c r="K27" s="2268"/>
      <c r="L27" s="2268"/>
      <c r="M27" s="2268"/>
      <c r="N27" s="2268"/>
      <c r="O27" s="2269"/>
      <c r="P27" s="2267" cm="1">
        <f t="array" ref="P27">SUMPRODUCT((Application!$B$728:$B$752 = 'CalHFA Addendum'!P$18)*(Application!$AC$728:$AC$752 = 'CalHFA Addendum'!$B27),Application!$G$728:$G$752)</f>
        <v>0</v>
      </c>
      <c r="Q27" s="2268"/>
      <c r="R27" s="2268"/>
      <c r="S27" s="2268"/>
      <c r="T27" s="2268"/>
      <c r="U27" s="2269"/>
      <c r="V27" s="2267" cm="1">
        <f t="array" ref="V27">SUMPRODUCT((Application!$B$728:$B$752 = 'CalHFA Addendum'!V$18)*(Application!$AC$728:$AC$752 = 'CalHFA Addendum'!$B27),Application!$G$728:$G$752)</f>
        <v>0</v>
      </c>
      <c r="W27" s="2268"/>
      <c r="X27" s="2268"/>
      <c r="Y27" s="2268"/>
      <c r="Z27" s="2268"/>
      <c r="AA27" s="2269"/>
      <c r="AB27" s="2267" cm="1">
        <f t="array" ref="AB27">SUMPRODUCT((Application!$B$728:$B$752 = 'CalHFA Addendum'!AB$18)*(Application!$AC$728:$AC$752 = 'CalHFA Addendum'!$B27),Application!$G$728:$G$752)</f>
        <v>0</v>
      </c>
      <c r="AC27" s="2268"/>
      <c r="AD27" s="2268"/>
      <c r="AE27" s="2268"/>
      <c r="AF27" s="2268"/>
      <c r="AG27" s="2269"/>
      <c r="AH27" s="2267" cm="1">
        <f t="array" ref="AH27">SUMPRODUCT((Application!$B$728:$B$752 = 'CalHFA Addendum'!AH$18)*(Application!$AC$728:$AC$752 = 'CalHFA Addendum'!$B27),Application!$G$728:$G$752)</f>
        <v>0</v>
      </c>
      <c r="AI27" s="2268"/>
      <c r="AJ27" s="2268"/>
      <c r="AK27" s="2268"/>
      <c r="AL27" s="2268"/>
      <c r="AM27" s="2269"/>
      <c r="AN27" s="2267" cm="1">
        <f t="array" ref="AN27">SUMPRODUCT((Application!$B$728:$B$752 = 'CalHFA Addendum'!AN$18)*(Application!$AC$728:$AC$752 = 'CalHFA Addendum'!$B27),Application!$G$728:$G$752)</f>
        <v>0</v>
      </c>
      <c r="AO27" s="2268"/>
      <c r="AP27" s="2268"/>
      <c r="AQ27" s="2268"/>
      <c r="AR27" s="2268"/>
      <c r="AS27" s="2269"/>
      <c r="AT27" s="2270">
        <f t="shared" si="0"/>
        <v>0</v>
      </c>
      <c r="AU27" s="2271"/>
      <c r="AV27" s="2271"/>
      <c r="AW27" s="2271"/>
      <c r="AX27" s="2271"/>
      <c r="AY27" s="2272"/>
      <c r="AZ27" s="1086"/>
      <c r="BA27" s="1086"/>
      <c r="BB27" s="1086"/>
      <c r="BC27" s="1086"/>
      <c r="BD27" s="1086"/>
      <c r="BE27" s="1092"/>
    </row>
    <row r="28" spans="1:58" thickBot="1">
      <c r="A28" s="1086"/>
      <c r="B28" s="2273" t="s">
        <v>1902</v>
      </c>
      <c r="C28" s="2274"/>
      <c r="D28" s="2274"/>
      <c r="E28" s="2274"/>
      <c r="F28" s="2274"/>
      <c r="G28" s="2274"/>
      <c r="H28" s="2274"/>
      <c r="I28" s="2275"/>
      <c r="J28" s="2267">
        <f t="shared" si="1"/>
        <v>1</v>
      </c>
      <c r="K28" s="2268"/>
      <c r="L28" s="2268"/>
      <c r="M28" s="2268"/>
      <c r="N28" s="2268"/>
      <c r="O28" s="2269"/>
      <c r="P28" s="2267">
        <f>_xlfn.IFNA(VLOOKUP(P$18,Application!$J$772:$S$775,6,FALSE), 0)</f>
        <v>0</v>
      </c>
      <c r="Q28" s="2268"/>
      <c r="R28" s="2268"/>
      <c r="S28" s="2268"/>
      <c r="T28" s="2268"/>
      <c r="U28" s="2269"/>
      <c r="V28" s="2267">
        <f>_xlfn.IFNA(VLOOKUP(V$18,Application!$J$772:$S$775,6,FALSE), 0)</f>
        <v>0</v>
      </c>
      <c r="W28" s="2268"/>
      <c r="X28" s="2268"/>
      <c r="Y28" s="2268"/>
      <c r="Z28" s="2268"/>
      <c r="AA28" s="2269"/>
      <c r="AB28" s="2267">
        <f>_xlfn.IFNA(VLOOKUP(AB$18,Application!$J$772:$S$775,6,FALSE), 0)</f>
        <v>0</v>
      </c>
      <c r="AC28" s="2268"/>
      <c r="AD28" s="2268"/>
      <c r="AE28" s="2268"/>
      <c r="AF28" s="2268"/>
      <c r="AG28" s="2269"/>
      <c r="AH28" s="2267">
        <f>_xlfn.IFNA(VLOOKUP(AH$18,Application!$J$772:$S$775,6,FALSE), 0)</f>
        <v>1</v>
      </c>
      <c r="AI28" s="2268"/>
      <c r="AJ28" s="2268"/>
      <c r="AK28" s="2268"/>
      <c r="AL28" s="2268"/>
      <c r="AM28" s="2269"/>
      <c r="AN28" s="2267">
        <f>_xlfn.IFNA(VLOOKUP(AN$18,Application!$J$772:$S$775,6,FALSE), 0)</f>
        <v>0</v>
      </c>
      <c r="AO28" s="2268"/>
      <c r="AP28" s="2268"/>
      <c r="AQ28" s="2268"/>
      <c r="AR28" s="2268"/>
      <c r="AS28" s="2269"/>
      <c r="AT28" s="2270">
        <f t="shared" si="0"/>
        <v>1.3333333333333334E-2</v>
      </c>
      <c r="AU28" s="2271"/>
      <c r="AV28" s="2271"/>
      <c r="AW28" s="2271"/>
      <c r="AX28" s="2271"/>
      <c r="AY28" s="2272"/>
      <c r="AZ28" s="1086"/>
      <c r="BA28" s="1086"/>
      <c r="BB28" s="1086"/>
      <c r="BC28" s="1086"/>
      <c r="BD28" s="1086"/>
      <c r="BE28" s="1092"/>
    </row>
    <row r="29" spans="1:58" thickBot="1">
      <c r="A29" s="1086"/>
      <c r="B29" s="2266" t="s">
        <v>1792</v>
      </c>
      <c r="C29" s="2242"/>
      <c r="D29" s="2242"/>
      <c r="E29" s="2242"/>
      <c r="F29" s="2242"/>
      <c r="G29" s="2242"/>
      <c r="H29" s="2242"/>
      <c r="I29" s="2243"/>
      <c r="J29" s="2241">
        <f>SUM(J19:O28)</f>
        <v>75</v>
      </c>
      <c r="K29" s="2242"/>
      <c r="L29" s="2242"/>
      <c r="M29" s="2242"/>
      <c r="N29" s="2242"/>
      <c r="O29" s="2243"/>
      <c r="P29" s="2241">
        <f>SUM(P19:U28)</f>
        <v>0</v>
      </c>
      <c r="Q29" s="2242"/>
      <c r="R29" s="2242"/>
      <c r="S29" s="2242"/>
      <c r="T29" s="2242"/>
      <c r="U29" s="2243"/>
      <c r="V29" s="2241">
        <f>SUM(V19:AA28)</f>
        <v>8</v>
      </c>
      <c r="W29" s="2242"/>
      <c r="X29" s="2242"/>
      <c r="Y29" s="2242"/>
      <c r="Z29" s="2242"/>
      <c r="AA29" s="2243"/>
      <c r="AB29" s="2241">
        <f>SUM(AB19:AG28)</f>
        <v>24</v>
      </c>
      <c r="AC29" s="2242"/>
      <c r="AD29" s="2242"/>
      <c r="AE29" s="2242"/>
      <c r="AF29" s="2242"/>
      <c r="AG29" s="2243"/>
      <c r="AH29" s="2241">
        <f>SUM(AH19:AM28)</f>
        <v>33</v>
      </c>
      <c r="AI29" s="2242"/>
      <c r="AJ29" s="2242"/>
      <c r="AK29" s="2242"/>
      <c r="AL29" s="2242"/>
      <c r="AM29" s="2243"/>
      <c r="AN29" s="2241">
        <f>SUM(AN19:AS28)</f>
        <v>10</v>
      </c>
      <c r="AO29" s="2242"/>
      <c r="AP29" s="2242"/>
      <c r="AQ29" s="2242"/>
      <c r="AR29" s="2242"/>
      <c r="AS29" s="2243"/>
      <c r="AT29" s="2244">
        <f>J29/$J$29</f>
        <v>1</v>
      </c>
      <c r="AU29" s="2245"/>
      <c r="AV29" s="2245"/>
      <c r="AW29" s="2245"/>
      <c r="AX29" s="2245"/>
      <c r="AY29" s="2246"/>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2247" t="s">
        <v>1903</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9"/>
      <c r="BA31" s="1086"/>
      <c r="BB31" s="1086"/>
      <c r="BC31" s="1086"/>
      <c r="BD31" s="1086"/>
      <c r="BE31" s="1092"/>
    </row>
    <row r="32" spans="1:58" thickBot="1">
      <c r="A32" s="1086"/>
      <c r="B32" s="2250" t="s">
        <v>1904</v>
      </c>
      <c r="C32" s="2251"/>
      <c r="D32" s="2251"/>
      <c r="E32" s="2251"/>
      <c r="F32" s="2251"/>
      <c r="G32" s="2251"/>
      <c r="H32" s="2251"/>
      <c r="I32" s="2252"/>
      <c r="J32" s="2254" t="s">
        <v>1905</v>
      </c>
      <c r="K32" s="2255"/>
      <c r="L32" s="2255"/>
      <c r="M32" s="2256"/>
      <c r="N32" s="2254" t="s">
        <v>1906</v>
      </c>
      <c r="O32" s="2255"/>
      <c r="P32" s="2255"/>
      <c r="Q32" s="2255"/>
      <c r="R32" s="2258" t="s">
        <v>1907</v>
      </c>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59"/>
      <c r="AT32" s="2259"/>
      <c r="AU32" s="2259"/>
      <c r="AV32" s="2259"/>
      <c r="AW32" s="2259"/>
      <c r="AX32" s="2259"/>
      <c r="AY32" s="2259"/>
      <c r="AZ32" s="2260"/>
      <c r="BA32" s="1086"/>
      <c r="BB32" s="1086"/>
      <c r="BC32" s="1086"/>
      <c r="BD32" s="1086"/>
      <c r="BE32" s="1092"/>
    </row>
    <row r="33" spans="1:58" ht="15" customHeight="1">
      <c r="A33" s="1086"/>
      <c r="B33" s="2253"/>
      <c r="C33" s="2251"/>
      <c r="D33" s="2251"/>
      <c r="E33" s="2251"/>
      <c r="F33" s="2251"/>
      <c r="G33" s="2251"/>
      <c r="H33" s="2251"/>
      <c r="I33" s="2252"/>
      <c r="J33" s="2257"/>
      <c r="K33" s="2255"/>
      <c r="L33" s="2255"/>
      <c r="M33" s="2256"/>
      <c r="N33" s="2257"/>
      <c r="O33" s="2255"/>
      <c r="P33" s="2255"/>
      <c r="Q33" s="2255"/>
      <c r="R33" s="2189" t="s">
        <v>1908</v>
      </c>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61"/>
      <c r="AT33" s="2261"/>
      <c r="AU33" s="2261"/>
      <c r="AV33" s="2261"/>
      <c r="AW33" s="2261"/>
      <c r="AX33" s="2261"/>
      <c r="AY33" s="2261"/>
      <c r="AZ33" s="2262"/>
      <c r="BA33" s="1093"/>
      <c r="BB33" s="1086"/>
      <c r="BC33" s="1086"/>
      <c r="BD33" s="1086"/>
      <c r="BE33" s="1092"/>
    </row>
    <row r="34" spans="1:58" ht="15.75" customHeight="1" thickBot="1">
      <c r="A34" s="1086"/>
      <c r="B34" s="2253"/>
      <c r="C34" s="2251"/>
      <c r="D34" s="2251"/>
      <c r="E34" s="2251"/>
      <c r="F34" s="2251"/>
      <c r="G34" s="2251"/>
      <c r="H34" s="2251"/>
      <c r="I34" s="2252"/>
      <c r="J34" s="2257"/>
      <c r="K34" s="2255"/>
      <c r="L34" s="2255"/>
      <c r="M34" s="2256"/>
      <c r="N34" s="2257"/>
      <c r="O34" s="2255"/>
      <c r="P34" s="2255"/>
      <c r="Q34" s="2255"/>
      <c r="R34" s="2263"/>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64"/>
      <c r="AT34" s="2264"/>
      <c r="AU34" s="2264"/>
      <c r="AV34" s="2264"/>
      <c r="AW34" s="2264"/>
      <c r="AX34" s="2264"/>
      <c r="AY34" s="2264"/>
      <c r="AZ34" s="2265"/>
      <c r="BA34" s="1093"/>
      <c r="BB34" s="1086"/>
      <c r="BC34" s="1086"/>
      <c r="BD34" s="1086"/>
      <c r="BE34" s="1092"/>
    </row>
    <row r="35" spans="1:58" ht="15.75" customHeight="1" thickBot="1">
      <c r="A35" s="1086"/>
      <c r="B35" s="2253"/>
      <c r="C35" s="2251"/>
      <c r="D35" s="2251"/>
      <c r="E35" s="2251"/>
      <c r="F35" s="2251"/>
      <c r="G35" s="2251"/>
      <c r="H35" s="2251"/>
      <c r="I35" s="2252"/>
      <c r="J35" s="2257"/>
      <c r="K35" s="2255"/>
      <c r="L35" s="2255"/>
      <c r="M35" s="2256"/>
      <c r="N35" s="2257"/>
      <c r="O35" s="2255"/>
      <c r="P35" s="2255"/>
      <c r="Q35" s="2255"/>
      <c r="R35" s="2235">
        <v>0.3</v>
      </c>
      <c r="S35" s="2236"/>
      <c r="T35" s="2236"/>
      <c r="U35" s="2237"/>
      <c r="V35" s="2235">
        <v>0.4</v>
      </c>
      <c r="W35" s="2236"/>
      <c r="X35" s="2236"/>
      <c r="Y35" s="2237"/>
      <c r="Z35" s="2235">
        <v>0.5</v>
      </c>
      <c r="AA35" s="2236"/>
      <c r="AB35" s="2236"/>
      <c r="AC35" s="2237"/>
      <c r="AD35" s="2235">
        <v>0.6</v>
      </c>
      <c r="AE35" s="2236"/>
      <c r="AF35" s="2236"/>
      <c r="AG35" s="2237"/>
      <c r="AH35" s="2235">
        <v>0.8</v>
      </c>
      <c r="AI35" s="2236"/>
      <c r="AJ35" s="2236"/>
      <c r="AK35" s="2237"/>
      <c r="AL35" s="2235" t="s">
        <v>2302</v>
      </c>
      <c r="AM35" s="2236"/>
      <c r="AN35" s="2237"/>
      <c r="AO35" s="2238" t="s">
        <v>1909</v>
      </c>
      <c r="AP35" s="2239"/>
      <c r="AQ35" s="2239"/>
      <c r="AR35" s="2239"/>
      <c r="AS35" s="2239"/>
      <c r="AT35" s="2240"/>
      <c r="AU35" s="2238" t="s">
        <v>1910</v>
      </c>
      <c r="AV35" s="2239"/>
      <c r="AW35" s="2239"/>
      <c r="AX35" s="2239"/>
      <c r="AY35" s="2239"/>
      <c r="AZ35" s="2240"/>
      <c r="BA35" s="1093"/>
      <c r="BB35" s="1086"/>
      <c r="BC35" s="1086"/>
      <c r="BD35" s="1086"/>
      <c r="BE35" s="1092"/>
      <c r="BF35" s="1084"/>
    </row>
    <row r="36" spans="1:58" ht="15.75" customHeight="1">
      <c r="A36" s="1086"/>
      <c r="B36" s="2226" t="s">
        <v>1911</v>
      </c>
      <c r="C36" s="2227"/>
      <c r="D36" s="2227"/>
      <c r="E36" s="2227"/>
      <c r="F36" s="2227"/>
      <c r="G36" s="2227"/>
      <c r="H36" s="2227"/>
      <c r="I36" s="2228"/>
      <c r="J36" s="2229" t="s">
        <v>1912</v>
      </c>
      <c r="K36" s="2230"/>
      <c r="L36" s="2230"/>
      <c r="M36" s="2231"/>
      <c r="N36" s="2232">
        <v>55</v>
      </c>
      <c r="O36" s="2233"/>
      <c r="P36" s="2233"/>
      <c r="Q36" s="2234"/>
      <c r="R36" s="2224">
        <v>10</v>
      </c>
      <c r="S36" s="2224"/>
      <c r="T36" s="2224"/>
      <c r="U36" s="2224"/>
      <c r="V36" s="2224">
        <v>30</v>
      </c>
      <c r="W36" s="2224"/>
      <c r="X36" s="2224"/>
      <c r="Y36" s="2224"/>
      <c r="Z36" s="2224"/>
      <c r="AA36" s="2224"/>
      <c r="AB36" s="2224"/>
      <c r="AC36" s="2224"/>
      <c r="AD36" s="2224"/>
      <c r="AE36" s="2224"/>
      <c r="AF36" s="2224"/>
      <c r="AG36" s="2224"/>
      <c r="AH36" s="2225"/>
      <c r="AI36" s="2225"/>
      <c r="AJ36" s="2225"/>
      <c r="AK36" s="2225"/>
      <c r="AL36" s="2225"/>
      <c r="AM36" s="2225"/>
      <c r="AN36" s="2225"/>
      <c r="AO36" s="2196">
        <f>SUM(R36:AN36)</f>
        <v>40</v>
      </c>
      <c r="AP36" s="2196"/>
      <c r="AQ36" s="2196"/>
      <c r="AR36" s="2196"/>
      <c r="AS36" s="2196"/>
      <c r="AT36" s="2196"/>
      <c r="AU36" s="2197">
        <f>AO36/$J$29</f>
        <v>0.53333333333333333</v>
      </c>
      <c r="AV36" s="2197"/>
      <c r="AW36" s="2197"/>
      <c r="AX36" s="2197"/>
      <c r="AY36" s="2197"/>
      <c r="AZ36" s="2197"/>
      <c r="BA36" s="1086"/>
      <c r="BB36" s="1086"/>
      <c r="BC36" s="1086"/>
      <c r="BD36" s="1086"/>
      <c r="BE36" s="1092"/>
      <c r="BF36" s="1084"/>
    </row>
    <row r="37" spans="1:58" ht="15.75" customHeight="1">
      <c r="A37" s="1086"/>
      <c r="B37" s="2219" t="s">
        <v>1913</v>
      </c>
      <c r="C37" s="2220"/>
      <c r="D37" s="2220"/>
      <c r="E37" s="2220"/>
      <c r="F37" s="2220"/>
      <c r="G37" s="2220"/>
      <c r="H37" s="2220"/>
      <c r="I37" s="2221"/>
      <c r="J37" s="2222" t="s">
        <v>1914</v>
      </c>
      <c r="K37" s="2210"/>
      <c r="L37" s="2210"/>
      <c r="M37" s="2223"/>
      <c r="N37" s="2209">
        <v>55</v>
      </c>
      <c r="O37" s="2210"/>
      <c r="P37" s="2210"/>
      <c r="Q37" s="2211"/>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c r="AN37" s="2195"/>
      <c r="AO37" s="2196">
        <f t="shared" ref="AO37:AO47" si="2">SUM(R37:AN37)</f>
        <v>0</v>
      </c>
      <c r="AP37" s="2196"/>
      <c r="AQ37" s="2196"/>
      <c r="AR37" s="2196"/>
      <c r="AS37" s="2196"/>
      <c r="AT37" s="2196"/>
      <c r="AU37" s="2197">
        <f t="shared" ref="AU37:AU47" si="3">AO37/$J$29</f>
        <v>0</v>
      </c>
      <c r="AV37" s="2197"/>
      <c r="AW37" s="2197"/>
      <c r="AX37" s="2197"/>
      <c r="AY37" s="2197"/>
      <c r="AZ37" s="2197"/>
      <c r="BA37" s="1086"/>
      <c r="BB37" s="1086"/>
      <c r="BC37" s="1086"/>
      <c r="BD37" s="1086"/>
      <c r="BE37" s="1092"/>
      <c r="BF37" s="1084"/>
    </row>
    <row r="38" spans="1:58" ht="15.75" customHeight="1">
      <c r="A38" s="1086"/>
      <c r="B38" s="2219" t="s">
        <v>2599</v>
      </c>
      <c r="C38" s="2220"/>
      <c r="D38" s="2220"/>
      <c r="E38" s="2220"/>
      <c r="F38" s="2220"/>
      <c r="G38" s="2220"/>
      <c r="H38" s="2220"/>
      <c r="I38" s="2221"/>
      <c r="J38" s="2222" t="s">
        <v>1915</v>
      </c>
      <c r="K38" s="2210"/>
      <c r="L38" s="2210"/>
      <c r="M38" s="2223"/>
      <c r="N38" s="2209">
        <v>55</v>
      </c>
      <c r="O38" s="2210"/>
      <c r="P38" s="2210"/>
      <c r="Q38" s="2211"/>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c r="AN38" s="2195"/>
      <c r="AO38" s="2196">
        <f t="shared" si="2"/>
        <v>0</v>
      </c>
      <c r="AP38" s="2196"/>
      <c r="AQ38" s="2196"/>
      <c r="AR38" s="2196"/>
      <c r="AS38" s="2196"/>
      <c r="AT38" s="2196"/>
      <c r="AU38" s="2197">
        <f t="shared" si="3"/>
        <v>0</v>
      </c>
      <c r="AV38" s="2197"/>
      <c r="AW38" s="2197"/>
      <c r="AX38" s="2197"/>
      <c r="AY38" s="2197"/>
      <c r="AZ38" s="2197"/>
      <c r="BA38" s="1086"/>
      <c r="BB38" s="1086"/>
      <c r="BC38" s="1086"/>
      <c r="BD38" s="1086"/>
      <c r="BE38" s="1092"/>
      <c r="BF38" s="1084"/>
    </row>
    <row r="39" spans="1:58" ht="15.75" customHeight="1">
      <c r="A39" s="1086"/>
      <c r="B39" s="2219" t="s">
        <v>1916</v>
      </c>
      <c r="C39" s="2220"/>
      <c r="D39" s="2220"/>
      <c r="E39" s="2220"/>
      <c r="F39" s="2220"/>
      <c r="G39" s="2220"/>
      <c r="H39" s="2220"/>
      <c r="I39" s="2221"/>
      <c r="J39" s="2207"/>
      <c r="K39" s="1970"/>
      <c r="L39" s="1970"/>
      <c r="M39" s="2208"/>
      <c r="N39" s="2141"/>
      <c r="O39" s="1970"/>
      <c r="P39" s="1970"/>
      <c r="Q39" s="2212"/>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6">
        <f t="shared" si="2"/>
        <v>0</v>
      </c>
      <c r="AP39" s="2196"/>
      <c r="AQ39" s="2196"/>
      <c r="AR39" s="2196"/>
      <c r="AS39" s="2196"/>
      <c r="AT39" s="2196"/>
      <c r="AU39" s="2197">
        <f t="shared" si="3"/>
        <v>0</v>
      </c>
      <c r="AV39" s="2197"/>
      <c r="AW39" s="2197"/>
      <c r="AX39" s="2197"/>
      <c r="AY39" s="2197"/>
      <c r="AZ39" s="2197"/>
      <c r="BA39" s="1086"/>
      <c r="BB39" s="1086"/>
      <c r="BC39" s="1086"/>
      <c r="BD39" s="1086"/>
      <c r="BE39" s="1092"/>
    </row>
    <row r="40" spans="1:58" ht="15.75" customHeight="1">
      <c r="A40" s="1086"/>
      <c r="B40" s="2219" t="s">
        <v>1916</v>
      </c>
      <c r="C40" s="2220"/>
      <c r="D40" s="2220"/>
      <c r="E40" s="2220"/>
      <c r="F40" s="2220"/>
      <c r="G40" s="2220"/>
      <c r="H40" s="2220"/>
      <c r="I40" s="2221"/>
      <c r="J40" s="2207"/>
      <c r="K40" s="1970"/>
      <c r="L40" s="1970"/>
      <c r="M40" s="2208"/>
      <c r="N40" s="2141"/>
      <c r="O40" s="1970"/>
      <c r="P40" s="1970"/>
      <c r="Q40" s="2212"/>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6">
        <f t="shared" si="2"/>
        <v>0</v>
      </c>
      <c r="AP40" s="2196"/>
      <c r="AQ40" s="2196"/>
      <c r="AR40" s="2196"/>
      <c r="AS40" s="2196"/>
      <c r="AT40" s="2196"/>
      <c r="AU40" s="2197">
        <f t="shared" si="3"/>
        <v>0</v>
      </c>
      <c r="AV40" s="2197"/>
      <c r="AW40" s="2197"/>
      <c r="AX40" s="2197"/>
      <c r="AY40" s="2197"/>
      <c r="AZ40" s="2197"/>
      <c r="BA40" s="1086"/>
      <c r="BB40" s="1086"/>
      <c r="BC40" s="1086"/>
      <c r="BD40" s="1086"/>
      <c r="BE40" s="1092"/>
    </row>
    <row r="41" spans="1:58" ht="15.75" customHeight="1">
      <c r="A41" s="1086"/>
      <c r="B41" s="2216" t="s">
        <v>1917</v>
      </c>
      <c r="C41" s="2217"/>
      <c r="D41" s="2217"/>
      <c r="E41" s="2217"/>
      <c r="F41" s="2217"/>
      <c r="G41" s="2217"/>
      <c r="H41" s="2217"/>
      <c r="I41" s="2218"/>
      <c r="J41" s="2207"/>
      <c r="K41" s="1970"/>
      <c r="L41" s="1970"/>
      <c r="M41" s="2208"/>
      <c r="N41" s="2141"/>
      <c r="O41" s="1970"/>
      <c r="P41" s="1970"/>
      <c r="Q41" s="2212"/>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6">
        <f t="shared" si="2"/>
        <v>0</v>
      </c>
      <c r="AP41" s="2196"/>
      <c r="AQ41" s="2196"/>
      <c r="AR41" s="2196"/>
      <c r="AS41" s="2196"/>
      <c r="AT41" s="2196"/>
      <c r="AU41" s="2197">
        <f t="shared" si="3"/>
        <v>0</v>
      </c>
      <c r="AV41" s="2197"/>
      <c r="AW41" s="2197"/>
      <c r="AX41" s="2197"/>
      <c r="AY41" s="2197"/>
      <c r="AZ41" s="2197"/>
      <c r="BA41" s="1086"/>
      <c r="BB41" s="1086"/>
      <c r="BC41" s="1086"/>
      <c r="BD41" s="1086"/>
      <c r="BE41" s="1092"/>
    </row>
    <row r="42" spans="1:58" ht="15.75" customHeight="1">
      <c r="A42" s="1086"/>
      <c r="B42" s="2216" t="s">
        <v>1917</v>
      </c>
      <c r="C42" s="2217"/>
      <c r="D42" s="2217"/>
      <c r="E42" s="2217"/>
      <c r="F42" s="2217"/>
      <c r="G42" s="2217"/>
      <c r="H42" s="2217"/>
      <c r="I42" s="2218"/>
      <c r="J42" s="2207"/>
      <c r="K42" s="1970"/>
      <c r="L42" s="1970"/>
      <c r="M42" s="2208"/>
      <c r="N42" s="2141"/>
      <c r="O42" s="1970"/>
      <c r="P42" s="1970"/>
      <c r="Q42" s="2212"/>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c r="AN42" s="2195"/>
      <c r="AO42" s="2196">
        <f t="shared" si="2"/>
        <v>0</v>
      </c>
      <c r="AP42" s="2196"/>
      <c r="AQ42" s="2196"/>
      <c r="AR42" s="2196"/>
      <c r="AS42" s="2196"/>
      <c r="AT42" s="2196"/>
      <c r="AU42" s="2197">
        <f t="shared" si="3"/>
        <v>0</v>
      </c>
      <c r="AV42" s="2197"/>
      <c r="AW42" s="2197"/>
      <c r="AX42" s="2197"/>
      <c r="AY42" s="2197"/>
      <c r="AZ42" s="2197"/>
      <c r="BA42" s="1086"/>
      <c r="BB42" s="1086"/>
      <c r="BC42" s="1086"/>
      <c r="BD42" s="1086"/>
      <c r="BE42" s="1092"/>
    </row>
    <row r="43" spans="1:58" ht="15.75" customHeight="1">
      <c r="A43" s="1086"/>
      <c r="B43" s="2213" t="s">
        <v>1918</v>
      </c>
      <c r="C43" s="2214"/>
      <c r="D43" s="2214"/>
      <c r="E43" s="2214"/>
      <c r="F43" s="2214"/>
      <c r="G43" s="2214"/>
      <c r="H43" s="2214"/>
      <c r="I43" s="2215"/>
      <c r="J43" s="2207"/>
      <c r="K43" s="1970"/>
      <c r="L43" s="1970"/>
      <c r="M43" s="2208"/>
      <c r="N43" s="2141"/>
      <c r="O43" s="1970"/>
      <c r="P43" s="1970"/>
      <c r="Q43" s="2212"/>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6">
        <f t="shared" si="2"/>
        <v>0</v>
      </c>
      <c r="AP43" s="2196"/>
      <c r="AQ43" s="2196"/>
      <c r="AR43" s="2196"/>
      <c r="AS43" s="2196"/>
      <c r="AT43" s="2196"/>
      <c r="AU43" s="2197">
        <f t="shared" si="3"/>
        <v>0</v>
      </c>
      <c r="AV43" s="2197"/>
      <c r="AW43" s="2197"/>
      <c r="AX43" s="2197"/>
      <c r="AY43" s="2197"/>
      <c r="AZ43" s="2197"/>
      <c r="BA43" s="1086"/>
      <c r="BB43" s="1086"/>
      <c r="BC43" s="1086"/>
      <c r="BD43" s="1086"/>
      <c r="BE43" s="1092"/>
    </row>
    <row r="44" spans="1:58" ht="15.75" customHeight="1">
      <c r="A44" s="1086"/>
      <c r="B44" s="2213" t="s">
        <v>1919</v>
      </c>
      <c r="C44" s="2214"/>
      <c r="D44" s="2214"/>
      <c r="E44" s="2214"/>
      <c r="F44" s="2214"/>
      <c r="G44" s="2214"/>
      <c r="H44" s="2214"/>
      <c r="I44" s="2215"/>
      <c r="J44" s="2207"/>
      <c r="K44" s="1970"/>
      <c r="L44" s="1970"/>
      <c r="M44" s="2208"/>
      <c r="N44" s="2141"/>
      <c r="O44" s="1970"/>
      <c r="P44" s="1970"/>
      <c r="Q44" s="2212"/>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c r="AN44" s="2195"/>
      <c r="AO44" s="2196">
        <f t="shared" si="2"/>
        <v>0</v>
      </c>
      <c r="AP44" s="2196"/>
      <c r="AQ44" s="2196"/>
      <c r="AR44" s="2196"/>
      <c r="AS44" s="2196"/>
      <c r="AT44" s="2196"/>
      <c r="AU44" s="2197">
        <f t="shared" si="3"/>
        <v>0</v>
      </c>
      <c r="AV44" s="2197"/>
      <c r="AW44" s="2197"/>
      <c r="AX44" s="2197"/>
      <c r="AY44" s="2197"/>
      <c r="AZ44" s="2197"/>
      <c r="BA44" s="1086"/>
      <c r="BB44" s="1086"/>
      <c r="BC44" s="1086"/>
      <c r="BD44" s="1086"/>
      <c r="BE44" s="1092"/>
    </row>
    <row r="45" spans="1:58" ht="15.75" customHeight="1">
      <c r="A45" s="1086"/>
      <c r="B45" s="2204" t="s">
        <v>1920</v>
      </c>
      <c r="C45" s="2205"/>
      <c r="D45" s="2205"/>
      <c r="E45" s="2205"/>
      <c r="F45" s="2205"/>
      <c r="G45" s="2205"/>
      <c r="H45" s="2205"/>
      <c r="I45" s="2206"/>
      <c r="J45" s="2207"/>
      <c r="K45" s="1970"/>
      <c r="L45" s="1970"/>
      <c r="M45" s="2208"/>
      <c r="N45" s="2141"/>
      <c r="O45" s="1970"/>
      <c r="P45" s="1970"/>
      <c r="Q45" s="2212"/>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6">
        <f t="shared" si="2"/>
        <v>0</v>
      </c>
      <c r="AP45" s="2196"/>
      <c r="AQ45" s="2196"/>
      <c r="AR45" s="2196"/>
      <c r="AS45" s="2196"/>
      <c r="AT45" s="2196"/>
      <c r="AU45" s="2197">
        <f t="shared" si="3"/>
        <v>0</v>
      </c>
      <c r="AV45" s="2197"/>
      <c r="AW45" s="2197"/>
      <c r="AX45" s="2197"/>
      <c r="AY45" s="2197"/>
      <c r="AZ45" s="2197"/>
      <c r="BA45" s="1086"/>
      <c r="BB45" s="1086"/>
      <c r="BC45" s="1086"/>
      <c r="BD45" s="1086"/>
      <c r="BE45" s="1092"/>
    </row>
    <row r="46" spans="1:58" ht="15.75" customHeight="1">
      <c r="A46" s="1086"/>
      <c r="B46" s="2204" t="s">
        <v>1921</v>
      </c>
      <c r="C46" s="2205"/>
      <c r="D46" s="2205"/>
      <c r="E46" s="2205"/>
      <c r="F46" s="2205"/>
      <c r="G46" s="2205"/>
      <c r="H46" s="2205"/>
      <c r="I46" s="2206"/>
      <c r="J46" s="2207"/>
      <c r="K46" s="1970"/>
      <c r="L46" s="1970"/>
      <c r="M46" s="2208"/>
      <c r="N46" s="2209">
        <v>99</v>
      </c>
      <c r="O46" s="2210"/>
      <c r="P46" s="2210"/>
      <c r="Q46" s="2211"/>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6">
        <f t="shared" si="2"/>
        <v>0</v>
      </c>
      <c r="AP46" s="2196"/>
      <c r="AQ46" s="2196"/>
      <c r="AR46" s="2196"/>
      <c r="AS46" s="2196"/>
      <c r="AT46" s="2196"/>
      <c r="AU46" s="2197">
        <f t="shared" si="3"/>
        <v>0</v>
      </c>
      <c r="AV46" s="2197"/>
      <c r="AW46" s="2197"/>
      <c r="AX46" s="2197"/>
      <c r="AY46" s="2197"/>
      <c r="AZ46" s="2197"/>
      <c r="BA46" s="1086"/>
      <c r="BB46" s="1086"/>
      <c r="BC46" s="1086"/>
      <c r="BD46" s="1086"/>
      <c r="BE46" s="1092"/>
    </row>
    <row r="47" spans="1:58" ht="15.75" customHeight="1" thickBot="1">
      <c r="A47" s="1086"/>
      <c r="B47" s="2198" t="s">
        <v>306</v>
      </c>
      <c r="C47" s="2199"/>
      <c r="D47" s="2199"/>
      <c r="E47" s="2199"/>
      <c r="F47" s="2199"/>
      <c r="G47" s="2199"/>
      <c r="H47" s="2199"/>
      <c r="I47" s="2200"/>
      <c r="J47" s="2201"/>
      <c r="K47" s="2107"/>
      <c r="L47" s="2107"/>
      <c r="M47" s="2108"/>
      <c r="N47" s="2202"/>
      <c r="O47" s="2107"/>
      <c r="P47" s="2107"/>
      <c r="Q47" s="2203"/>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6">
        <f t="shared" si="2"/>
        <v>0</v>
      </c>
      <c r="AP47" s="2196"/>
      <c r="AQ47" s="2196"/>
      <c r="AR47" s="2196"/>
      <c r="AS47" s="2196"/>
      <c r="AT47" s="2196"/>
      <c r="AU47" s="2197">
        <f t="shared" si="3"/>
        <v>0</v>
      </c>
      <c r="AV47" s="2197"/>
      <c r="AW47" s="2197"/>
      <c r="AX47" s="2197"/>
      <c r="AY47" s="2197"/>
      <c r="AZ47" s="2197"/>
      <c r="BA47" s="1086"/>
      <c r="BB47" s="1086"/>
      <c r="BC47" s="1086"/>
      <c r="BD47" s="1086"/>
      <c r="BE47" s="1092"/>
    </row>
    <row r="48" spans="1:58" ht="15.75" customHeight="1">
      <c r="A48" s="1086"/>
      <c r="B48" s="1094" t="s">
        <v>1922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2320</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53" t="s">
        <v>1923</v>
      </c>
      <c r="C50" s="2054"/>
      <c r="D50" s="2054"/>
      <c r="E50" s="2054"/>
      <c r="F50" s="2054"/>
      <c r="G50" s="2054"/>
      <c r="H50" s="2054"/>
      <c r="I50" s="2054"/>
      <c r="J50" s="2054"/>
      <c r="K50" s="2054"/>
      <c r="L50" s="2054"/>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2054"/>
      <c r="AN50" s="2054"/>
      <c r="AO50" s="2185"/>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86" t="s">
        <v>1924</v>
      </c>
      <c r="C51" s="2187"/>
      <c r="D51" s="2187"/>
      <c r="E51" s="2187"/>
      <c r="F51" s="2187"/>
      <c r="G51" s="2187"/>
      <c r="H51" s="2187"/>
      <c r="I51" s="2188"/>
      <c r="J51" s="2186" t="s">
        <v>1925</v>
      </c>
      <c r="K51" s="2187"/>
      <c r="L51" s="2187"/>
      <c r="M51" s="2187"/>
      <c r="N51" s="2187"/>
      <c r="O51" s="2187"/>
      <c r="P51" s="2187"/>
      <c r="Q51" s="2188"/>
      <c r="R51" s="2189" t="s">
        <v>1926</v>
      </c>
      <c r="S51" s="2190"/>
      <c r="T51" s="2190"/>
      <c r="U51" s="2190"/>
      <c r="V51" s="2190"/>
      <c r="W51" s="2190"/>
      <c r="X51" s="2190"/>
      <c r="Y51" s="2191"/>
      <c r="Z51" s="2192" t="s">
        <v>1927</v>
      </c>
      <c r="AA51" s="2193"/>
      <c r="AB51" s="2193"/>
      <c r="AC51" s="2193"/>
      <c r="AD51" s="2193"/>
      <c r="AE51" s="2193"/>
      <c r="AF51" s="2193"/>
      <c r="AG51" s="2194"/>
      <c r="AH51" s="2192" t="s">
        <v>1928</v>
      </c>
      <c r="AI51" s="2193"/>
      <c r="AJ51" s="2193"/>
      <c r="AK51" s="2193"/>
      <c r="AL51" s="2193"/>
      <c r="AM51" s="2193"/>
      <c r="AN51" s="2193"/>
      <c r="AO51" s="2194"/>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1" t="s">
        <v>2321</v>
      </c>
      <c r="C52" s="2162"/>
      <c r="D52" s="2162"/>
      <c r="E52" s="2162"/>
      <c r="F52" s="2162"/>
      <c r="G52" s="2162"/>
      <c r="H52" s="2162"/>
      <c r="I52" s="2162"/>
      <c r="J52" s="2162">
        <v>0</v>
      </c>
      <c r="K52" s="2162"/>
      <c r="L52" s="2162"/>
      <c r="M52" s="2162"/>
      <c r="N52" s="2162"/>
      <c r="O52" s="2162"/>
      <c r="P52" s="2162"/>
      <c r="Q52" s="2162"/>
      <c r="R52" s="2181">
        <v>0</v>
      </c>
      <c r="S52" s="2181"/>
      <c r="T52" s="2181"/>
      <c r="U52" s="2181"/>
      <c r="V52" s="2181"/>
      <c r="W52" s="2181"/>
      <c r="X52" s="2181"/>
      <c r="Y52" s="2181"/>
      <c r="Z52" s="2182"/>
      <c r="AA52" s="2182"/>
      <c r="AB52" s="2182"/>
      <c r="AC52" s="2182"/>
      <c r="AD52" s="2182"/>
      <c r="AE52" s="2182"/>
      <c r="AF52" s="2182"/>
      <c r="AG52" s="2182"/>
      <c r="AH52" s="2183">
        <v>0</v>
      </c>
      <c r="AI52" s="2183"/>
      <c r="AJ52" s="2183"/>
      <c r="AK52" s="2183"/>
      <c r="AL52" s="2183"/>
      <c r="AM52" s="2183"/>
      <c r="AN52" s="2183"/>
      <c r="AO52" s="2184"/>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1" t="s">
        <v>2322</v>
      </c>
      <c r="C53" s="2162"/>
      <c r="D53" s="2162"/>
      <c r="E53" s="2162"/>
      <c r="F53" s="2162"/>
      <c r="G53" s="2162"/>
      <c r="H53" s="2162"/>
      <c r="I53" s="2162"/>
      <c r="J53" s="2162"/>
      <c r="K53" s="2162"/>
      <c r="L53" s="2162"/>
      <c r="M53" s="2162"/>
      <c r="N53" s="2162"/>
      <c r="O53" s="2162"/>
      <c r="P53" s="2162"/>
      <c r="Q53" s="2162"/>
      <c r="R53" s="2181">
        <v>0</v>
      </c>
      <c r="S53" s="2181"/>
      <c r="T53" s="2181"/>
      <c r="U53" s="2181"/>
      <c r="V53" s="2181"/>
      <c r="W53" s="2181"/>
      <c r="X53" s="2181"/>
      <c r="Y53" s="2181"/>
      <c r="Z53" s="2182"/>
      <c r="AA53" s="2182"/>
      <c r="AB53" s="2182"/>
      <c r="AC53" s="2182"/>
      <c r="AD53" s="2182"/>
      <c r="AE53" s="2182"/>
      <c r="AF53" s="2182"/>
      <c r="AG53" s="2182"/>
      <c r="AH53" s="2183">
        <v>0</v>
      </c>
      <c r="AI53" s="2183"/>
      <c r="AJ53" s="2183"/>
      <c r="AK53" s="2183"/>
      <c r="AL53" s="2183"/>
      <c r="AM53" s="2183"/>
      <c r="AN53" s="2183"/>
      <c r="AO53" s="2184"/>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1"/>
      <c r="C54" s="2162"/>
      <c r="D54" s="2162"/>
      <c r="E54" s="2162"/>
      <c r="F54" s="2162"/>
      <c r="G54" s="2162"/>
      <c r="H54" s="2162"/>
      <c r="I54" s="2162"/>
      <c r="J54" s="2162"/>
      <c r="K54" s="2162"/>
      <c r="L54" s="2162"/>
      <c r="M54" s="2162"/>
      <c r="N54" s="2162"/>
      <c r="O54" s="2162"/>
      <c r="P54" s="2162"/>
      <c r="Q54" s="2162"/>
      <c r="R54" s="2181">
        <v>0</v>
      </c>
      <c r="S54" s="2181"/>
      <c r="T54" s="2181"/>
      <c r="U54" s="2181"/>
      <c r="V54" s="2181"/>
      <c r="W54" s="2181"/>
      <c r="X54" s="2181"/>
      <c r="Y54" s="2181"/>
      <c r="Z54" s="2182"/>
      <c r="AA54" s="2182"/>
      <c r="AB54" s="2182"/>
      <c r="AC54" s="2182"/>
      <c r="AD54" s="2182"/>
      <c r="AE54" s="2182"/>
      <c r="AF54" s="2182"/>
      <c r="AG54" s="2182"/>
      <c r="AH54" s="2183">
        <v>0</v>
      </c>
      <c r="AI54" s="2183"/>
      <c r="AJ54" s="2183"/>
      <c r="AK54" s="2183"/>
      <c r="AL54" s="2183"/>
      <c r="AM54" s="2183"/>
      <c r="AN54" s="2183"/>
      <c r="AO54" s="2184"/>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1"/>
      <c r="C55" s="2162"/>
      <c r="D55" s="2162"/>
      <c r="E55" s="2162"/>
      <c r="F55" s="2162"/>
      <c r="G55" s="2162"/>
      <c r="H55" s="2162"/>
      <c r="I55" s="2162"/>
      <c r="J55" s="2162"/>
      <c r="K55" s="2162"/>
      <c r="L55" s="2162"/>
      <c r="M55" s="2162"/>
      <c r="N55" s="2162"/>
      <c r="O55" s="2162"/>
      <c r="P55" s="2162"/>
      <c r="Q55" s="2162"/>
      <c r="R55" s="2181">
        <v>0</v>
      </c>
      <c r="S55" s="2181"/>
      <c r="T55" s="2181"/>
      <c r="U55" s="2181"/>
      <c r="V55" s="2181"/>
      <c r="W55" s="2181"/>
      <c r="X55" s="2181"/>
      <c r="Y55" s="2181"/>
      <c r="Z55" s="2182"/>
      <c r="AA55" s="2182"/>
      <c r="AB55" s="2182"/>
      <c r="AC55" s="2182"/>
      <c r="AD55" s="2182"/>
      <c r="AE55" s="2182"/>
      <c r="AF55" s="2182"/>
      <c r="AG55" s="2182"/>
      <c r="AH55" s="2183">
        <v>0</v>
      </c>
      <c r="AI55" s="2183"/>
      <c r="AJ55" s="2183"/>
      <c r="AK55" s="2183"/>
      <c r="AL55" s="2183"/>
      <c r="AM55" s="2183"/>
      <c r="AN55" s="2183"/>
      <c r="AO55" s="2184"/>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65"/>
      <c r="C56" s="2166"/>
      <c r="D56" s="2166"/>
      <c r="E56" s="2166"/>
      <c r="F56" s="2166"/>
      <c r="G56" s="2166"/>
      <c r="H56" s="2166"/>
      <c r="I56" s="2166"/>
      <c r="J56" s="2166"/>
      <c r="K56" s="2166"/>
      <c r="L56" s="2166"/>
      <c r="M56" s="2166"/>
      <c r="N56" s="2166"/>
      <c r="O56" s="2166"/>
      <c r="P56" s="2166"/>
      <c r="Q56" s="2166"/>
      <c r="R56" s="2172">
        <v>0</v>
      </c>
      <c r="S56" s="2172"/>
      <c r="T56" s="2172"/>
      <c r="U56" s="2172"/>
      <c r="V56" s="2172"/>
      <c r="W56" s="2172"/>
      <c r="X56" s="2172"/>
      <c r="Y56" s="2172"/>
      <c r="Z56" s="2173"/>
      <c r="AA56" s="2173"/>
      <c r="AB56" s="2173"/>
      <c r="AC56" s="2173"/>
      <c r="AD56" s="2173"/>
      <c r="AE56" s="2173"/>
      <c r="AF56" s="2173"/>
      <c r="AG56" s="2173"/>
      <c r="AH56" s="2174"/>
      <c r="AI56" s="2174"/>
      <c r="AJ56" s="2174"/>
      <c r="AK56" s="2174"/>
      <c r="AL56" s="2174"/>
      <c r="AM56" s="2174"/>
      <c r="AN56" s="2174"/>
      <c r="AO56" s="2175"/>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76" t="s">
        <v>1792</v>
      </c>
      <c r="C57" s="2177"/>
      <c r="D57" s="2177"/>
      <c r="E57" s="2177"/>
      <c r="F57" s="2177"/>
      <c r="G57" s="2177"/>
      <c r="H57" s="2177"/>
      <c r="I57" s="2177"/>
      <c r="J57" s="2177"/>
      <c r="K57" s="2177"/>
      <c r="L57" s="2177"/>
      <c r="M57" s="2177"/>
      <c r="N57" s="2177"/>
      <c r="O57" s="2177"/>
      <c r="P57" s="2177"/>
      <c r="Q57" s="2177"/>
      <c r="R57" s="2178">
        <f>SUM(R52:Y56)</f>
        <v>0</v>
      </c>
      <c r="S57" s="2178"/>
      <c r="T57" s="2178"/>
      <c r="U57" s="2178"/>
      <c r="V57" s="2178"/>
      <c r="W57" s="2178"/>
      <c r="X57" s="2178"/>
      <c r="Y57" s="2178"/>
      <c r="Z57" s="2179">
        <f t="shared" ref="Z57" si="4">SUM(Z52:AG56)</f>
        <v>0</v>
      </c>
      <c r="AA57" s="2179"/>
      <c r="AB57" s="2179"/>
      <c r="AC57" s="2179"/>
      <c r="AD57" s="2179"/>
      <c r="AE57" s="2179"/>
      <c r="AF57" s="2179"/>
      <c r="AG57" s="2179"/>
      <c r="AH57" s="2180">
        <f>SUM(AH52:AO56)</f>
        <v>0</v>
      </c>
      <c r="AI57" s="2180"/>
      <c r="AJ57" s="2180"/>
      <c r="AK57" s="2180"/>
      <c r="AL57" s="2180"/>
      <c r="AM57" s="2180"/>
      <c r="AN57" s="2180"/>
      <c r="AO57" s="2180"/>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69" t="s">
        <v>1924</v>
      </c>
      <c r="C59" s="2170"/>
      <c r="D59" s="2170"/>
      <c r="E59" s="2170"/>
      <c r="F59" s="2170"/>
      <c r="G59" s="2170"/>
      <c r="H59" s="2170"/>
      <c r="I59" s="2171"/>
      <c r="J59" s="1978" t="s">
        <v>1929</v>
      </c>
      <c r="K59" s="1978"/>
      <c r="L59" s="1978"/>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c r="AN59" s="1978"/>
      <c r="AO59" s="1978"/>
      <c r="AP59" s="1978"/>
      <c r="AQ59" s="1978"/>
      <c r="AR59" s="1978"/>
      <c r="AS59" s="1978"/>
      <c r="AT59" s="1978"/>
      <c r="AU59" s="1978"/>
      <c r="AV59" s="1978"/>
      <c r="AW59" s="1979"/>
      <c r="AX59" s="1086"/>
      <c r="AY59" s="1086"/>
      <c r="AZ59" s="1086"/>
      <c r="BA59" s="1086"/>
      <c r="BB59" s="1086"/>
      <c r="BC59" s="1086"/>
      <c r="BD59" s="1086"/>
      <c r="BE59" s="1092"/>
    </row>
    <row r="60" spans="1:58" ht="15.75" customHeight="1">
      <c r="A60" s="1086"/>
      <c r="B60" s="2161" t="str">
        <f>IF(B52="", "", B52)</f>
        <v>Services Company 1</v>
      </c>
      <c r="C60" s="2162"/>
      <c r="D60" s="2162"/>
      <c r="E60" s="2162"/>
      <c r="F60" s="2162"/>
      <c r="G60" s="2162"/>
      <c r="H60" s="2162"/>
      <c r="I60" s="2163"/>
      <c r="J60" s="2164"/>
      <c r="K60" s="2162"/>
      <c r="L60" s="2162"/>
      <c r="M60" s="2162"/>
      <c r="N60" s="2162"/>
      <c r="O60" s="2162"/>
      <c r="P60" s="2162"/>
      <c r="Q60" s="2162"/>
      <c r="R60" s="2162"/>
      <c r="S60" s="2162"/>
      <c r="T60" s="2162"/>
      <c r="U60" s="2162"/>
      <c r="V60" s="2162"/>
      <c r="W60" s="2162"/>
      <c r="X60" s="2162"/>
      <c r="Y60" s="2162"/>
      <c r="Z60" s="2162"/>
      <c r="AA60" s="2162"/>
      <c r="AB60" s="2162"/>
      <c r="AC60" s="2162"/>
      <c r="AD60" s="2162"/>
      <c r="AE60" s="2162"/>
      <c r="AF60" s="2162"/>
      <c r="AG60" s="2162"/>
      <c r="AH60" s="2162"/>
      <c r="AI60" s="2162"/>
      <c r="AJ60" s="2162"/>
      <c r="AK60" s="2162"/>
      <c r="AL60" s="2162"/>
      <c r="AM60" s="2162"/>
      <c r="AN60" s="2162"/>
      <c r="AO60" s="2162"/>
      <c r="AP60" s="2162"/>
      <c r="AQ60" s="2162"/>
      <c r="AR60" s="2162"/>
      <c r="AS60" s="2162"/>
      <c r="AT60" s="2162"/>
      <c r="AU60" s="2162"/>
      <c r="AV60" s="2162"/>
      <c r="AW60" s="2163"/>
      <c r="AX60" s="1086"/>
      <c r="AY60" s="1086"/>
      <c r="AZ60" s="1086"/>
      <c r="BA60" s="1086"/>
      <c r="BB60" s="1086"/>
      <c r="BC60" s="1086"/>
      <c r="BD60" s="1086"/>
      <c r="BE60" s="1092"/>
    </row>
    <row r="61" spans="1:58" ht="15.75" customHeight="1">
      <c r="A61" s="1086"/>
      <c r="B61" s="2161" t="str">
        <f t="shared" ref="B61:B64" si="5">IF(B53="", "", B53)</f>
        <v>Services Company 2</v>
      </c>
      <c r="C61" s="2162"/>
      <c r="D61" s="2162"/>
      <c r="E61" s="2162"/>
      <c r="F61" s="2162"/>
      <c r="G61" s="2162"/>
      <c r="H61" s="2162"/>
      <c r="I61" s="2163"/>
      <c r="J61" s="2164"/>
      <c r="K61" s="2162"/>
      <c r="L61" s="2162"/>
      <c r="M61" s="2162"/>
      <c r="N61" s="2162"/>
      <c r="O61" s="2162"/>
      <c r="P61" s="2162"/>
      <c r="Q61" s="2162"/>
      <c r="R61" s="2162"/>
      <c r="S61" s="2162"/>
      <c r="T61" s="2162"/>
      <c r="U61" s="2162"/>
      <c r="V61" s="2162"/>
      <c r="W61" s="2162"/>
      <c r="X61" s="2162"/>
      <c r="Y61" s="2162"/>
      <c r="Z61" s="2162"/>
      <c r="AA61" s="2162"/>
      <c r="AB61" s="2162"/>
      <c r="AC61" s="2162"/>
      <c r="AD61" s="2162"/>
      <c r="AE61" s="2162"/>
      <c r="AF61" s="2162"/>
      <c r="AG61" s="2162"/>
      <c r="AH61" s="2162"/>
      <c r="AI61" s="2162"/>
      <c r="AJ61" s="2162"/>
      <c r="AK61" s="2162"/>
      <c r="AL61" s="2162"/>
      <c r="AM61" s="2162"/>
      <c r="AN61" s="2162"/>
      <c r="AO61" s="2162"/>
      <c r="AP61" s="2162"/>
      <c r="AQ61" s="2162"/>
      <c r="AR61" s="2162"/>
      <c r="AS61" s="2162"/>
      <c r="AT61" s="2162"/>
      <c r="AU61" s="2162"/>
      <c r="AV61" s="2162"/>
      <c r="AW61" s="2163"/>
      <c r="AX61" s="1086"/>
      <c r="AY61" s="1086"/>
      <c r="AZ61" s="1086"/>
      <c r="BA61" s="1086"/>
      <c r="BB61" s="1086"/>
      <c r="BC61" s="1086"/>
      <c r="BD61" s="1086"/>
      <c r="BE61" s="1092"/>
    </row>
    <row r="62" spans="1:58" ht="15.75" customHeight="1">
      <c r="A62" s="1086"/>
      <c r="B62" s="2161" t="str">
        <f t="shared" si="5"/>
        <v/>
      </c>
      <c r="C62" s="2162"/>
      <c r="D62" s="2162"/>
      <c r="E62" s="2162"/>
      <c r="F62" s="2162"/>
      <c r="G62" s="2162"/>
      <c r="H62" s="2162"/>
      <c r="I62" s="2163"/>
      <c r="J62" s="2164"/>
      <c r="K62" s="2162"/>
      <c r="L62" s="2162"/>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2"/>
      <c r="AO62" s="2162"/>
      <c r="AP62" s="2162"/>
      <c r="AQ62" s="2162"/>
      <c r="AR62" s="2162"/>
      <c r="AS62" s="2162"/>
      <c r="AT62" s="2162"/>
      <c r="AU62" s="2162"/>
      <c r="AV62" s="2162"/>
      <c r="AW62" s="2163"/>
      <c r="AX62" s="1086"/>
      <c r="AY62" s="1086"/>
      <c r="AZ62" s="1086"/>
      <c r="BA62" s="1086"/>
      <c r="BB62" s="1086"/>
      <c r="BC62" s="1086"/>
      <c r="BD62" s="1086"/>
      <c r="BE62" s="1092"/>
    </row>
    <row r="63" spans="1:58" ht="15.75" customHeight="1">
      <c r="A63" s="1086"/>
      <c r="B63" s="2161" t="str">
        <f t="shared" si="5"/>
        <v/>
      </c>
      <c r="C63" s="2162"/>
      <c r="D63" s="2162"/>
      <c r="E63" s="2162"/>
      <c r="F63" s="2162"/>
      <c r="G63" s="2162"/>
      <c r="H63" s="2162"/>
      <c r="I63" s="2163"/>
      <c r="J63" s="2164"/>
      <c r="K63" s="2162"/>
      <c r="L63" s="2162"/>
      <c r="M63" s="2162"/>
      <c r="N63" s="2162"/>
      <c r="O63" s="2162"/>
      <c r="P63" s="2162"/>
      <c r="Q63" s="2162"/>
      <c r="R63" s="2162"/>
      <c r="S63" s="2162"/>
      <c r="T63" s="2162"/>
      <c r="U63" s="2162"/>
      <c r="V63" s="2162"/>
      <c r="W63" s="2162"/>
      <c r="X63" s="2162"/>
      <c r="Y63" s="2162"/>
      <c r="Z63" s="2162"/>
      <c r="AA63" s="2162"/>
      <c r="AB63" s="2162"/>
      <c r="AC63" s="2162"/>
      <c r="AD63" s="2162"/>
      <c r="AE63" s="2162"/>
      <c r="AF63" s="2162"/>
      <c r="AG63" s="2162"/>
      <c r="AH63" s="2162"/>
      <c r="AI63" s="2162"/>
      <c r="AJ63" s="2162"/>
      <c r="AK63" s="2162"/>
      <c r="AL63" s="2162"/>
      <c r="AM63" s="2162"/>
      <c r="AN63" s="2162"/>
      <c r="AO63" s="2162"/>
      <c r="AP63" s="2162"/>
      <c r="AQ63" s="2162"/>
      <c r="AR63" s="2162"/>
      <c r="AS63" s="2162"/>
      <c r="AT63" s="2162"/>
      <c r="AU63" s="2162"/>
      <c r="AV63" s="2162"/>
      <c r="AW63" s="2163"/>
      <c r="AX63" s="1086"/>
      <c r="AY63" s="1086"/>
      <c r="AZ63" s="1086"/>
      <c r="BA63" s="1086"/>
      <c r="BB63" s="1086"/>
      <c r="BC63" s="1086"/>
      <c r="BD63" s="1086"/>
      <c r="BE63" s="1092"/>
    </row>
    <row r="64" spans="1:58" ht="15.75" customHeight="1" thickBot="1">
      <c r="A64" s="1086"/>
      <c r="B64" s="2165" t="str">
        <f t="shared" si="5"/>
        <v/>
      </c>
      <c r="C64" s="2166"/>
      <c r="D64" s="2166"/>
      <c r="E64" s="2166"/>
      <c r="F64" s="2166"/>
      <c r="G64" s="2166"/>
      <c r="H64" s="2166"/>
      <c r="I64" s="2167"/>
      <c r="J64" s="2168"/>
      <c r="K64" s="2166"/>
      <c r="L64" s="2166"/>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c r="AS64" s="2166"/>
      <c r="AT64" s="2166"/>
      <c r="AU64" s="2166"/>
      <c r="AV64" s="2166"/>
      <c r="AW64" s="2167"/>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1930</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24" t="s">
        <v>1931</v>
      </c>
      <c r="C68" s="2025"/>
      <c r="D68" s="2025"/>
      <c r="E68" s="2025"/>
      <c r="F68" s="2025"/>
      <c r="G68" s="2025"/>
      <c r="H68" s="2025"/>
      <c r="I68" s="2025"/>
      <c r="J68" s="2025"/>
      <c r="K68" s="2025"/>
      <c r="L68" s="2025"/>
      <c r="M68" s="2025"/>
      <c r="N68" s="2025"/>
      <c r="O68" s="2025"/>
      <c r="P68" s="2025"/>
      <c r="Q68" s="2025"/>
      <c r="R68" s="2025"/>
      <c r="S68" s="2025"/>
      <c r="T68" s="2025"/>
      <c r="U68" s="2025"/>
      <c r="V68" s="2025"/>
      <c r="W68" s="2025"/>
      <c r="X68" s="2025"/>
      <c r="Y68" s="2025"/>
      <c r="Z68" s="2025"/>
      <c r="AA68" s="2026"/>
      <c r="AB68" s="1086"/>
      <c r="AC68" s="2123" t="s">
        <v>1932</v>
      </c>
      <c r="AD68" s="2124"/>
      <c r="AE68" s="2124"/>
      <c r="AF68" s="2124"/>
      <c r="AG68" s="2124"/>
      <c r="AH68" s="2124"/>
      <c r="AI68" s="2124"/>
      <c r="AJ68" s="2124"/>
      <c r="AK68" s="2124"/>
      <c r="AL68" s="2124"/>
      <c r="AM68" s="2124"/>
      <c r="AN68" s="2124"/>
      <c r="AO68" s="2124"/>
      <c r="AP68" s="2124"/>
      <c r="AQ68" s="2124"/>
      <c r="AR68" s="2124"/>
      <c r="AS68" s="2124"/>
      <c r="AT68" s="2124"/>
      <c r="AU68" s="2124"/>
      <c r="AV68" s="2156" t="s">
        <v>1891</v>
      </c>
      <c r="AW68" s="2156"/>
      <c r="AX68" s="2156"/>
      <c r="AY68" s="2156"/>
      <c r="AZ68" s="2156"/>
      <c r="BA68" s="2156"/>
      <c r="BB68" s="2156"/>
      <c r="BC68" s="2157"/>
      <c r="BD68" s="1086"/>
      <c r="BE68" s="1092"/>
    </row>
    <row r="69" spans="1:57" ht="15.75" customHeight="1" thickBot="1">
      <c r="A69" s="1086"/>
      <c r="B69" s="2158" t="s">
        <v>1933</v>
      </c>
      <c r="C69" s="2131"/>
      <c r="D69" s="2131"/>
      <c r="E69" s="2131"/>
      <c r="F69" s="2131"/>
      <c r="G69" s="2131"/>
      <c r="H69" s="2131"/>
      <c r="I69" s="2131"/>
      <c r="J69" s="2131"/>
      <c r="K69" s="2131"/>
      <c r="L69" s="2131"/>
      <c r="M69" s="2131"/>
      <c r="N69" s="2131"/>
      <c r="O69" s="2159" t="s">
        <v>1934</v>
      </c>
      <c r="P69" s="1956"/>
      <c r="Q69" s="1956"/>
      <c r="R69" s="1956"/>
      <c r="S69" s="1956"/>
      <c r="T69" s="1956"/>
      <c r="U69" s="1956"/>
      <c r="V69" s="1956"/>
      <c r="W69" s="1956"/>
      <c r="X69" s="1956"/>
      <c r="Y69" s="1956"/>
      <c r="Z69" s="1956"/>
      <c r="AA69" s="1957"/>
      <c r="AB69" s="1086"/>
      <c r="AC69" s="1898" t="s">
        <v>1935</v>
      </c>
      <c r="AD69" s="1899"/>
      <c r="AE69" s="1899"/>
      <c r="AF69" s="1899"/>
      <c r="AG69" s="1899"/>
      <c r="AH69" s="1899"/>
      <c r="AI69" s="1899"/>
      <c r="AJ69" s="1899"/>
      <c r="AK69" s="1899"/>
      <c r="AL69" s="1899"/>
      <c r="AM69" s="1899"/>
      <c r="AN69" s="1899"/>
      <c r="AO69" s="1899"/>
      <c r="AP69" s="1899"/>
      <c r="AQ69" s="1899"/>
      <c r="AR69" s="1899"/>
      <c r="AS69" s="1899"/>
      <c r="AT69" s="1899"/>
      <c r="AU69" s="1899"/>
      <c r="AV69" s="2003">
        <v>44563</v>
      </c>
      <c r="AW69" s="2002"/>
      <c r="AX69" s="2002"/>
      <c r="AY69" s="2002"/>
      <c r="AZ69" s="2002"/>
      <c r="BA69" s="2002"/>
      <c r="BB69" s="2002"/>
      <c r="BC69" s="2160"/>
      <c r="BD69" s="1086"/>
      <c r="BE69" s="1092"/>
    </row>
    <row r="70" spans="1:57" ht="15.75" customHeight="1">
      <c r="A70" s="1086"/>
      <c r="B70" s="2152"/>
      <c r="C70" s="2153"/>
      <c r="D70" s="2153"/>
      <c r="E70" s="2153"/>
      <c r="F70" s="2153"/>
      <c r="G70" s="2153"/>
      <c r="H70" s="2153"/>
      <c r="I70" s="2153"/>
      <c r="J70" s="2153"/>
      <c r="K70" s="2153"/>
      <c r="L70" s="2153"/>
      <c r="M70" s="2153"/>
      <c r="N70" s="2153"/>
      <c r="O70" s="2142">
        <v>1</v>
      </c>
      <c r="P70" s="2142"/>
      <c r="Q70" s="2142"/>
      <c r="R70" s="2142"/>
      <c r="S70" s="2142"/>
      <c r="T70" s="2142"/>
      <c r="U70" s="2142"/>
      <c r="V70" s="2142"/>
      <c r="W70" s="2142"/>
      <c r="X70" s="2142"/>
      <c r="Y70" s="2142"/>
      <c r="Z70" s="2142"/>
      <c r="AA70" s="2143"/>
      <c r="AB70" s="1086"/>
      <c r="AC70" s="2154" t="s">
        <v>1936</v>
      </c>
      <c r="AD70" s="2155"/>
      <c r="AE70" s="2155"/>
      <c r="AF70" s="2110"/>
      <c r="AG70" s="2110"/>
      <c r="AH70" s="2110"/>
      <c r="AI70" s="2110"/>
      <c r="AJ70" s="2110"/>
      <c r="AK70" s="2110"/>
      <c r="AL70" s="2110"/>
      <c r="AM70" s="2110"/>
      <c r="AN70" s="2110"/>
      <c r="AO70" s="2110"/>
      <c r="AP70" s="2110"/>
      <c r="AQ70" s="2110"/>
      <c r="AR70" s="2110"/>
      <c r="AS70" s="2110"/>
      <c r="AT70" s="2110"/>
      <c r="AU70" s="2111"/>
      <c r="AV70" s="1086"/>
      <c r="AW70" s="1086"/>
      <c r="AX70" s="1086"/>
      <c r="AY70" s="1086"/>
      <c r="AZ70" s="1086"/>
      <c r="BA70" s="1086"/>
      <c r="BB70" s="1086"/>
      <c r="BC70" s="1086"/>
      <c r="BD70" s="1086"/>
      <c r="BE70" s="1092"/>
    </row>
    <row r="71" spans="1:57" ht="15.75" customHeight="1" thickBot="1">
      <c r="A71" s="1086"/>
      <c r="B71" s="2141"/>
      <c r="C71" s="1970"/>
      <c r="D71" s="1970"/>
      <c r="E71" s="1970"/>
      <c r="F71" s="1970"/>
      <c r="G71" s="1970"/>
      <c r="H71" s="1970"/>
      <c r="I71" s="1970"/>
      <c r="J71" s="1970"/>
      <c r="K71" s="1970"/>
      <c r="L71" s="1970"/>
      <c r="M71" s="1970"/>
      <c r="N71" s="1970"/>
      <c r="O71" s="2142"/>
      <c r="P71" s="2142"/>
      <c r="Q71" s="2142"/>
      <c r="R71" s="2142"/>
      <c r="S71" s="2142"/>
      <c r="T71" s="2142"/>
      <c r="U71" s="2142"/>
      <c r="V71" s="2142"/>
      <c r="W71" s="2142"/>
      <c r="X71" s="2142"/>
      <c r="Y71" s="2142"/>
      <c r="Z71" s="2142"/>
      <c r="AA71" s="2143"/>
      <c r="AB71" s="1086"/>
      <c r="AC71" s="1906" t="s">
        <v>1937</v>
      </c>
      <c r="AD71" s="1907"/>
      <c r="AE71" s="1907"/>
      <c r="AF71" s="2107"/>
      <c r="AG71" s="2107"/>
      <c r="AH71" s="2107"/>
      <c r="AI71" s="2107"/>
      <c r="AJ71" s="2107"/>
      <c r="AK71" s="2107"/>
      <c r="AL71" s="2107"/>
      <c r="AM71" s="2107"/>
      <c r="AN71" s="2107"/>
      <c r="AO71" s="2107"/>
      <c r="AP71" s="2107"/>
      <c r="AQ71" s="2107"/>
      <c r="AR71" s="2107"/>
      <c r="AS71" s="2107"/>
      <c r="AT71" s="2107"/>
      <c r="AU71" s="2108"/>
      <c r="AV71" s="1086"/>
      <c r="AW71" s="1086"/>
      <c r="AX71" s="1086"/>
      <c r="AY71" s="1086"/>
      <c r="AZ71" s="1086"/>
      <c r="BA71" s="1086"/>
      <c r="BB71" s="1086"/>
      <c r="BC71" s="1086"/>
      <c r="BD71" s="1086"/>
      <c r="BE71" s="1092"/>
    </row>
    <row r="72" spans="1:57" ht="15.75" customHeight="1">
      <c r="A72" s="1086"/>
      <c r="B72" s="2141"/>
      <c r="C72" s="1970"/>
      <c r="D72" s="1970"/>
      <c r="E72" s="1970"/>
      <c r="F72" s="1970"/>
      <c r="G72" s="1970"/>
      <c r="H72" s="1970"/>
      <c r="I72" s="1970"/>
      <c r="J72" s="1970"/>
      <c r="K72" s="1970"/>
      <c r="L72" s="1970"/>
      <c r="M72" s="1970"/>
      <c r="N72" s="1970"/>
      <c r="O72" s="2142"/>
      <c r="P72" s="2142"/>
      <c r="Q72" s="2142"/>
      <c r="R72" s="2142"/>
      <c r="S72" s="2142"/>
      <c r="T72" s="2142"/>
      <c r="U72" s="2142"/>
      <c r="V72" s="2142"/>
      <c r="W72" s="2142"/>
      <c r="X72" s="2142"/>
      <c r="Y72" s="2142"/>
      <c r="Z72" s="2142"/>
      <c r="AA72" s="2143"/>
      <c r="AB72" s="1086"/>
      <c r="AC72" s="2144" t="s">
        <v>1938</v>
      </c>
      <c r="AD72" s="2129"/>
      <c r="AE72" s="2129"/>
      <c r="AF72" s="2129"/>
      <c r="AG72" s="2129"/>
      <c r="AH72" s="2129"/>
      <c r="AI72" s="2129"/>
      <c r="AJ72" s="2129"/>
      <c r="AK72" s="2129"/>
      <c r="AL72" s="2129"/>
      <c r="AM72" s="2129"/>
      <c r="AN72" s="2129"/>
      <c r="AO72" s="2129"/>
      <c r="AP72" s="2129"/>
      <c r="AQ72" s="2129"/>
      <c r="AR72" s="2129"/>
      <c r="AS72" s="2129"/>
      <c r="AT72" s="2129"/>
      <c r="AU72" s="2129"/>
      <c r="AV72" s="2129"/>
      <c r="AW72" s="2129"/>
      <c r="AX72" s="2129"/>
      <c r="AY72" s="2129"/>
      <c r="AZ72" s="2129"/>
      <c r="BA72" s="2129"/>
      <c r="BB72" s="2129"/>
      <c r="BC72" s="2130"/>
      <c r="BD72" s="1086"/>
      <c r="BE72" s="1092"/>
    </row>
    <row r="73" spans="1:57" ht="15.75" customHeight="1">
      <c r="A73" s="1086"/>
      <c r="B73" s="2141"/>
      <c r="C73" s="1970"/>
      <c r="D73" s="1970"/>
      <c r="E73" s="1970"/>
      <c r="F73" s="1970"/>
      <c r="G73" s="1970"/>
      <c r="H73" s="1970"/>
      <c r="I73" s="1970"/>
      <c r="J73" s="1970"/>
      <c r="K73" s="1970"/>
      <c r="L73" s="1970"/>
      <c r="M73" s="1970"/>
      <c r="N73" s="1970"/>
      <c r="O73" s="2142"/>
      <c r="P73" s="2142"/>
      <c r="Q73" s="2142"/>
      <c r="R73" s="2142"/>
      <c r="S73" s="2142"/>
      <c r="T73" s="2142"/>
      <c r="U73" s="2142"/>
      <c r="V73" s="2142"/>
      <c r="W73" s="2142"/>
      <c r="X73" s="2142"/>
      <c r="Y73" s="2142"/>
      <c r="Z73" s="2142"/>
      <c r="AA73" s="2143"/>
      <c r="AB73" s="1086"/>
      <c r="AC73" s="2087" t="s">
        <v>2323</v>
      </c>
      <c r="AD73" s="2088"/>
      <c r="AE73" s="2088"/>
      <c r="AF73" s="2088"/>
      <c r="AG73" s="2088"/>
      <c r="AH73" s="2088"/>
      <c r="AI73" s="2088"/>
      <c r="AJ73" s="2088"/>
      <c r="AK73" s="2088"/>
      <c r="AL73" s="2088"/>
      <c r="AM73" s="2088"/>
      <c r="AN73" s="2088"/>
      <c r="AO73" s="2088"/>
      <c r="AP73" s="2088"/>
      <c r="AQ73" s="2088"/>
      <c r="AR73" s="2088"/>
      <c r="AS73" s="2088"/>
      <c r="AT73" s="2088"/>
      <c r="AU73" s="2088"/>
      <c r="AV73" s="2088"/>
      <c r="AW73" s="2088"/>
      <c r="AX73" s="2088"/>
      <c r="AY73" s="2088"/>
      <c r="AZ73" s="2088"/>
      <c r="BA73" s="2088"/>
      <c r="BB73" s="2088"/>
      <c r="BC73" s="2089"/>
      <c r="BD73" s="1086"/>
      <c r="BE73" s="1092"/>
    </row>
    <row r="74" spans="1:57" ht="15.75" customHeight="1" thickBot="1">
      <c r="A74" s="1086"/>
      <c r="B74" s="2141"/>
      <c r="C74" s="1970"/>
      <c r="D74" s="1970"/>
      <c r="E74" s="1970"/>
      <c r="F74" s="1970"/>
      <c r="G74" s="1970"/>
      <c r="H74" s="1970"/>
      <c r="I74" s="1970"/>
      <c r="J74" s="1970"/>
      <c r="K74" s="1970"/>
      <c r="L74" s="1970"/>
      <c r="M74" s="1970"/>
      <c r="N74" s="1970"/>
      <c r="O74" s="2145"/>
      <c r="P74" s="2145"/>
      <c r="Q74" s="2145"/>
      <c r="R74" s="2145"/>
      <c r="S74" s="2145"/>
      <c r="T74" s="2145"/>
      <c r="U74" s="2145"/>
      <c r="V74" s="2145"/>
      <c r="W74" s="2145"/>
      <c r="X74" s="2145"/>
      <c r="Y74" s="2145"/>
      <c r="Z74" s="2145"/>
      <c r="AA74" s="2146"/>
      <c r="AB74" s="1086"/>
      <c r="AC74" s="2087"/>
      <c r="AD74" s="2088"/>
      <c r="AE74" s="2088"/>
      <c r="AF74" s="2088"/>
      <c r="AG74" s="2088"/>
      <c r="AH74" s="2088"/>
      <c r="AI74" s="2088"/>
      <c r="AJ74" s="2088"/>
      <c r="AK74" s="2088"/>
      <c r="AL74" s="2088"/>
      <c r="AM74" s="2088"/>
      <c r="AN74" s="2088"/>
      <c r="AO74" s="2088"/>
      <c r="AP74" s="2088"/>
      <c r="AQ74" s="2088"/>
      <c r="AR74" s="2088"/>
      <c r="AS74" s="2088"/>
      <c r="AT74" s="2088"/>
      <c r="AU74" s="2088"/>
      <c r="AV74" s="2088"/>
      <c r="AW74" s="2088"/>
      <c r="AX74" s="2088"/>
      <c r="AY74" s="2088"/>
      <c r="AZ74" s="2088"/>
      <c r="BA74" s="2088"/>
      <c r="BB74" s="2088"/>
      <c r="BC74" s="2089"/>
      <c r="BD74" s="1086"/>
      <c r="BE74" s="1092"/>
    </row>
    <row r="75" spans="1:57" ht="15.75" customHeight="1" thickTop="1" thickBot="1">
      <c r="A75" s="1086"/>
      <c r="B75" s="2147" t="s">
        <v>129</v>
      </c>
      <c r="C75" s="2148"/>
      <c r="D75" s="2148"/>
      <c r="E75" s="2148"/>
      <c r="F75" s="2148"/>
      <c r="G75" s="2148"/>
      <c r="H75" s="2148"/>
      <c r="I75" s="2148"/>
      <c r="J75" s="2148"/>
      <c r="K75" s="2148"/>
      <c r="L75" s="2148"/>
      <c r="M75" s="2148"/>
      <c r="N75" s="2148"/>
      <c r="O75" s="2149">
        <f>SUM(O70:AA74)</f>
        <v>1</v>
      </c>
      <c r="P75" s="2150"/>
      <c r="Q75" s="2150"/>
      <c r="R75" s="2150"/>
      <c r="S75" s="2150"/>
      <c r="T75" s="2150"/>
      <c r="U75" s="2150"/>
      <c r="V75" s="2150"/>
      <c r="W75" s="2150"/>
      <c r="X75" s="2150"/>
      <c r="Y75" s="2150"/>
      <c r="Z75" s="2150"/>
      <c r="AA75" s="2151"/>
      <c r="AB75" s="1086"/>
      <c r="AC75" s="2087"/>
      <c r="AD75" s="2088"/>
      <c r="AE75" s="2088"/>
      <c r="AF75" s="2088"/>
      <c r="AG75" s="2088"/>
      <c r="AH75" s="2088"/>
      <c r="AI75" s="2088"/>
      <c r="AJ75" s="2088"/>
      <c r="AK75" s="2088"/>
      <c r="AL75" s="2088"/>
      <c r="AM75" s="2088"/>
      <c r="AN75" s="2088"/>
      <c r="AO75" s="2088"/>
      <c r="AP75" s="2088"/>
      <c r="AQ75" s="2088"/>
      <c r="AR75" s="2088"/>
      <c r="AS75" s="2088"/>
      <c r="AT75" s="2088"/>
      <c r="AU75" s="2088"/>
      <c r="AV75" s="2088"/>
      <c r="AW75" s="2088"/>
      <c r="AX75" s="2088"/>
      <c r="AY75" s="2088"/>
      <c r="AZ75" s="2088"/>
      <c r="BA75" s="2088"/>
      <c r="BB75" s="2088"/>
      <c r="BC75" s="2089"/>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87"/>
      <c r="AD76" s="2088"/>
      <c r="AE76" s="2088"/>
      <c r="AF76" s="2088"/>
      <c r="AG76" s="2088"/>
      <c r="AH76" s="2088"/>
      <c r="AI76" s="2088"/>
      <c r="AJ76" s="2088"/>
      <c r="AK76" s="2088"/>
      <c r="AL76" s="2088"/>
      <c r="AM76" s="2088"/>
      <c r="AN76" s="2088"/>
      <c r="AO76" s="2088"/>
      <c r="AP76" s="2088"/>
      <c r="AQ76" s="2088"/>
      <c r="AR76" s="2088"/>
      <c r="AS76" s="2088"/>
      <c r="AT76" s="2088"/>
      <c r="AU76" s="2088"/>
      <c r="AV76" s="2088"/>
      <c r="AW76" s="2088"/>
      <c r="AX76" s="2088"/>
      <c r="AY76" s="2088"/>
      <c r="AZ76" s="2088"/>
      <c r="BA76" s="2088"/>
      <c r="BB76" s="2088"/>
      <c r="BC76" s="2089"/>
      <c r="BD76" s="1086"/>
      <c r="BE76" s="1092"/>
    </row>
    <row r="77" spans="1:57" ht="15.75" customHeight="1" thickBot="1">
      <c r="A77" s="1086"/>
      <c r="B77" s="1097" t="s">
        <v>1939</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90"/>
      <c r="AD77" s="2091"/>
      <c r="AE77" s="2091"/>
      <c r="AF77" s="2091"/>
      <c r="AG77" s="2091"/>
      <c r="AH77" s="2091"/>
      <c r="AI77" s="2091"/>
      <c r="AJ77" s="2091"/>
      <c r="AK77" s="2091"/>
      <c r="AL77" s="2091"/>
      <c r="AM77" s="2091"/>
      <c r="AN77" s="2091"/>
      <c r="AO77" s="2091"/>
      <c r="AP77" s="2091"/>
      <c r="AQ77" s="2091"/>
      <c r="AR77" s="2091"/>
      <c r="AS77" s="2091"/>
      <c r="AT77" s="2091"/>
      <c r="AU77" s="2091"/>
      <c r="AV77" s="2091"/>
      <c r="AW77" s="2091"/>
      <c r="AX77" s="2091"/>
      <c r="AY77" s="2091"/>
      <c r="AZ77" s="2091"/>
      <c r="BA77" s="2091"/>
      <c r="BB77" s="2091"/>
      <c r="BC77" s="2092"/>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37" t="s">
        <v>2303</v>
      </c>
      <c r="C79" s="2138"/>
      <c r="D79" s="2138"/>
      <c r="E79" s="2138"/>
      <c r="F79" s="2138"/>
      <c r="G79" s="2138"/>
      <c r="H79" s="2138"/>
      <c r="I79" s="2138"/>
      <c r="J79" s="2138"/>
      <c r="K79" s="2138"/>
      <c r="L79" s="2138"/>
      <c r="M79" s="2138"/>
      <c r="N79" s="2138"/>
      <c r="O79" s="2138"/>
      <c r="P79" s="2138"/>
      <c r="Q79" s="2138"/>
      <c r="R79" s="2138"/>
      <c r="S79" s="2138"/>
      <c r="T79" s="2138"/>
      <c r="U79" s="2138"/>
      <c r="V79" s="2138"/>
      <c r="W79" s="2138"/>
      <c r="X79" s="2138"/>
      <c r="Y79" s="2138"/>
      <c r="Z79" s="2138"/>
      <c r="AA79" s="2138"/>
      <c r="AB79" s="2138"/>
      <c r="AC79" s="2138"/>
      <c r="AD79" s="2138"/>
      <c r="AE79" s="2138"/>
      <c r="AF79" s="2138"/>
      <c r="AG79" s="2138"/>
      <c r="AH79" s="2139"/>
      <c r="AI79" s="1086"/>
      <c r="AJ79" s="2113" t="s">
        <v>2324</v>
      </c>
      <c r="AK79" s="2114"/>
      <c r="AL79" s="2114"/>
      <c r="AM79" s="2114"/>
      <c r="AN79" s="2114"/>
      <c r="AO79" s="2114"/>
      <c r="AP79" s="2114"/>
      <c r="AQ79" s="2114"/>
      <c r="AR79" s="2114"/>
      <c r="AS79" s="2114"/>
      <c r="AT79" s="2114"/>
      <c r="AU79" s="2114"/>
      <c r="AV79" s="2114"/>
      <c r="AW79" s="2114"/>
      <c r="AX79" s="2114"/>
      <c r="AY79" s="2056" t="s">
        <v>1891</v>
      </c>
      <c r="AZ79" s="2056"/>
      <c r="BA79" s="2056"/>
      <c r="BB79" s="2057"/>
      <c r="BC79" s="1086"/>
      <c r="BD79" s="1086"/>
      <c r="BE79" s="1092"/>
    </row>
    <row r="80" spans="1:57" ht="15.75" customHeight="1">
      <c r="A80" s="1086"/>
      <c r="B80" s="1986"/>
      <c r="C80" s="1987"/>
      <c r="D80" s="1987"/>
      <c r="E80" s="1987"/>
      <c r="F80" s="1987"/>
      <c r="G80" s="1987"/>
      <c r="H80" s="1988"/>
      <c r="I80" s="2123" t="s">
        <v>1940</v>
      </c>
      <c r="J80" s="2124"/>
      <c r="K80" s="2124"/>
      <c r="L80" s="2124"/>
      <c r="M80" s="2124"/>
      <c r="N80" s="2124"/>
      <c r="O80" s="2124" t="s">
        <v>1941</v>
      </c>
      <c r="P80" s="2124"/>
      <c r="Q80" s="2124"/>
      <c r="R80" s="2124"/>
      <c r="S80" s="2124"/>
      <c r="T80" s="2124"/>
      <c r="U80" s="2124"/>
      <c r="V80" s="2127" t="s">
        <v>2325</v>
      </c>
      <c r="W80" s="2127"/>
      <c r="X80" s="2127"/>
      <c r="Y80" s="2127"/>
      <c r="Z80" s="2127"/>
      <c r="AA80" s="2127"/>
      <c r="AB80" s="2129" t="s">
        <v>1942</v>
      </c>
      <c r="AC80" s="2129"/>
      <c r="AD80" s="2129"/>
      <c r="AE80" s="2129"/>
      <c r="AF80" s="2129"/>
      <c r="AG80" s="2129"/>
      <c r="AH80" s="2130"/>
      <c r="AI80" s="1086"/>
      <c r="AJ80" s="2115"/>
      <c r="AK80" s="2116"/>
      <c r="AL80" s="2116"/>
      <c r="AM80" s="2116"/>
      <c r="AN80" s="2116"/>
      <c r="AO80" s="2116"/>
      <c r="AP80" s="2116"/>
      <c r="AQ80" s="2116"/>
      <c r="AR80" s="2116"/>
      <c r="AS80" s="2116"/>
      <c r="AT80" s="2116"/>
      <c r="AU80" s="2116"/>
      <c r="AV80" s="2116"/>
      <c r="AW80" s="2116"/>
      <c r="AX80" s="2116"/>
      <c r="AY80" s="2119"/>
      <c r="AZ80" s="2119"/>
      <c r="BA80" s="2119"/>
      <c r="BB80" s="2120"/>
      <c r="BC80" s="1086"/>
      <c r="BD80" s="1086"/>
      <c r="BE80" s="1092"/>
    </row>
    <row r="81" spans="1:57" ht="15.75" customHeight="1" thickBot="1">
      <c r="A81" s="1086"/>
      <c r="B81" s="2038"/>
      <c r="C81" s="2039"/>
      <c r="D81" s="2039"/>
      <c r="E81" s="2039"/>
      <c r="F81" s="2039"/>
      <c r="G81" s="2039"/>
      <c r="H81" s="2140"/>
      <c r="I81" s="2125"/>
      <c r="J81" s="2126"/>
      <c r="K81" s="2126"/>
      <c r="L81" s="2126"/>
      <c r="M81" s="2126"/>
      <c r="N81" s="2126"/>
      <c r="O81" s="2126"/>
      <c r="P81" s="2126"/>
      <c r="Q81" s="2126"/>
      <c r="R81" s="2126"/>
      <c r="S81" s="2126"/>
      <c r="T81" s="2126"/>
      <c r="U81" s="2126"/>
      <c r="V81" s="2128"/>
      <c r="W81" s="2128"/>
      <c r="X81" s="2128"/>
      <c r="Y81" s="2128"/>
      <c r="Z81" s="2128"/>
      <c r="AA81" s="2128"/>
      <c r="AB81" s="2131"/>
      <c r="AC81" s="2131"/>
      <c r="AD81" s="2131"/>
      <c r="AE81" s="2131"/>
      <c r="AF81" s="2131"/>
      <c r="AG81" s="2131"/>
      <c r="AH81" s="2132"/>
      <c r="AI81" s="1086"/>
      <c r="AJ81" s="2115"/>
      <c r="AK81" s="2116"/>
      <c r="AL81" s="2116"/>
      <c r="AM81" s="2116"/>
      <c r="AN81" s="2116"/>
      <c r="AO81" s="2116"/>
      <c r="AP81" s="2116"/>
      <c r="AQ81" s="2116"/>
      <c r="AR81" s="2116"/>
      <c r="AS81" s="2116"/>
      <c r="AT81" s="2116"/>
      <c r="AU81" s="2116"/>
      <c r="AV81" s="2116"/>
      <c r="AW81" s="2116"/>
      <c r="AX81" s="2116"/>
      <c r="AY81" s="2119"/>
      <c r="AZ81" s="2119"/>
      <c r="BA81" s="2119"/>
      <c r="BB81" s="2120"/>
      <c r="BC81" s="1086"/>
      <c r="BD81" s="1086"/>
      <c r="BE81" s="1092"/>
    </row>
    <row r="82" spans="1:57" ht="15.75" customHeight="1" thickBot="1">
      <c r="A82" s="1086"/>
      <c r="B82" s="1980" t="s">
        <v>2304</v>
      </c>
      <c r="C82" s="1981"/>
      <c r="D82" s="1981"/>
      <c r="E82" s="1981"/>
      <c r="F82" s="1981"/>
      <c r="G82" s="1981"/>
      <c r="H82" s="1982"/>
      <c r="I82" s="2112"/>
      <c r="J82" s="2094"/>
      <c r="K82" s="2094"/>
      <c r="L82" s="2094"/>
      <c r="M82" s="2094"/>
      <c r="N82" s="2094"/>
      <c r="O82" s="2094"/>
      <c r="P82" s="2094"/>
      <c r="Q82" s="2094"/>
      <c r="R82" s="2094"/>
      <c r="S82" s="2094"/>
      <c r="T82" s="2094"/>
      <c r="U82" s="2094"/>
      <c r="V82" s="2094"/>
      <c r="W82" s="2094"/>
      <c r="X82" s="2094"/>
      <c r="Y82" s="2094"/>
      <c r="Z82" s="2094"/>
      <c r="AA82" s="2109"/>
      <c r="AB82" s="2135"/>
      <c r="AC82" s="2135"/>
      <c r="AD82" s="2135"/>
      <c r="AE82" s="2135"/>
      <c r="AF82" s="2135"/>
      <c r="AG82" s="2135"/>
      <c r="AH82" s="2136"/>
      <c r="AI82" s="1086"/>
      <c r="AJ82" s="2117"/>
      <c r="AK82" s="2118"/>
      <c r="AL82" s="2118"/>
      <c r="AM82" s="2118"/>
      <c r="AN82" s="2118"/>
      <c r="AO82" s="2118"/>
      <c r="AP82" s="2118"/>
      <c r="AQ82" s="2118"/>
      <c r="AR82" s="2118"/>
      <c r="AS82" s="2118"/>
      <c r="AT82" s="2118"/>
      <c r="AU82" s="2118"/>
      <c r="AV82" s="2118"/>
      <c r="AW82" s="2118"/>
      <c r="AX82" s="2118"/>
      <c r="AY82" s="2121"/>
      <c r="AZ82" s="2121"/>
      <c r="BA82" s="2121"/>
      <c r="BB82" s="2122"/>
      <c r="BC82" s="1086"/>
      <c r="BD82" s="1086"/>
      <c r="BE82" s="1092"/>
    </row>
    <row r="83" spans="1:57" ht="15.75" customHeight="1" thickBot="1">
      <c r="A83" s="1086"/>
      <c r="B83" s="1980" t="s">
        <v>2305</v>
      </c>
      <c r="C83" s="1981"/>
      <c r="D83" s="1981"/>
      <c r="E83" s="1981"/>
      <c r="F83" s="1981"/>
      <c r="G83" s="1981"/>
      <c r="H83" s="1982"/>
      <c r="I83" s="2112"/>
      <c r="J83" s="2094"/>
      <c r="K83" s="2094"/>
      <c r="L83" s="2094"/>
      <c r="M83" s="2094"/>
      <c r="N83" s="2094"/>
      <c r="O83" s="2094"/>
      <c r="P83" s="2094"/>
      <c r="Q83" s="2094"/>
      <c r="R83" s="2094"/>
      <c r="S83" s="2094"/>
      <c r="T83" s="2094"/>
      <c r="U83" s="2094"/>
      <c r="V83" s="2094"/>
      <c r="W83" s="2094"/>
      <c r="X83" s="2094"/>
      <c r="Y83" s="2094"/>
      <c r="Z83" s="2094"/>
      <c r="AA83" s="2109"/>
      <c r="AB83" s="2135"/>
      <c r="AC83" s="2135"/>
      <c r="AD83" s="2135"/>
      <c r="AE83" s="2135"/>
      <c r="AF83" s="2135"/>
      <c r="AG83" s="2135"/>
      <c r="AH83" s="2136"/>
      <c r="AI83" s="1086"/>
      <c r="AJ83" s="2096" t="s">
        <v>2326</v>
      </c>
      <c r="AK83" s="2097"/>
      <c r="AL83" s="2097"/>
      <c r="AM83" s="2097"/>
      <c r="AN83" s="2097"/>
      <c r="AO83" s="2097"/>
      <c r="AP83" s="2097"/>
      <c r="AQ83" s="2097"/>
      <c r="AR83" s="2097"/>
      <c r="AS83" s="2097"/>
      <c r="AT83" s="2097"/>
      <c r="AU83" s="2097"/>
      <c r="AV83" s="2097"/>
      <c r="AW83" s="2097"/>
      <c r="AX83" s="2097"/>
      <c r="AY83" s="2097"/>
      <c r="AZ83" s="2097"/>
      <c r="BA83" s="2097"/>
      <c r="BB83" s="2098"/>
      <c r="BC83" s="1086"/>
      <c r="BD83" s="1086"/>
      <c r="BE83" s="1092"/>
    </row>
    <row r="84" spans="1:57" ht="15.75" customHeight="1" thickBot="1">
      <c r="A84" s="1086"/>
      <c r="B84" s="2102" t="s">
        <v>1943</v>
      </c>
      <c r="C84" s="2103"/>
      <c r="D84" s="2103"/>
      <c r="E84" s="2103"/>
      <c r="F84" s="2103"/>
      <c r="G84" s="2103"/>
      <c r="H84" s="2133"/>
      <c r="I84" s="2105"/>
      <c r="J84" s="2075"/>
      <c r="K84" s="2075"/>
      <c r="L84" s="2075"/>
      <c r="M84" s="2075"/>
      <c r="N84" s="2075"/>
      <c r="O84" s="2075"/>
      <c r="P84" s="2075"/>
      <c r="Q84" s="2075"/>
      <c r="R84" s="2075"/>
      <c r="S84" s="2075"/>
      <c r="T84" s="2075"/>
      <c r="U84" s="2075"/>
      <c r="V84" s="2075"/>
      <c r="W84" s="2075"/>
      <c r="X84" s="2075"/>
      <c r="Y84" s="2075"/>
      <c r="Z84" s="2075"/>
      <c r="AA84" s="2106"/>
      <c r="AB84" s="2075"/>
      <c r="AC84" s="2075"/>
      <c r="AD84" s="2075"/>
      <c r="AE84" s="2075"/>
      <c r="AF84" s="2075"/>
      <c r="AG84" s="2075"/>
      <c r="AH84" s="2134"/>
      <c r="AI84" s="1086"/>
      <c r="AJ84" s="2099"/>
      <c r="AK84" s="2100"/>
      <c r="AL84" s="2100"/>
      <c r="AM84" s="2100"/>
      <c r="AN84" s="2100"/>
      <c r="AO84" s="2100"/>
      <c r="AP84" s="2100"/>
      <c r="AQ84" s="2100"/>
      <c r="AR84" s="2100"/>
      <c r="AS84" s="2100"/>
      <c r="AT84" s="2100"/>
      <c r="AU84" s="2100"/>
      <c r="AV84" s="2100"/>
      <c r="AW84" s="2100"/>
      <c r="AX84" s="2100"/>
      <c r="AY84" s="2100"/>
      <c r="AZ84" s="2100"/>
      <c r="BA84" s="2100"/>
      <c r="BB84" s="2101"/>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1944</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1986" t="s">
        <v>1945</v>
      </c>
      <c r="C88" s="1987"/>
      <c r="D88" s="1987"/>
      <c r="E88" s="1987"/>
      <c r="F88" s="1987"/>
      <c r="G88" s="1987"/>
      <c r="H88" s="1987"/>
      <c r="I88" s="1987"/>
      <c r="J88" s="1987"/>
      <c r="K88" s="1987"/>
      <c r="L88" s="1987"/>
      <c r="M88" s="1987"/>
      <c r="N88" s="1987"/>
      <c r="O88" s="1987"/>
      <c r="P88" s="1987"/>
      <c r="Q88" s="1987"/>
      <c r="R88" s="1987"/>
      <c r="S88" s="1987"/>
      <c r="T88" s="1987"/>
      <c r="U88" s="1987"/>
      <c r="V88" s="1987"/>
      <c r="W88" s="1987"/>
      <c r="X88" s="1987"/>
      <c r="Y88" s="1987"/>
      <c r="Z88" s="1987"/>
      <c r="AA88" s="1987"/>
      <c r="AB88" s="1987"/>
      <c r="AC88" s="1987"/>
      <c r="AD88" s="1987"/>
      <c r="AE88" s="1987"/>
      <c r="AF88" s="1987"/>
      <c r="AG88" s="1987"/>
      <c r="AH88" s="1988"/>
      <c r="AI88" s="1086"/>
      <c r="AJ88" s="2113" t="s">
        <v>2327</v>
      </c>
      <c r="AK88" s="2114"/>
      <c r="AL88" s="2114"/>
      <c r="AM88" s="2114"/>
      <c r="AN88" s="2114"/>
      <c r="AO88" s="2114"/>
      <c r="AP88" s="2114"/>
      <c r="AQ88" s="2114"/>
      <c r="AR88" s="2114"/>
      <c r="AS88" s="2114"/>
      <c r="AT88" s="2114"/>
      <c r="AU88" s="2114"/>
      <c r="AV88" s="2114"/>
      <c r="AW88" s="2114"/>
      <c r="AX88" s="2114"/>
      <c r="AY88" s="2056" t="s">
        <v>1891</v>
      </c>
      <c r="AZ88" s="2056"/>
      <c r="BA88" s="2056"/>
      <c r="BB88" s="2057"/>
      <c r="BC88" s="1086"/>
      <c r="BD88" s="1086"/>
      <c r="BE88" s="1092"/>
    </row>
    <row r="89" spans="1:57" ht="16.5" customHeight="1">
      <c r="A89" s="1086"/>
      <c r="B89" s="1986"/>
      <c r="C89" s="1987"/>
      <c r="D89" s="1987"/>
      <c r="E89" s="1987"/>
      <c r="F89" s="1987"/>
      <c r="G89" s="1987"/>
      <c r="H89" s="1987"/>
      <c r="I89" s="2123" t="s">
        <v>1940</v>
      </c>
      <c r="J89" s="2124"/>
      <c r="K89" s="2124"/>
      <c r="L89" s="2124"/>
      <c r="M89" s="2124"/>
      <c r="N89" s="2124"/>
      <c r="O89" s="2124" t="s">
        <v>1941</v>
      </c>
      <c r="P89" s="2124"/>
      <c r="Q89" s="2124"/>
      <c r="R89" s="2124"/>
      <c r="S89" s="2124"/>
      <c r="T89" s="2124"/>
      <c r="U89" s="2124"/>
      <c r="V89" s="2127" t="s">
        <v>2325</v>
      </c>
      <c r="W89" s="2127"/>
      <c r="X89" s="2127"/>
      <c r="Y89" s="2127"/>
      <c r="Z89" s="2127"/>
      <c r="AA89" s="2127"/>
      <c r="AB89" s="2129" t="s">
        <v>1942</v>
      </c>
      <c r="AC89" s="2129"/>
      <c r="AD89" s="2129"/>
      <c r="AE89" s="2129"/>
      <c r="AF89" s="2129"/>
      <c r="AG89" s="2129"/>
      <c r="AH89" s="2130"/>
      <c r="AI89" s="1086"/>
      <c r="AJ89" s="2115"/>
      <c r="AK89" s="2116"/>
      <c r="AL89" s="2116"/>
      <c r="AM89" s="2116"/>
      <c r="AN89" s="2116"/>
      <c r="AO89" s="2116"/>
      <c r="AP89" s="2116"/>
      <c r="AQ89" s="2116"/>
      <c r="AR89" s="2116"/>
      <c r="AS89" s="2116"/>
      <c r="AT89" s="2116"/>
      <c r="AU89" s="2116"/>
      <c r="AV89" s="2116"/>
      <c r="AW89" s="2116"/>
      <c r="AX89" s="2116"/>
      <c r="AY89" s="2119"/>
      <c r="AZ89" s="2119"/>
      <c r="BA89" s="2119"/>
      <c r="BB89" s="2120"/>
      <c r="BC89" s="1086"/>
      <c r="BD89" s="1086"/>
      <c r="BE89" s="1092"/>
    </row>
    <row r="90" spans="1:57" ht="16.5" customHeight="1" thickBot="1">
      <c r="A90" s="1086"/>
      <c r="B90" s="2038"/>
      <c r="C90" s="2039"/>
      <c r="D90" s="2039"/>
      <c r="E90" s="2039"/>
      <c r="F90" s="2039"/>
      <c r="G90" s="2039"/>
      <c r="H90" s="2039"/>
      <c r="I90" s="2125"/>
      <c r="J90" s="2126"/>
      <c r="K90" s="2126"/>
      <c r="L90" s="2126"/>
      <c r="M90" s="2126"/>
      <c r="N90" s="2126"/>
      <c r="O90" s="2126"/>
      <c r="P90" s="2126"/>
      <c r="Q90" s="2126"/>
      <c r="R90" s="2126"/>
      <c r="S90" s="2126"/>
      <c r="T90" s="2126"/>
      <c r="U90" s="2126"/>
      <c r="V90" s="2128"/>
      <c r="W90" s="2128"/>
      <c r="X90" s="2128"/>
      <c r="Y90" s="2128"/>
      <c r="Z90" s="2128"/>
      <c r="AA90" s="2128"/>
      <c r="AB90" s="2131"/>
      <c r="AC90" s="2131"/>
      <c r="AD90" s="2131"/>
      <c r="AE90" s="2131"/>
      <c r="AF90" s="2131"/>
      <c r="AG90" s="2131"/>
      <c r="AH90" s="2132"/>
      <c r="AI90" s="1086"/>
      <c r="AJ90" s="2115"/>
      <c r="AK90" s="2116"/>
      <c r="AL90" s="2116"/>
      <c r="AM90" s="2116"/>
      <c r="AN90" s="2116"/>
      <c r="AO90" s="2116"/>
      <c r="AP90" s="2116"/>
      <c r="AQ90" s="2116"/>
      <c r="AR90" s="2116"/>
      <c r="AS90" s="2116"/>
      <c r="AT90" s="2116"/>
      <c r="AU90" s="2116"/>
      <c r="AV90" s="2116"/>
      <c r="AW90" s="2116"/>
      <c r="AX90" s="2116"/>
      <c r="AY90" s="2119"/>
      <c r="AZ90" s="2119"/>
      <c r="BA90" s="2119"/>
      <c r="BB90" s="2120"/>
      <c r="BC90" s="1086"/>
      <c r="BD90" s="1086"/>
      <c r="BE90" s="1092"/>
    </row>
    <row r="91" spans="1:57" ht="15.75" customHeight="1" thickBot="1">
      <c r="A91" s="1086"/>
      <c r="B91" s="1980" t="s">
        <v>2304</v>
      </c>
      <c r="C91" s="1981"/>
      <c r="D91" s="1981"/>
      <c r="E91" s="1981"/>
      <c r="F91" s="1981"/>
      <c r="G91" s="1981"/>
      <c r="H91" s="1981"/>
      <c r="I91" s="2112"/>
      <c r="J91" s="2094"/>
      <c r="K91" s="2094"/>
      <c r="L91" s="2094"/>
      <c r="M91" s="2094"/>
      <c r="N91" s="2094"/>
      <c r="O91" s="2094"/>
      <c r="P91" s="2094"/>
      <c r="Q91" s="2094"/>
      <c r="R91" s="2094"/>
      <c r="S91" s="2094"/>
      <c r="T91" s="2094"/>
      <c r="U91" s="2094"/>
      <c r="V91" s="2094"/>
      <c r="W91" s="2094"/>
      <c r="X91" s="2094"/>
      <c r="Y91" s="2094"/>
      <c r="Z91" s="2094"/>
      <c r="AA91" s="2109"/>
      <c r="AB91" s="2110"/>
      <c r="AC91" s="2110"/>
      <c r="AD91" s="2110"/>
      <c r="AE91" s="2110"/>
      <c r="AF91" s="2110"/>
      <c r="AG91" s="2110"/>
      <c r="AH91" s="2111"/>
      <c r="AI91" s="1086"/>
      <c r="AJ91" s="2117"/>
      <c r="AK91" s="2118"/>
      <c r="AL91" s="2118"/>
      <c r="AM91" s="2118"/>
      <c r="AN91" s="2118"/>
      <c r="AO91" s="2118"/>
      <c r="AP91" s="2118"/>
      <c r="AQ91" s="2118"/>
      <c r="AR91" s="2118"/>
      <c r="AS91" s="2118"/>
      <c r="AT91" s="2118"/>
      <c r="AU91" s="2118"/>
      <c r="AV91" s="2118"/>
      <c r="AW91" s="2118"/>
      <c r="AX91" s="2118"/>
      <c r="AY91" s="2121"/>
      <c r="AZ91" s="2121"/>
      <c r="BA91" s="2121"/>
      <c r="BB91" s="2122"/>
      <c r="BC91" s="1086"/>
      <c r="BD91" s="1086"/>
      <c r="BE91" s="1092"/>
    </row>
    <row r="92" spans="1:57" ht="15.75" customHeight="1" thickBot="1">
      <c r="A92" s="1086"/>
      <c r="B92" s="1980" t="s">
        <v>2305</v>
      </c>
      <c r="C92" s="1981"/>
      <c r="D92" s="1981"/>
      <c r="E92" s="1981"/>
      <c r="F92" s="1981"/>
      <c r="G92" s="1981"/>
      <c r="H92" s="1981"/>
      <c r="I92" s="2112"/>
      <c r="J92" s="2094"/>
      <c r="K92" s="2094"/>
      <c r="L92" s="2094"/>
      <c r="M92" s="2094"/>
      <c r="N92" s="2094"/>
      <c r="O92" s="2094"/>
      <c r="P92" s="2094"/>
      <c r="Q92" s="2094"/>
      <c r="R92" s="2094"/>
      <c r="S92" s="2094"/>
      <c r="T92" s="2094"/>
      <c r="U92" s="2094"/>
      <c r="V92" s="2094"/>
      <c r="W92" s="2094"/>
      <c r="X92" s="2094"/>
      <c r="Y92" s="2094"/>
      <c r="Z92" s="2094"/>
      <c r="AA92" s="2109"/>
      <c r="AB92" s="2110"/>
      <c r="AC92" s="2110"/>
      <c r="AD92" s="2110"/>
      <c r="AE92" s="2110"/>
      <c r="AF92" s="2110"/>
      <c r="AG92" s="2110"/>
      <c r="AH92" s="2111"/>
      <c r="AI92" s="1086"/>
      <c r="AJ92" s="2096" t="s">
        <v>2326</v>
      </c>
      <c r="AK92" s="2097"/>
      <c r="AL92" s="2097"/>
      <c r="AM92" s="2097"/>
      <c r="AN92" s="2097"/>
      <c r="AO92" s="2097"/>
      <c r="AP92" s="2097"/>
      <c r="AQ92" s="2097"/>
      <c r="AR92" s="2097"/>
      <c r="AS92" s="2097"/>
      <c r="AT92" s="2097"/>
      <c r="AU92" s="2097"/>
      <c r="AV92" s="2097"/>
      <c r="AW92" s="2097"/>
      <c r="AX92" s="2097"/>
      <c r="AY92" s="2097"/>
      <c r="AZ92" s="2097"/>
      <c r="BA92" s="2097"/>
      <c r="BB92" s="2098"/>
      <c r="BC92" s="1086"/>
      <c r="BD92" s="1086"/>
      <c r="BE92" s="1092"/>
    </row>
    <row r="93" spans="1:57" ht="15.75" customHeight="1" thickBot="1">
      <c r="A93" s="1086"/>
      <c r="B93" s="2102" t="s">
        <v>1943</v>
      </c>
      <c r="C93" s="2103"/>
      <c r="D93" s="2103"/>
      <c r="E93" s="2103"/>
      <c r="F93" s="2103"/>
      <c r="G93" s="2103"/>
      <c r="H93" s="2104"/>
      <c r="I93" s="2105"/>
      <c r="J93" s="2075"/>
      <c r="K93" s="2075"/>
      <c r="L93" s="2075"/>
      <c r="M93" s="2075"/>
      <c r="N93" s="2075"/>
      <c r="O93" s="2075"/>
      <c r="P93" s="2075"/>
      <c r="Q93" s="2075"/>
      <c r="R93" s="2075"/>
      <c r="S93" s="2075"/>
      <c r="T93" s="2075"/>
      <c r="U93" s="2075"/>
      <c r="V93" s="2075"/>
      <c r="W93" s="2075"/>
      <c r="X93" s="2075"/>
      <c r="Y93" s="2075"/>
      <c r="Z93" s="2075"/>
      <c r="AA93" s="2106"/>
      <c r="AB93" s="2107"/>
      <c r="AC93" s="2107"/>
      <c r="AD93" s="2107"/>
      <c r="AE93" s="2107"/>
      <c r="AF93" s="2107"/>
      <c r="AG93" s="2107"/>
      <c r="AH93" s="2108"/>
      <c r="AI93" s="1086"/>
      <c r="AJ93" s="2099"/>
      <c r="AK93" s="2100"/>
      <c r="AL93" s="2100"/>
      <c r="AM93" s="2100"/>
      <c r="AN93" s="2100"/>
      <c r="AO93" s="2100"/>
      <c r="AP93" s="2100"/>
      <c r="AQ93" s="2100"/>
      <c r="AR93" s="2100"/>
      <c r="AS93" s="2100"/>
      <c r="AT93" s="2100"/>
      <c r="AU93" s="2100"/>
      <c r="AV93" s="2100"/>
      <c r="AW93" s="2100"/>
      <c r="AX93" s="2100"/>
      <c r="AY93" s="2100"/>
      <c r="AZ93" s="2100"/>
      <c r="BA93" s="2100"/>
      <c r="BB93" s="2101"/>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078" t="s">
        <v>2306</v>
      </c>
      <c r="Y96" s="2079"/>
      <c r="Z96" s="2079"/>
      <c r="AA96" s="2079"/>
      <c r="AB96" s="2079"/>
      <c r="AC96" s="2079"/>
      <c r="AD96" s="2079"/>
      <c r="AE96" s="2079"/>
      <c r="AF96" s="2079"/>
      <c r="AG96" s="2079"/>
      <c r="AH96" s="2079"/>
      <c r="AI96" s="2079"/>
      <c r="AJ96" s="2079"/>
      <c r="AK96" s="2079"/>
      <c r="AL96" s="2079"/>
      <c r="AM96" s="2079"/>
      <c r="AN96" s="2079"/>
      <c r="AO96" s="2079"/>
      <c r="AP96" s="2079"/>
      <c r="AQ96" s="2079"/>
      <c r="AR96" s="2079"/>
      <c r="AS96" s="2079"/>
      <c r="AT96" s="2079"/>
      <c r="AU96" s="2079"/>
      <c r="AV96" s="2079"/>
      <c r="AW96" s="2079"/>
      <c r="AX96" s="2079"/>
      <c r="AY96" s="2079"/>
      <c r="AZ96" s="2079"/>
      <c r="BA96" s="2079"/>
      <c r="BB96" s="2079"/>
      <c r="BC96" s="2079"/>
      <c r="BD96" s="2080"/>
      <c r="BE96" s="1092"/>
    </row>
    <row r="97" spans="1:57" ht="15.75" customHeight="1" thickBot="1">
      <c r="A97" s="1086"/>
      <c r="B97" s="1980" t="s">
        <v>1782</v>
      </c>
      <c r="C97" s="1981"/>
      <c r="D97" s="1981"/>
      <c r="E97" s="1981"/>
      <c r="F97" s="1981"/>
      <c r="G97" s="1981"/>
      <c r="H97" s="1981"/>
      <c r="I97" s="1981"/>
      <c r="J97" s="1981"/>
      <c r="K97" s="1981"/>
      <c r="L97" s="1981"/>
      <c r="M97" s="1981"/>
      <c r="N97" s="1981"/>
      <c r="O97" s="1981"/>
      <c r="P97" s="1981"/>
      <c r="Q97" s="1981"/>
      <c r="R97" s="1981"/>
      <c r="S97" s="1981"/>
      <c r="T97" s="1981"/>
      <c r="U97" s="1982"/>
      <c r="V97" s="1086"/>
      <c r="W97" s="1086"/>
      <c r="X97" s="2081"/>
      <c r="Y97" s="2082"/>
      <c r="Z97" s="2082"/>
      <c r="AA97" s="2082"/>
      <c r="AB97" s="2082"/>
      <c r="AC97" s="2082"/>
      <c r="AD97" s="2082"/>
      <c r="AE97" s="2082"/>
      <c r="AF97" s="2082"/>
      <c r="AG97" s="2082"/>
      <c r="AH97" s="2082"/>
      <c r="AI97" s="2082"/>
      <c r="AJ97" s="2082"/>
      <c r="AK97" s="2082"/>
      <c r="AL97" s="2082"/>
      <c r="AM97" s="2082"/>
      <c r="AN97" s="2082"/>
      <c r="AO97" s="2082"/>
      <c r="AP97" s="2082"/>
      <c r="AQ97" s="2082"/>
      <c r="AR97" s="2082"/>
      <c r="AS97" s="2082"/>
      <c r="AT97" s="2082"/>
      <c r="AU97" s="2082"/>
      <c r="AV97" s="2082"/>
      <c r="AW97" s="2082"/>
      <c r="AX97" s="2082"/>
      <c r="AY97" s="2082"/>
      <c r="AZ97" s="2082"/>
      <c r="BA97" s="2082"/>
      <c r="BB97" s="2082"/>
      <c r="BC97" s="2082"/>
      <c r="BD97" s="2083"/>
      <c r="BE97" s="1092"/>
    </row>
    <row r="98" spans="1:57" ht="15.75" customHeight="1" thickBot="1">
      <c r="A98" s="1086"/>
      <c r="B98" s="1980"/>
      <c r="C98" s="1981"/>
      <c r="D98" s="1981"/>
      <c r="E98" s="1981"/>
      <c r="F98" s="1981"/>
      <c r="G98" s="1981"/>
      <c r="H98" s="1982"/>
      <c r="I98" s="1980" t="s">
        <v>2307</v>
      </c>
      <c r="J98" s="1981"/>
      <c r="K98" s="1981"/>
      <c r="L98" s="1981"/>
      <c r="M98" s="1981"/>
      <c r="N98" s="1982"/>
      <c r="O98" s="2084" t="s">
        <v>2308</v>
      </c>
      <c r="P98" s="2085"/>
      <c r="Q98" s="2085"/>
      <c r="R98" s="2085"/>
      <c r="S98" s="2085"/>
      <c r="T98" s="2085"/>
      <c r="U98" s="2086"/>
      <c r="V98" s="1086"/>
      <c r="W98" s="1086"/>
      <c r="X98" s="2087" t="s">
        <v>2323</v>
      </c>
      <c r="Y98" s="2088"/>
      <c r="Z98" s="2088"/>
      <c r="AA98" s="2088"/>
      <c r="AB98" s="2088"/>
      <c r="AC98" s="2088"/>
      <c r="AD98" s="2088"/>
      <c r="AE98" s="2088"/>
      <c r="AF98" s="2088"/>
      <c r="AG98" s="2088"/>
      <c r="AH98" s="2088"/>
      <c r="AI98" s="2088"/>
      <c r="AJ98" s="2088"/>
      <c r="AK98" s="2088"/>
      <c r="AL98" s="2088"/>
      <c r="AM98" s="2088"/>
      <c r="AN98" s="2088"/>
      <c r="AO98" s="2088"/>
      <c r="AP98" s="2088"/>
      <c r="AQ98" s="2088"/>
      <c r="AR98" s="2088"/>
      <c r="AS98" s="2088"/>
      <c r="AT98" s="2088"/>
      <c r="AU98" s="2088"/>
      <c r="AV98" s="2088"/>
      <c r="AW98" s="2088"/>
      <c r="AX98" s="2088"/>
      <c r="AY98" s="2088"/>
      <c r="AZ98" s="2088"/>
      <c r="BA98" s="2088"/>
      <c r="BB98" s="2088"/>
      <c r="BC98" s="2088"/>
      <c r="BD98" s="2089"/>
      <c r="BE98" s="1092"/>
    </row>
    <row r="99" spans="1:57" ht="15.75" customHeight="1" thickBot="1">
      <c r="A99" s="1086"/>
      <c r="B99" s="2018" t="s">
        <v>2309</v>
      </c>
      <c r="C99" s="2019"/>
      <c r="D99" s="2019"/>
      <c r="E99" s="2019"/>
      <c r="F99" s="2019"/>
      <c r="G99" s="2019"/>
      <c r="H99" s="2020"/>
      <c r="I99" s="2093"/>
      <c r="J99" s="2094"/>
      <c r="K99" s="2094"/>
      <c r="L99" s="2094"/>
      <c r="M99" s="2094"/>
      <c r="N99" s="2094"/>
      <c r="O99" s="2094"/>
      <c r="P99" s="2094"/>
      <c r="Q99" s="2094"/>
      <c r="R99" s="2094"/>
      <c r="S99" s="2094"/>
      <c r="T99" s="2094"/>
      <c r="U99" s="2095"/>
      <c r="V99" s="1086"/>
      <c r="W99" s="1086"/>
      <c r="X99" s="2087"/>
      <c r="Y99" s="2088"/>
      <c r="Z99" s="2088"/>
      <c r="AA99" s="2088"/>
      <c r="AB99" s="2088"/>
      <c r="AC99" s="2088"/>
      <c r="AD99" s="2088"/>
      <c r="AE99" s="2088"/>
      <c r="AF99" s="2088"/>
      <c r="AG99" s="2088"/>
      <c r="AH99" s="2088"/>
      <c r="AI99" s="2088"/>
      <c r="AJ99" s="2088"/>
      <c r="AK99" s="2088"/>
      <c r="AL99" s="2088"/>
      <c r="AM99" s="2088"/>
      <c r="AN99" s="2088"/>
      <c r="AO99" s="2088"/>
      <c r="AP99" s="2088"/>
      <c r="AQ99" s="2088"/>
      <c r="AR99" s="2088"/>
      <c r="AS99" s="2088"/>
      <c r="AT99" s="2088"/>
      <c r="AU99" s="2088"/>
      <c r="AV99" s="2088"/>
      <c r="AW99" s="2088"/>
      <c r="AX99" s="2088"/>
      <c r="AY99" s="2088"/>
      <c r="AZ99" s="2088"/>
      <c r="BA99" s="2088"/>
      <c r="BB99" s="2088"/>
      <c r="BC99" s="2088"/>
      <c r="BD99" s="2089"/>
      <c r="BE99" s="1092"/>
    </row>
    <row r="100" spans="1:57" ht="15.75" customHeight="1" thickBot="1">
      <c r="A100" s="1086"/>
      <c r="B100" s="2018" t="s">
        <v>2310</v>
      </c>
      <c r="C100" s="2019"/>
      <c r="D100" s="2019"/>
      <c r="E100" s="2019"/>
      <c r="F100" s="2019"/>
      <c r="G100" s="2019"/>
      <c r="H100" s="2020"/>
      <c r="I100" s="2074"/>
      <c r="J100" s="2075"/>
      <c r="K100" s="2075"/>
      <c r="L100" s="2075"/>
      <c r="M100" s="2075"/>
      <c r="N100" s="2075"/>
      <c r="O100" s="2076"/>
      <c r="P100" s="2076"/>
      <c r="Q100" s="2076"/>
      <c r="R100" s="2076"/>
      <c r="S100" s="2076"/>
      <c r="T100" s="2076"/>
      <c r="U100" s="2077"/>
      <c r="V100" s="1086"/>
      <c r="W100" s="1086"/>
      <c r="X100" s="2087"/>
      <c r="Y100" s="2088"/>
      <c r="Z100" s="2088"/>
      <c r="AA100" s="2088"/>
      <c r="AB100" s="2088"/>
      <c r="AC100" s="2088"/>
      <c r="AD100" s="2088"/>
      <c r="AE100" s="2088"/>
      <c r="AF100" s="2088"/>
      <c r="AG100" s="2088"/>
      <c r="AH100" s="2088"/>
      <c r="AI100" s="2088"/>
      <c r="AJ100" s="2088"/>
      <c r="AK100" s="2088"/>
      <c r="AL100" s="2088"/>
      <c r="AM100" s="2088"/>
      <c r="AN100" s="2088"/>
      <c r="AO100" s="2088"/>
      <c r="AP100" s="2088"/>
      <c r="AQ100" s="2088"/>
      <c r="AR100" s="2088"/>
      <c r="AS100" s="2088"/>
      <c r="AT100" s="2088"/>
      <c r="AU100" s="2088"/>
      <c r="AV100" s="2088"/>
      <c r="AW100" s="2088"/>
      <c r="AX100" s="2088"/>
      <c r="AY100" s="2088"/>
      <c r="AZ100" s="2088"/>
      <c r="BA100" s="2088"/>
      <c r="BB100" s="2088"/>
      <c r="BC100" s="2088"/>
      <c r="BD100" s="2089"/>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87"/>
      <c r="Y101" s="2088"/>
      <c r="Z101" s="2088"/>
      <c r="AA101" s="2088"/>
      <c r="AB101" s="2088"/>
      <c r="AC101" s="2088"/>
      <c r="AD101" s="2088"/>
      <c r="AE101" s="2088"/>
      <c r="AF101" s="2088"/>
      <c r="AG101" s="2088"/>
      <c r="AH101" s="2088"/>
      <c r="AI101" s="2088"/>
      <c r="AJ101" s="2088"/>
      <c r="AK101" s="2088"/>
      <c r="AL101" s="2088"/>
      <c r="AM101" s="2088"/>
      <c r="AN101" s="2088"/>
      <c r="AO101" s="2088"/>
      <c r="AP101" s="2088"/>
      <c r="AQ101" s="2088"/>
      <c r="AR101" s="2088"/>
      <c r="AS101" s="2088"/>
      <c r="AT101" s="2088"/>
      <c r="AU101" s="2088"/>
      <c r="AV101" s="2088"/>
      <c r="AW101" s="2088"/>
      <c r="AX101" s="2088"/>
      <c r="AY101" s="2088"/>
      <c r="AZ101" s="2088"/>
      <c r="BA101" s="2088"/>
      <c r="BB101" s="2088"/>
      <c r="BC101" s="2088"/>
      <c r="BD101" s="2089"/>
      <c r="BE101" s="1092"/>
    </row>
    <row r="102" spans="1:57" ht="15.75" customHeight="1">
      <c r="A102" s="1086"/>
      <c r="B102" s="1097" t="s">
        <v>1947</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87"/>
      <c r="Y102" s="2088"/>
      <c r="Z102" s="2088"/>
      <c r="AA102" s="2088"/>
      <c r="AB102" s="2088"/>
      <c r="AC102" s="2088"/>
      <c r="AD102" s="2088"/>
      <c r="AE102" s="2088"/>
      <c r="AF102" s="2088"/>
      <c r="AG102" s="2088"/>
      <c r="AH102" s="2088"/>
      <c r="AI102" s="2088"/>
      <c r="AJ102" s="2088"/>
      <c r="AK102" s="2088"/>
      <c r="AL102" s="2088"/>
      <c r="AM102" s="2088"/>
      <c r="AN102" s="2088"/>
      <c r="AO102" s="2088"/>
      <c r="AP102" s="2088"/>
      <c r="AQ102" s="2088"/>
      <c r="AR102" s="2088"/>
      <c r="AS102" s="2088"/>
      <c r="AT102" s="2088"/>
      <c r="AU102" s="2088"/>
      <c r="AV102" s="2088"/>
      <c r="AW102" s="2088"/>
      <c r="AX102" s="2088"/>
      <c r="AY102" s="2088"/>
      <c r="AZ102" s="2088"/>
      <c r="BA102" s="2088"/>
      <c r="BB102" s="2088"/>
      <c r="BC102" s="2088"/>
      <c r="BD102" s="2089"/>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87"/>
      <c r="Y103" s="2088"/>
      <c r="Z103" s="2088"/>
      <c r="AA103" s="2088"/>
      <c r="AB103" s="2088"/>
      <c r="AC103" s="2088"/>
      <c r="AD103" s="2088"/>
      <c r="AE103" s="2088"/>
      <c r="AF103" s="2088"/>
      <c r="AG103" s="2088"/>
      <c r="AH103" s="2088"/>
      <c r="AI103" s="2088"/>
      <c r="AJ103" s="2088"/>
      <c r="AK103" s="2088"/>
      <c r="AL103" s="2088"/>
      <c r="AM103" s="2088"/>
      <c r="AN103" s="2088"/>
      <c r="AO103" s="2088"/>
      <c r="AP103" s="2088"/>
      <c r="AQ103" s="2088"/>
      <c r="AR103" s="2088"/>
      <c r="AS103" s="2088"/>
      <c r="AT103" s="2088"/>
      <c r="AU103" s="2088"/>
      <c r="AV103" s="2088"/>
      <c r="AW103" s="2088"/>
      <c r="AX103" s="2088"/>
      <c r="AY103" s="2088"/>
      <c r="AZ103" s="2088"/>
      <c r="BA103" s="2088"/>
      <c r="BB103" s="2088"/>
      <c r="BC103" s="2088"/>
      <c r="BD103" s="2089"/>
      <c r="BE103" s="1092"/>
    </row>
    <row r="104" spans="1:57" ht="15.75" customHeight="1">
      <c r="A104" s="1086"/>
      <c r="B104" s="2024" t="s">
        <v>1948</v>
      </c>
      <c r="C104" s="2025"/>
      <c r="D104" s="2025"/>
      <c r="E104" s="2025"/>
      <c r="F104" s="2025"/>
      <c r="G104" s="2025"/>
      <c r="H104" s="2025"/>
      <c r="I104" s="2025"/>
      <c r="J104" s="2025"/>
      <c r="K104" s="2025"/>
      <c r="L104" s="2025"/>
      <c r="M104" s="2025"/>
      <c r="N104" s="2025"/>
      <c r="O104" s="2025"/>
      <c r="P104" s="2025"/>
      <c r="Q104" s="2025"/>
      <c r="R104" s="2025"/>
      <c r="S104" s="2025"/>
      <c r="T104" s="2025"/>
      <c r="U104" s="2073"/>
      <c r="V104" s="1086"/>
      <c r="W104" s="1086"/>
      <c r="X104" s="2087"/>
      <c r="Y104" s="2088"/>
      <c r="Z104" s="2088"/>
      <c r="AA104" s="2088"/>
      <c r="AB104" s="2088"/>
      <c r="AC104" s="2088"/>
      <c r="AD104" s="2088"/>
      <c r="AE104" s="2088"/>
      <c r="AF104" s="2088"/>
      <c r="AG104" s="2088"/>
      <c r="AH104" s="2088"/>
      <c r="AI104" s="2088"/>
      <c r="AJ104" s="2088"/>
      <c r="AK104" s="2088"/>
      <c r="AL104" s="2088"/>
      <c r="AM104" s="2088"/>
      <c r="AN104" s="2088"/>
      <c r="AO104" s="2088"/>
      <c r="AP104" s="2088"/>
      <c r="AQ104" s="2088"/>
      <c r="AR104" s="2088"/>
      <c r="AS104" s="2088"/>
      <c r="AT104" s="2088"/>
      <c r="AU104" s="2088"/>
      <c r="AV104" s="2088"/>
      <c r="AW104" s="2088"/>
      <c r="AX104" s="2088"/>
      <c r="AY104" s="2088"/>
      <c r="AZ104" s="2088"/>
      <c r="BA104" s="2088"/>
      <c r="BB104" s="2088"/>
      <c r="BC104" s="2088"/>
      <c r="BD104" s="2089"/>
      <c r="BE104" s="1092"/>
    </row>
    <row r="105" spans="1:57" ht="15.75" customHeight="1">
      <c r="A105" s="1086"/>
      <c r="B105" s="2035"/>
      <c r="C105" s="2036"/>
      <c r="D105" s="2036"/>
      <c r="E105" s="2036"/>
      <c r="F105" s="2036"/>
      <c r="G105" s="2036"/>
      <c r="H105" s="2037"/>
      <c r="I105" s="2041" t="s">
        <v>1941</v>
      </c>
      <c r="J105" s="2042"/>
      <c r="K105" s="2042"/>
      <c r="L105" s="2042"/>
      <c r="M105" s="2042"/>
      <c r="N105" s="2042"/>
      <c r="O105" s="2043"/>
      <c r="P105" s="2047" t="s">
        <v>2325</v>
      </c>
      <c r="Q105" s="2048"/>
      <c r="R105" s="2048"/>
      <c r="S105" s="2048"/>
      <c r="T105" s="2048"/>
      <c r="U105" s="2049"/>
      <c r="V105" s="1086"/>
      <c r="W105" s="1086"/>
      <c r="X105" s="2087"/>
      <c r="Y105" s="2088"/>
      <c r="Z105" s="2088"/>
      <c r="AA105" s="2088"/>
      <c r="AB105" s="2088"/>
      <c r="AC105" s="2088"/>
      <c r="AD105" s="2088"/>
      <c r="AE105" s="2088"/>
      <c r="AF105" s="2088"/>
      <c r="AG105" s="2088"/>
      <c r="AH105" s="2088"/>
      <c r="AI105" s="2088"/>
      <c r="AJ105" s="2088"/>
      <c r="AK105" s="2088"/>
      <c r="AL105" s="2088"/>
      <c r="AM105" s="2088"/>
      <c r="AN105" s="2088"/>
      <c r="AO105" s="2088"/>
      <c r="AP105" s="2088"/>
      <c r="AQ105" s="2088"/>
      <c r="AR105" s="2088"/>
      <c r="AS105" s="2088"/>
      <c r="AT105" s="2088"/>
      <c r="AU105" s="2088"/>
      <c r="AV105" s="2088"/>
      <c r="AW105" s="2088"/>
      <c r="AX105" s="2088"/>
      <c r="AY105" s="2088"/>
      <c r="AZ105" s="2088"/>
      <c r="BA105" s="2088"/>
      <c r="BB105" s="2088"/>
      <c r="BC105" s="2088"/>
      <c r="BD105" s="2089"/>
      <c r="BE105" s="1092"/>
    </row>
    <row r="106" spans="1:57" ht="15.75" customHeight="1" thickBot="1">
      <c r="A106" s="1086"/>
      <c r="B106" s="2038"/>
      <c r="C106" s="2039"/>
      <c r="D106" s="2039"/>
      <c r="E106" s="2039"/>
      <c r="F106" s="2039"/>
      <c r="G106" s="2039"/>
      <c r="H106" s="2040"/>
      <c r="I106" s="2044"/>
      <c r="J106" s="2045"/>
      <c r="K106" s="2045"/>
      <c r="L106" s="2045"/>
      <c r="M106" s="2045"/>
      <c r="N106" s="2045"/>
      <c r="O106" s="2046"/>
      <c r="P106" s="2050"/>
      <c r="Q106" s="2051"/>
      <c r="R106" s="2051"/>
      <c r="S106" s="2051"/>
      <c r="T106" s="2051"/>
      <c r="U106" s="2052"/>
      <c r="V106" s="1086"/>
      <c r="W106" s="1086"/>
      <c r="X106" s="2087"/>
      <c r="Y106" s="2088"/>
      <c r="Z106" s="2088"/>
      <c r="AA106" s="2088"/>
      <c r="AB106" s="2088"/>
      <c r="AC106" s="2088"/>
      <c r="AD106" s="2088"/>
      <c r="AE106" s="2088"/>
      <c r="AF106" s="2088"/>
      <c r="AG106" s="2088"/>
      <c r="AH106" s="2088"/>
      <c r="AI106" s="2088"/>
      <c r="AJ106" s="2088"/>
      <c r="AK106" s="2088"/>
      <c r="AL106" s="2088"/>
      <c r="AM106" s="2088"/>
      <c r="AN106" s="2088"/>
      <c r="AO106" s="2088"/>
      <c r="AP106" s="2088"/>
      <c r="AQ106" s="2088"/>
      <c r="AR106" s="2088"/>
      <c r="AS106" s="2088"/>
      <c r="AT106" s="2088"/>
      <c r="AU106" s="2088"/>
      <c r="AV106" s="2088"/>
      <c r="AW106" s="2088"/>
      <c r="AX106" s="2088"/>
      <c r="AY106" s="2088"/>
      <c r="AZ106" s="2088"/>
      <c r="BA106" s="2088"/>
      <c r="BB106" s="2088"/>
      <c r="BC106" s="2088"/>
      <c r="BD106" s="2089"/>
      <c r="BE106" s="1092"/>
    </row>
    <row r="107" spans="1:57" ht="15.75" customHeight="1" thickBot="1">
      <c r="A107" s="1086"/>
      <c r="B107" s="2018" t="s">
        <v>2309</v>
      </c>
      <c r="C107" s="2019"/>
      <c r="D107" s="2019"/>
      <c r="E107" s="2019"/>
      <c r="F107" s="2019"/>
      <c r="G107" s="2019"/>
      <c r="H107" s="2020"/>
      <c r="I107" s="2021"/>
      <c r="J107" s="2022"/>
      <c r="K107" s="2022"/>
      <c r="L107" s="2022"/>
      <c r="M107" s="2022"/>
      <c r="N107" s="2022"/>
      <c r="O107" s="2023"/>
      <c r="P107" s="2021"/>
      <c r="Q107" s="2022"/>
      <c r="R107" s="2022"/>
      <c r="S107" s="2022"/>
      <c r="T107" s="2022"/>
      <c r="U107" s="2023"/>
      <c r="V107" s="1086"/>
      <c r="W107" s="1086"/>
      <c r="X107" s="2087"/>
      <c r="Y107" s="2088"/>
      <c r="Z107" s="2088"/>
      <c r="AA107" s="2088"/>
      <c r="AB107" s="2088"/>
      <c r="AC107" s="2088"/>
      <c r="AD107" s="2088"/>
      <c r="AE107" s="2088"/>
      <c r="AF107" s="2088"/>
      <c r="AG107" s="2088"/>
      <c r="AH107" s="2088"/>
      <c r="AI107" s="2088"/>
      <c r="AJ107" s="2088"/>
      <c r="AK107" s="2088"/>
      <c r="AL107" s="2088"/>
      <c r="AM107" s="2088"/>
      <c r="AN107" s="2088"/>
      <c r="AO107" s="2088"/>
      <c r="AP107" s="2088"/>
      <c r="AQ107" s="2088"/>
      <c r="AR107" s="2088"/>
      <c r="AS107" s="2088"/>
      <c r="AT107" s="2088"/>
      <c r="AU107" s="2088"/>
      <c r="AV107" s="2088"/>
      <c r="AW107" s="2088"/>
      <c r="AX107" s="2088"/>
      <c r="AY107" s="2088"/>
      <c r="AZ107" s="2088"/>
      <c r="BA107" s="2088"/>
      <c r="BB107" s="2088"/>
      <c r="BC107" s="2088"/>
      <c r="BD107" s="2089"/>
      <c r="BE107" s="1092"/>
    </row>
    <row r="108" spans="1:57" ht="15.75" customHeight="1" thickBot="1">
      <c r="A108" s="1086"/>
      <c r="B108" s="2018" t="s">
        <v>2310</v>
      </c>
      <c r="C108" s="2019"/>
      <c r="D108" s="2019"/>
      <c r="E108" s="2019"/>
      <c r="F108" s="2019"/>
      <c r="G108" s="2019"/>
      <c r="H108" s="2020"/>
      <c r="I108" s="2021"/>
      <c r="J108" s="2022"/>
      <c r="K108" s="2022"/>
      <c r="L108" s="2022"/>
      <c r="M108" s="2022"/>
      <c r="N108" s="2022"/>
      <c r="O108" s="2023"/>
      <c r="P108" s="2021"/>
      <c r="Q108" s="2022"/>
      <c r="R108" s="2022"/>
      <c r="S108" s="2022"/>
      <c r="T108" s="2022"/>
      <c r="U108" s="2023"/>
      <c r="V108" s="1086"/>
      <c r="W108" s="1086"/>
      <c r="X108" s="2090"/>
      <c r="Y108" s="2091"/>
      <c r="Z108" s="2091"/>
      <c r="AA108" s="2091"/>
      <c r="AB108" s="2091"/>
      <c r="AC108" s="2091"/>
      <c r="AD108" s="2091"/>
      <c r="AE108" s="2091"/>
      <c r="AF108" s="2091"/>
      <c r="AG108" s="2091"/>
      <c r="AH108" s="2091"/>
      <c r="AI108" s="2091"/>
      <c r="AJ108" s="2091"/>
      <c r="AK108" s="2091"/>
      <c r="AL108" s="2091"/>
      <c r="AM108" s="2091"/>
      <c r="AN108" s="2091"/>
      <c r="AO108" s="2091"/>
      <c r="AP108" s="2091"/>
      <c r="AQ108" s="2091"/>
      <c r="AR108" s="2091"/>
      <c r="AS108" s="2091"/>
      <c r="AT108" s="2091"/>
      <c r="AU108" s="2091"/>
      <c r="AV108" s="2091"/>
      <c r="AW108" s="2091"/>
      <c r="AX108" s="2091"/>
      <c r="AY108" s="2091"/>
      <c r="AZ108" s="2091"/>
      <c r="BA108" s="2091"/>
      <c r="BB108" s="2091"/>
      <c r="BC108" s="2091"/>
      <c r="BD108" s="2092"/>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53" t="s">
        <v>1949</v>
      </c>
      <c r="C110" s="2054"/>
      <c r="D110" s="2054"/>
      <c r="E110" s="2054"/>
      <c r="F110" s="2054"/>
      <c r="G110" s="2054"/>
      <c r="H110" s="2054"/>
      <c r="I110" s="2054"/>
      <c r="J110" s="2054"/>
      <c r="K110" s="2054"/>
      <c r="L110" s="2054"/>
      <c r="M110" s="2054"/>
      <c r="N110" s="2054"/>
      <c r="O110" s="2054"/>
      <c r="P110" s="2054"/>
      <c r="Q110" s="2054"/>
      <c r="R110" s="2055"/>
      <c r="S110" s="2055"/>
      <c r="T110" s="2055"/>
      <c r="U110" s="2055"/>
      <c r="V110" s="2055"/>
      <c r="W110" s="2055"/>
      <c r="X110" s="2055"/>
      <c r="Y110" s="2055"/>
      <c r="Z110" s="2055"/>
      <c r="AA110" s="2055"/>
      <c r="AB110" s="2055"/>
      <c r="AC110" s="2055"/>
      <c r="AD110" s="2055"/>
      <c r="AE110" s="2055"/>
      <c r="AF110" s="2055"/>
      <c r="AG110" s="2056" t="s">
        <v>1891</v>
      </c>
      <c r="AH110" s="2056"/>
      <c r="AI110" s="2056"/>
      <c r="AJ110" s="2057"/>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58" t="s">
        <v>1950</v>
      </c>
      <c r="C111" s="2059"/>
      <c r="D111" s="2059"/>
      <c r="E111" s="2059"/>
      <c r="F111" s="2059"/>
      <c r="G111" s="2059"/>
      <c r="H111" s="2059"/>
      <c r="I111" s="2059"/>
      <c r="J111" s="2059"/>
      <c r="K111" s="2059"/>
      <c r="L111" s="2059"/>
      <c r="M111" s="2059"/>
      <c r="N111" s="2059"/>
      <c r="O111" s="2059"/>
      <c r="P111" s="2059"/>
      <c r="Q111" s="2060"/>
      <c r="R111" s="2061" t="s">
        <v>2328</v>
      </c>
      <c r="S111" s="2062"/>
      <c r="T111" s="2062"/>
      <c r="U111" s="2062"/>
      <c r="V111" s="2062"/>
      <c r="W111" s="2062"/>
      <c r="X111" s="2062"/>
      <c r="Y111" s="2062"/>
      <c r="Z111" s="2062"/>
      <c r="AA111" s="2062"/>
      <c r="AB111" s="2062"/>
      <c r="AC111" s="2062"/>
      <c r="AD111" s="2062"/>
      <c r="AE111" s="2062"/>
      <c r="AF111" s="2062"/>
      <c r="AG111" s="2062"/>
      <c r="AH111" s="2062"/>
      <c r="AI111" s="2062"/>
      <c r="AJ111" s="2062"/>
      <c r="AK111" s="2062"/>
      <c r="AL111" s="2062"/>
      <c r="AM111" s="2062"/>
      <c r="AN111" s="2062"/>
      <c r="AO111" s="2062"/>
      <c r="AP111" s="2062"/>
      <c r="AQ111" s="2062"/>
      <c r="AR111" s="2062"/>
      <c r="AS111" s="2062"/>
      <c r="AT111" s="2062"/>
      <c r="AU111" s="2062"/>
      <c r="AV111" s="2062"/>
      <c r="AW111" s="2062"/>
      <c r="AX111" s="2063"/>
      <c r="AY111" s="1086"/>
      <c r="AZ111" s="1086"/>
      <c r="BA111" s="1086"/>
      <c r="BB111" s="1086"/>
      <c r="BC111" s="1086" t="s">
        <v>256</v>
      </c>
      <c r="BD111" s="1086"/>
      <c r="BE111" s="1092"/>
    </row>
    <row r="112" spans="1:57" ht="15.75" customHeight="1">
      <c r="A112" s="1086"/>
      <c r="B112" s="2064" t="s">
        <v>2329</v>
      </c>
      <c r="C112" s="2065"/>
      <c r="D112" s="2065"/>
      <c r="E112" s="2065"/>
      <c r="F112" s="2065"/>
      <c r="G112" s="2065"/>
      <c r="H112" s="2065"/>
      <c r="I112" s="2065"/>
      <c r="J112" s="2065"/>
      <c r="K112" s="2065"/>
      <c r="L112" s="2065"/>
      <c r="M112" s="2065"/>
      <c r="N112" s="2065"/>
      <c r="O112" s="2065"/>
      <c r="P112" s="2065"/>
      <c r="Q112" s="2065"/>
      <c r="R112" s="2065"/>
      <c r="S112" s="2065"/>
      <c r="T112" s="2065"/>
      <c r="U112" s="2065"/>
      <c r="V112" s="2065"/>
      <c r="W112" s="2065"/>
      <c r="X112" s="2065"/>
      <c r="Y112" s="2065"/>
      <c r="Z112" s="2065"/>
      <c r="AA112" s="2065"/>
      <c r="AB112" s="2065"/>
      <c r="AC112" s="2065"/>
      <c r="AD112" s="2065"/>
      <c r="AE112" s="2065"/>
      <c r="AF112" s="2065"/>
      <c r="AG112" s="2065"/>
      <c r="AH112" s="2065"/>
      <c r="AI112" s="2065"/>
      <c r="AJ112" s="2065"/>
      <c r="AK112" s="2065"/>
      <c r="AL112" s="2065"/>
      <c r="AM112" s="2065"/>
      <c r="AN112" s="2065"/>
      <c r="AO112" s="2065"/>
      <c r="AP112" s="2065"/>
      <c r="AQ112" s="2065"/>
      <c r="AR112" s="2065"/>
      <c r="AS112" s="2065"/>
      <c r="AT112" s="2065"/>
      <c r="AU112" s="2065"/>
      <c r="AV112" s="2065"/>
      <c r="AW112" s="2065"/>
      <c r="AX112" s="2066"/>
      <c r="AY112" s="1086"/>
      <c r="AZ112" s="1086"/>
      <c r="BA112" s="1086"/>
      <c r="BB112" s="1086"/>
      <c r="BC112" s="1086"/>
      <c r="BD112" s="1086"/>
      <c r="BE112" s="1092"/>
    </row>
    <row r="113" spans="1:57" ht="15.75" customHeight="1">
      <c r="A113" s="1086"/>
      <c r="B113" s="2067"/>
      <c r="C113" s="2068"/>
      <c r="D113" s="2068"/>
      <c r="E113" s="2068"/>
      <c r="F113" s="2068"/>
      <c r="G113" s="2068"/>
      <c r="H113" s="2068"/>
      <c r="I113" s="2068"/>
      <c r="J113" s="2068"/>
      <c r="K113" s="2068"/>
      <c r="L113" s="2068"/>
      <c r="M113" s="2068"/>
      <c r="N113" s="2068"/>
      <c r="O113" s="2068"/>
      <c r="P113" s="2068"/>
      <c r="Q113" s="2068"/>
      <c r="R113" s="2068"/>
      <c r="S113" s="2068"/>
      <c r="T113" s="2068"/>
      <c r="U113" s="2068"/>
      <c r="V113" s="2068"/>
      <c r="W113" s="2068"/>
      <c r="X113" s="2068"/>
      <c r="Y113" s="2068"/>
      <c r="Z113" s="2068"/>
      <c r="AA113" s="2068"/>
      <c r="AB113" s="2068"/>
      <c r="AC113" s="2068"/>
      <c r="AD113" s="2068"/>
      <c r="AE113" s="2068"/>
      <c r="AF113" s="2068"/>
      <c r="AG113" s="2068"/>
      <c r="AH113" s="2068"/>
      <c r="AI113" s="2068"/>
      <c r="AJ113" s="2068"/>
      <c r="AK113" s="2068"/>
      <c r="AL113" s="2068"/>
      <c r="AM113" s="2068"/>
      <c r="AN113" s="2068"/>
      <c r="AO113" s="2068"/>
      <c r="AP113" s="2068"/>
      <c r="AQ113" s="2068"/>
      <c r="AR113" s="2068"/>
      <c r="AS113" s="2068"/>
      <c r="AT113" s="2068"/>
      <c r="AU113" s="2068"/>
      <c r="AV113" s="2068"/>
      <c r="AW113" s="2068"/>
      <c r="AX113" s="2069"/>
      <c r="AY113" s="1086"/>
      <c r="AZ113" s="1086"/>
      <c r="BA113" s="1086"/>
      <c r="BB113" s="1086"/>
      <c r="BC113" s="1086"/>
      <c r="BD113" s="1086"/>
      <c r="BE113" s="1092"/>
    </row>
    <row r="114" spans="1:57" ht="15.75" customHeight="1">
      <c r="A114" s="1086"/>
      <c r="B114" s="2067"/>
      <c r="C114" s="2068"/>
      <c r="D114" s="2068"/>
      <c r="E114" s="2068"/>
      <c r="F114" s="2068"/>
      <c r="G114" s="2068"/>
      <c r="H114" s="2068"/>
      <c r="I114" s="2068"/>
      <c r="J114" s="2068"/>
      <c r="K114" s="2068"/>
      <c r="L114" s="2068"/>
      <c r="M114" s="2068"/>
      <c r="N114" s="2068"/>
      <c r="O114" s="2068"/>
      <c r="P114" s="2068"/>
      <c r="Q114" s="2068"/>
      <c r="R114" s="2068"/>
      <c r="S114" s="2068"/>
      <c r="T114" s="2068"/>
      <c r="U114" s="2068"/>
      <c r="V114" s="2068"/>
      <c r="W114" s="2068"/>
      <c r="X114" s="2068"/>
      <c r="Y114" s="2068"/>
      <c r="Z114" s="2068"/>
      <c r="AA114" s="2068"/>
      <c r="AB114" s="2068"/>
      <c r="AC114" s="2068"/>
      <c r="AD114" s="2068"/>
      <c r="AE114" s="2068"/>
      <c r="AF114" s="2068"/>
      <c r="AG114" s="2068"/>
      <c r="AH114" s="2068"/>
      <c r="AI114" s="2068"/>
      <c r="AJ114" s="2068"/>
      <c r="AK114" s="2068"/>
      <c r="AL114" s="2068"/>
      <c r="AM114" s="2068"/>
      <c r="AN114" s="2068"/>
      <c r="AO114" s="2068"/>
      <c r="AP114" s="2068"/>
      <c r="AQ114" s="2068"/>
      <c r="AR114" s="2068"/>
      <c r="AS114" s="2068"/>
      <c r="AT114" s="2068"/>
      <c r="AU114" s="2068"/>
      <c r="AV114" s="2068"/>
      <c r="AW114" s="2068"/>
      <c r="AX114" s="2069"/>
      <c r="AY114" s="1086"/>
      <c r="AZ114" s="1086"/>
      <c r="BA114" s="1086"/>
      <c r="BB114" s="1086"/>
      <c r="BC114" s="1086"/>
      <c r="BD114" s="1086"/>
      <c r="BE114" s="1092"/>
    </row>
    <row r="115" spans="1:57" ht="15.75" customHeight="1">
      <c r="A115" s="1086"/>
      <c r="B115" s="2067"/>
      <c r="C115" s="2068"/>
      <c r="D115" s="2068"/>
      <c r="E115" s="2068"/>
      <c r="F115" s="2068"/>
      <c r="G115" s="2068"/>
      <c r="H115" s="2068"/>
      <c r="I115" s="2068"/>
      <c r="J115" s="2068"/>
      <c r="K115" s="2068"/>
      <c r="L115" s="2068"/>
      <c r="M115" s="2068"/>
      <c r="N115" s="2068"/>
      <c r="O115" s="2068"/>
      <c r="P115" s="2068"/>
      <c r="Q115" s="2068"/>
      <c r="R115" s="2068"/>
      <c r="S115" s="2068"/>
      <c r="T115" s="2068"/>
      <c r="U115" s="2068"/>
      <c r="V115" s="2068"/>
      <c r="W115" s="2068"/>
      <c r="X115" s="2068"/>
      <c r="Y115" s="2068"/>
      <c r="Z115" s="2068"/>
      <c r="AA115" s="2068"/>
      <c r="AB115" s="2068"/>
      <c r="AC115" s="2068"/>
      <c r="AD115" s="2068"/>
      <c r="AE115" s="2068"/>
      <c r="AF115" s="2068"/>
      <c r="AG115" s="2068"/>
      <c r="AH115" s="2068"/>
      <c r="AI115" s="2068"/>
      <c r="AJ115" s="2068"/>
      <c r="AK115" s="2068"/>
      <c r="AL115" s="2068"/>
      <c r="AM115" s="2068"/>
      <c r="AN115" s="2068"/>
      <c r="AO115" s="2068"/>
      <c r="AP115" s="2068"/>
      <c r="AQ115" s="2068"/>
      <c r="AR115" s="2068"/>
      <c r="AS115" s="2068"/>
      <c r="AT115" s="2068"/>
      <c r="AU115" s="2068"/>
      <c r="AV115" s="2068"/>
      <c r="AW115" s="2068"/>
      <c r="AX115" s="2069"/>
      <c r="AY115" s="1086"/>
      <c r="AZ115" s="1086"/>
      <c r="BA115" s="1086"/>
      <c r="BB115" s="1086"/>
      <c r="BC115" s="1086"/>
      <c r="BD115" s="1086"/>
      <c r="BE115" s="1092"/>
    </row>
    <row r="116" spans="1:57" ht="15.75" customHeight="1">
      <c r="A116" s="1086"/>
      <c r="B116" s="2067"/>
      <c r="C116" s="2068"/>
      <c r="D116" s="2068"/>
      <c r="E116" s="2068"/>
      <c r="F116" s="2068"/>
      <c r="G116" s="2068"/>
      <c r="H116" s="2068"/>
      <c r="I116" s="2068"/>
      <c r="J116" s="2068"/>
      <c r="K116" s="2068"/>
      <c r="L116" s="2068"/>
      <c r="M116" s="2068"/>
      <c r="N116" s="2068"/>
      <c r="O116" s="2068"/>
      <c r="P116" s="2068"/>
      <c r="Q116" s="2068"/>
      <c r="R116" s="2068"/>
      <c r="S116" s="2068"/>
      <c r="T116" s="2068"/>
      <c r="U116" s="2068"/>
      <c r="V116" s="2068"/>
      <c r="W116" s="2068"/>
      <c r="X116" s="2068"/>
      <c r="Y116" s="2068"/>
      <c r="Z116" s="2068"/>
      <c r="AA116" s="2068"/>
      <c r="AB116" s="2068"/>
      <c r="AC116" s="2068"/>
      <c r="AD116" s="2068"/>
      <c r="AE116" s="2068"/>
      <c r="AF116" s="2068"/>
      <c r="AG116" s="2068"/>
      <c r="AH116" s="2068"/>
      <c r="AI116" s="2068"/>
      <c r="AJ116" s="2068"/>
      <c r="AK116" s="2068"/>
      <c r="AL116" s="2068"/>
      <c r="AM116" s="2068"/>
      <c r="AN116" s="2068"/>
      <c r="AO116" s="2068"/>
      <c r="AP116" s="2068"/>
      <c r="AQ116" s="2068"/>
      <c r="AR116" s="2068"/>
      <c r="AS116" s="2068"/>
      <c r="AT116" s="2068"/>
      <c r="AU116" s="2068"/>
      <c r="AV116" s="2068"/>
      <c r="AW116" s="2068"/>
      <c r="AX116" s="2069"/>
      <c r="AY116" s="1086"/>
      <c r="AZ116" s="1086"/>
      <c r="BA116" s="1086"/>
      <c r="BB116" s="1086"/>
      <c r="BC116" s="1086"/>
      <c r="BD116" s="1086"/>
      <c r="BE116" s="1092"/>
    </row>
    <row r="117" spans="1:57" ht="15.75" customHeight="1">
      <c r="A117" s="1086"/>
      <c r="B117" s="2067"/>
      <c r="C117" s="2068"/>
      <c r="D117" s="2068"/>
      <c r="E117" s="2068"/>
      <c r="F117" s="2068"/>
      <c r="G117" s="2068"/>
      <c r="H117" s="2068"/>
      <c r="I117" s="2068"/>
      <c r="J117" s="2068"/>
      <c r="K117" s="2068"/>
      <c r="L117" s="2068"/>
      <c r="M117" s="2068"/>
      <c r="N117" s="2068"/>
      <c r="O117" s="2068"/>
      <c r="P117" s="2068"/>
      <c r="Q117" s="2068"/>
      <c r="R117" s="2068"/>
      <c r="S117" s="2068"/>
      <c r="T117" s="2068"/>
      <c r="U117" s="2068"/>
      <c r="V117" s="2068"/>
      <c r="W117" s="2068"/>
      <c r="X117" s="2068"/>
      <c r="Y117" s="2068"/>
      <c r="Z117" s="2068"/>
      <c r="AA117" s="2068"/>
      <c r="AB117" s="2068"/>
      <c r="AC117" s="2068"/>
      <c r="AD117" s="2068"/>
      <c r="AE117" s="2068"/>
      <c r="AF117" s="2068"/>
      <c r="AG117" s="2068"/>
      <c r="AH117" s="2068"/>
      <c r="AI117" s="2068"/>
      <c r="AJ117" s="2068"/>
      <c r="AK117" s="2068"/>
      <c r="AL117" s="2068"/>
      <c r="AM117" s="2068"/>
      <c r="AN117" s="2068"/>
      <c r="AO117" s="2068"/>
      <c r="AP117" s="2068"/>
      <c r="AQ117" s="2068"/>
      <c r="AR117" s="2068"/>
      <c r="AS117" s="2068"/>
      <c r="AT117" s="2068"/>
      <c r="AU117" s="2068"/>
      <c r="AV117" s="2068"/>
      <c r="AW117" s="2068"/>
      <c r="AX117" s="2069"/>
      <c r="AY117" s="1086"/>
      <c r="AZ117" s="1086"/>
      <c r="BA117" s="1086"/>
      <c r="BB117" s="1086"/>
      <c r="BC117" s="1086"/>
      <c r="BD117" s="1086"/>
      <c r="BE117" s="1092"/>
    </row>
    <row r="118" spans="1:57" ht="15.75" customHeight="1">
      <c r="A118" s="1086"/>
      <c r="B118" s="2067"/>
      <c r="C118" s="2068"/>
      <c r="D118" s="2068"/>
      <c r="E118" s="2068"/>
      <c r="F118" s="2068"/>
      <c r="G118" s="2068"/>
      <c r="H118" s="2068"/>
      <c r="I118" s="2068"/>
      <c r="J118" s="2068"/>
      <c r="K118" s="2068"/>
      <c r="L118" s="2068"/>
      <c r="M118" s="2068"/>
      <c r="N118" s="2068"/>
      <c r="O118" s="2068"/>
      <c r="P118" s="2068"/>
      <c r="Q118" s="2068"/>
      <c r="R118" s="2068"/>
      <c r="S118" s="2068"/>
      <c r="T118" s="2068"/>
      <c r="U118" s="2068"/>
      <c r="V118" s="2068"/>
      <c r="W118" s="2068"/>
      <c r="X118" s="2068"/>
      <c r="Y118" s="2068"/>
      <c r="Z118" s="2068"/>
      <c r="AA118" s="2068"/>
      <c r="AB118" s="2068"/>
      <c r="AC118" s="2068"/>
      <c r="AD118" s="2068"/>
      <c r="AE118" s="2068"/>
      <c r="AF118" s="2068"/>
      <c r="AG118" s="2068"/>
      <c r="AH118" s="2068"/>
      <c r="AI118" s="2068"/>
      <c r="AJ118" s="2068"/>
      <c r="AK118" s="2068"/>
      <c r="AL118" s="2068"/>
      <c r="AM118" s="2068"/>
      <c r="AN118" s="2068"/>
      <c r="AO118" s="2068"/>
      <c r="AP118" s="2068"/>
      <c r="AQ118" s="2068"/>
      <c r="AR118" s="2068"/>
      <c r="AS118" s="2068"/>
      <c r="AT118" s="2068"/>
      <c r="AU118" s="2068"/>
      <c r="AV118" s="2068"/>
      <c r="AW118" s="2068"/>
      <c r="AX118" s="2069"/>
      <c r="AY118" s="1086"/>
      <c r="AZ118" s="1086"/>
      <c r="BA118" s="1086"/>
      <c r="BB118" s="1086"/>
      <c r="BC118" s="1086"/>
      <c r="BD118" s="1086"/>
      <c r="BE118" s="1092"/>
    </row>
    <row r="119" spans="1:57" ht="15.75" customHeight="1">
      <c r="A119" s="1086"/>
      <c r="B119" s="2067"/>
      <c r="C119" s="2068"/>
      <c r="D119" s="2068"/>
      <c r="E119" s="2068"/>
      <c r="F119" s="2068"/>
      <c r="G119" s="2068"/>
      <c r="H119" s="2068"/>
      <c r="I119" s="2068"/>
      <c r="J119" s="2068"/>
      <c r="K119" s="2068"/>
      <c r="L119" s="2068"/>
      <c r="M119" s="2068"/>
      <c r="N119" s="2068"/>
      <c r="O119" s="2068"/>
      <c r="P119" s="2068"/>
      <c r="Q119" s="2068"/>
      <c r="R119" s="2068"/>
      <c r="S119" s="2068"/>
      <c r="T119" s="2068"/>
      <c r="U119" s="2068"/>
      <c r="V119" s="2068"/>
      <c r="W119" s="2068"/>
      <c r="X119" s="2068"/>
      <c r="Y119" s="2068"/>
      <c r="Z119" s="2068"/>
      <c r="AA119" s="2068"/>
      <c r="AB119" s="2068"/>
      <c r="AC119" s="2068"/>
      <c r="AD119" s="2068"/>
      <c r="AE119" s="2068"/>
      <c r="AF119" s="2068"/>
      <c r="AG119" s="2068"/>
      <c r="AH119" s="2068"/>
      <c r="AI119" s="2068"/>
      <c r="AJ119" s="2068"/>
      <c r="AK119" s="2068"/>
      <c r="AL119" s="2068"/>
      <c r="AM119" s="2068"/>
      <c r="AN119" s="2068"/>
      <c r="AO119" s="2068"/>
      <c r="AP119" s="2068"/>
      <c r="AQ119" s="2068"/>
      <c r="AR119" s="2068"/>
      <c r="AS119" s="2068"/>
      <c r="AT119" s="2068"/>
      <c r="AU119" s="2068"/>
      <c r="AV119" s="2068"/>
      <c r="AW119" s="2068"/>
      <c r="AX119" s="2069"/>
      <c r="AY119" s="1086"/>
      <c r="AZ119" s="1086"/>
      <c r="BA119" s="1086"/>
      <c r="BB119" s="1086"/>
      <c r="BC119" s="1086"/>
      <c r="BD119" s="1086"/>
      <c r="BE119" s="1092"/>
    </row>
    <row r="120" spans="1:57" ht="15.75" customHeight="1">
      <c r="A120" s="1086"/>
      <c r="B120" s="2067"/>
      <c r="C120" s="2068"/>
      <c r="D120" s="2068"/>
      <c r="E120" s="2068"/>
      <c r="F120" s="2068"/>
      <c r="G120" s="2068"/>
      <c r="H120" s="2068"/>
      <c r="I120" s="2068"/>
      <c r="J120" s="2068"/>
      <c r="K120" s="2068"/>
      <c r="L120" s="2068"/>
      <c r="M120" s="2068"/>
      <c r="N120" s="2068"/>
      <c r="O120" s="2068"/>
      <c r="P120" s="2068"/>
      <c r="Q120" s="2068"/>
      <c r="R120" s="2068"/>
      <c r="S120" s="2068"/>
      <c r="T120" s="2068"/>
      <c r="U120" s="2068"/>
      <c r="V120" s="2068"/>
      <c r="W120" s="2068"/>
      <c r="X120" s="2068"/>
      <c r="Y120" s="2068"/>
      <c r="Z120" s="2068"/>
      <c r="AA120" s="2068"/>
      <c r="AB120" s="2068"/>
      <c r="AC120" s="2068"/>
      <c r="AD120" s="2068"/>
      <c r="AE120" s="2068"/>
      <c r="AF120" s="2068"/>
      <c r="AG120" s="2068"/>
      <c r="AH120" s="2068"/>
      <c r="AI120" s="2068"/>
      <c r="AJ120" s="2068"/>
      <c r="AK120" s="2068"/>
      <c r="AL120" s="2068"/>
      <c r="AM120" s="2068"/>
      <c r="AN120" s="2068"/>
      <c r="AO120" s="2068"/>
      <c r="AP120" s="2068"/>
      <c r="AQ120" s="2068"/>
      <c r="AR120" s="2068"/>
      <c r="AS120" s="2068"/>
      <c r="AT120" s="2068"/>
      <c r="AU120" s="2068"/>
      <c r="AV120" s="2068"/>
      <c r="AW120" s="2068"/>
      <c r="AX120" s="2069"/>
      <c r="AY120" s="1086"/>
      <c r="AZ120" s="1086"/>
      <c r="BA120" s="1086"/>
      <c r="BB120" s="1086"/>
      <c r="BC120" s="1086"/>
      <c r="BD120" s="1086"/>
      <c r="BE120" s="1092"/>
    </row>
    <row r="121" spans="1:57" ht="15.75" customHeight="1" thickBot="1">
      <c r="A121" s="1086"/>
      <c r="B121" s="2070"/>
      <c r="C121" s="2071"/>
      <c r="D121" s="2071"/>
      <c r="E121" s="2071"/>
      <c r="F121" s="2071"/>
      <c r="G121" s="2071"/>
      <c r="H121" s="2071"/>
      <c r="I121" s="2071"/>
      <c r="J121" s="2071"/>
      <c r="K121" s="2071"/>
      <c r="L121" s="2071"/>
      <c r="M121" s="2071"/>
      <c r="N121" s="2071"/>
      <c r="O121" s="2071"/>
      <c r="P121" s="2071"/>
      <c r="Q121" s="2071"/>
      <c r="R121" s="2071"/>
      <c r="S121" s="2071"/>
      <c r="T121" s="2071"/>
      <c r="U121" s="2071"/>
      <c r="V121" s="2071"/>
      <c r="W121" s="2071"/>
      <c r="X121" s="2071"/>
      <c r="Y121" s="2071"/>
      <c r="Z121" s="2071"/>
      <c r="AA121" s="2071"/>
      <c r="AB121" s="2071"/>
      <c r="AC121" s="2071"/>
      <c r="AD121" s="2071"/>
      <c r="AE121" s="2071"/>
      <c r="AF121" s="2071"/>
      <c r="AG121" s="2071"/>
      <c r="AH121" s="2071"/>
      <c r="AI121" s="2071"/>
      <c r="AJ121" s="2071"/>
      <c r="AK121" s="2071"/>
      <c r="AL121" s="2071"/>
      <c r="AM121" s="2071"/>
      <c r="AN121" s="2071"/>
      <c r="AO121" s="2071"/>
      <c r="AP121" s="2071"/>
      <c r="AQ121" s="2071"/>
      <c r="AR121" s="2071"/>
      <c r="AS121" s="2071"/>
      <c r="AT121" s="2071"/>
      <c r="AU121" s="2071"/>
      <c r="AV121" s="2071"/>
      <c r="AW121" s="2071"/>
      <c r="AX121" s="2072"/>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1951</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2330</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24" t="s">
        <v>1952</v>
      </c>
      <c r="C125" s="2025"/>
      <c r="D125" s="2025"/>
      <c r="E125" s="2025"/>
      <c r="F125" s="2025"/>
      <c r="G125" s="2025"/>
      <c r="H125" s="2025"/>
      <c r="I125" s="2025"/>
      <c r="J125" s="2025"/>
      <c r="K125" s="2025"/>
      <c r="L125" s="2025"/>
      <c r="M125" s="2025"/>
      <c r="N125" s="2025"/>
      <c r="O125" s="2025"/>
      <c r="P125" s="2025"/>
      <c r="Q125" s="2025"/>
      <c r="R125" s="2025"/>
      <c r="S125" s="2025"/>
      <c r="T125" s="2025"/>
      <c r="U125" s="2073"/>
      <c r="V125" s="1086"/>
      <c r="W125" s="1088"/>
      <c r="X125" s="2024" t="s">
        <v>2331</v>
      </c>
      <c r="Y125" s="2025"/>
      <c r="Z125" s="2025"/>
      <c r="AA125" s="2025"/>
      <c r="AB125" s="2025"/>
      <c r="AC125" s="2025"/>
      <c r="AD125" s="2025"/>
      <c r="AE125" s="2025"/>
      <c r="AF125" s="2025"/>
      <c r="AG125" s="2025"/>
      <c r="AH125" s="2025"/>
      <c r="AI125" s="2025"/>
      <c r="AJ125" s="2025"/>
      <c r="AK125" s="2025"/>
      <c r="AL125" s="2025"/>
      <c r="AM125" s="2025"/>
      <c r="AN125" s="2025"/>
      <c r="AO125" s="2025"/>
      <c r="AP125" s="2025"/>
      <c r="AQ125" s="2073"/>
      <c r="AR125" s="1086"/>
      <c r="AS125" s="1086"/>
      <c r="AT125" s="1086"/>
      <c r="AU125" s="1086"/>
      <c r="AV125" s="1086"/>
      <c r="AW125" s="1086"/>
      <c r="AX125" s="1086"/>
      <c r="AY125" s="1086"/>
      <c r="AZ125" s="1086"/>
      <c r="BA125" s="1086"/>
      <c r="BB125" s="1086"/>
      <c r="BC125" s="1086"/>
      <c r="BD125" s="1086"/>
      <c r="BE125" s="1092"/>
    </row>
    <row r="126" spans="1:57" ht="15.75" customHeight="1">
      <c r="A126" s="1086"/>
      <c r="B126" s="2035"/>
      <c r="C126" s="2036"/>
      <c r="D126" s="2036"/>
      <c r="E126" s="2036"/>
      <c r="F126" s="2036"/>
      <c r="G126" s="2036"/>
      <c r="H126" s="2037"/>
      <c r="I126" s="2041" t="s">
        <v>1941</v>
      </c>
      <c r="J126" s="2042"/>
      <c r="K126" s="2042"/>
      <c r="L126" s="2042"/>
      <c r="M126" s="2042"/>
      <c r="N126" s="2042"/>
      <c r="O126" s="2043"/>
      <c r="P126" s="2047" t="s">
        <v>2332</v>
      </c>
      <c r="Q126" s="2048"/>
      <c r="R126" s="2048"/>
      <c r="S126" s="2048"/>
      <c r="T126" s="2048"/>
      <c r="U126" s="2049"/>
      <c r="V126" s="1086"/>
      <c r="W126" s="1086"/>
      <c r="X126" s="2035"/>
      <c r="Y126" s="2036"/>
      <c r="Z126" s="2036"/>
      <c r="AA126" s="2036"/>
      <c r="AB126" s="2036"/>
      <c r="AC126" s="2036"/>
      <c r="AD126" s="2037"/>
      <c r="AE126" s="2041" t="s">
        <v>1941</v>
      </c>
      <c r="AF126" s="2042"/>
      <c r="AG126" s="2042"/>
      <c r="AH126" s="2042"/>
      <c r="AI126" s="2042"/>
      <c r="AJ126" s="2042"/>
      <c r="AK126" s="2043"/>
      <c r="AL126" s="2047" t="s">
        <v>2325</v>
      </c>
      <c r="AM126" s="2048"/>
      <c r="AN126" s="2048"/>
      <c r="AO126" s="2048"/>
      <c r="AP126" s="2048"/>
      <c r="AQ126" s="2049"/>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38"/>
      <c r="C127" s="2039"/>
      <c r="D127" s="2039"/>
      <c r="E127" s="2039"/>
      <c r="F127" s="2039"/>
      <c r="G127" s="2039"/>
      <c r="H127" s="2040"/>
      <c r="I127" s="2044"/>
      <c r="J127" s="2045"/>
      <c r="K127" s="2045"/>
      <c r="L127" s="2045"/>
      <c r="M127" s="2045"/>
      <c r="N127" s="2045"/>
      <c r="O127" s="2046"/>
      <c r="P127" s="2050"/>
      <c r="Q127" s="2051"/>
      <c r="R127" s="2051"/>
      <c r="S127" s="2051"/>
      <c r="T127" s="2051"/>
      <c r="U127" s="2052"/>
      <c r="V127" s="1086"/>
      <c r="W127" s="1086"/>
      <c r="X127" s="2038"/>
      <c r="Y127" s="2039"/>
      <c r="Z127" s="2039"/>
      <c r="AA127" s="2039"/>
      <c r="AB127" s="2039"/>
      <c r="AC127" s="2039"/>
      <c r="AD127" s="2040"/>
      <c r="AE127" s="2044"/>
      <c r="AF127" s="2045"/>
      <c r="AG127" s="2045"/>
      <c r="AH127" s="2045"/>
      <c r="AI127" s="2045"/>
      <c r="AJ127" s="2045"/>
      <c r="AK127" s="2046"/>
      <c r="AL127" s="2050"/>
      <c r="AM127" s="2051"/>
      <c r="AN127" s="2051"/>
      <c r="AO127" s="2051"/>
      <c r="AP127" s="2051"/>
      <c r="AQ127" s="2052"/>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18" t="s">
        <v>2309</v>
      </c>
      <c r="C128" s="2019"/>
      <c r="D128" s="2019"/>
      <c r="E128" s="2019"/>
      <c r="F128" s="2019"/>
      <c r="G128" s="2019"/>
      <c r="H128" s="2020"/>
      <c r="I128" s="2021"/>
      <c r="J128" s="2022"/>
      <c r="K128" s="2022"/>
      <c r="L128" s="2022"/>
      <c r="M128" s="2022"/>
      <c r="N128" s="2022"/>
      <c r="O128" s="2023"/>
      <c r="P128" s="2021"/>
      <c r="Q128" s="2022"/>
      <c r="R128" s="2022"/>
      <c r="S128" s="2022"/>
      <c r="T128" s="2022"/>
      <c r="U128" s="2023"/>
      <c r="V128" s="1086"/>
      <c r="W128" s="1086"/>
      <c r="X128" s="2018" t="s">
        <v>2309</v>
      </c>
      <c r="Y128" s="2019"/>
      <c r="Z128" s="2019"/>
      <c r="AA128" s="2019"/>
      <c r="AB128" s="2019"/>
      <c r="AC128" s="2019"/>
      <c r="AD128" s="2020"/>
      <c r="AE128" s="2021"/>
      <c r="AF128" s="2022"/>
      <c r="AG128" s="2022"/>
      <c r="AH128" s="2022"/>
      <c r="AI128" s="2022"/>
      <c r="AJ128" s="2022"/>
      <c r="AK128" s="2023"/>
      <c r="AL128" s="2021"/>
      <c r="AM128" s="2022"/>
      <c r="AN128" s="2022"/>
      <c r="AO128" s="2022"/>
      <c r="AP128" s="2022"/>
      <c r="AQ128" s="2023"/>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18" t="s">
        <v>2310</v>
      </c>
      <c r="C129" s="2019"/>
      <c r="D129" s="2019"/>
      <c r="E129" s="2019"/>
      <c r="F129" s="2019"/>
      <c r="G129" s="2019"/>
      <c r="H129" s="2020"/>
      <c r="I129" s="2021"/>
      <c r="J129" s="2022"/>
      <c r="K129" s="2022"/>
      <c r="L129" s="2022"/>
      <c r="M129" s="2022"/>
      <c r="N129" s="2022"/>
      <c r="O129" s="2023"/>
      <c r="P129" s="2021"/>
      <c r="Q129" s="2022"/>
      <c r="R129" s="2022"/>
      <c r="S129" s="2022"/>
      <c r="T129" s="2022"/>
      <c r="U129" s="2023"/>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24" t="s">
        <v>2311</v>
      </c>
      <c r="D131" s="2025"/>
      <c r="E131" s="2025"/>
      <c r="F131" s="2025"/>
      <c r="G131" s="2025"/>
      <c r="H131" s="2025"/>
      <c r="I131" s="2025"/>
      <c r="J131" s="2025"/>
      <c r="K131" s="2025"/>
      <c r="L131" s="2025"/>
      <c r="M131" s="2025"/>
      <c r="N131" s="2025"/>
      <c r="O131" s="2025"/>
      <c r="P131" s="2025"/>
      <c r="Q131" s="2025"/>
      <c r="R131" s="2025"/>
      <c r="S131" s="2025"/>
      <c r="T131" s="2025"/>
      <c r="U131" s="2025"/>
      <c r="V131" s="2025"/>
      <c r="W131" s="2025"/>
      <c r="X131" s="2025"/>
      <c r="Y131" s="2025"/>
      <c r="Z131" s="2025"/>
      <c r="AA131" s="2025"/>
      <c r="AB131" s="2025"/>
      <c r="AC131" s="2025"/>
      <c r="AD131" s="2025"/>
      <c r="AE131" s="2025"/>
      <c r="AF131" s="2025"/>
      <c r="AG131" s="2026"/>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48" t="s">
        <v>1953</v>
      </c>
      <c r="D132" s="1949"/>
      <c r="E132" s="1949"/>
      <c r="F132" s="1949"/>
      <c r="G132" s="1949"/>
      <c r="H132" s="1949"/>
      <c r="I132" s="1949"/>
      <c r="J132" s="1949"/>
      <c r="K132" s="1949"/>
      <c r="L132" s="1949"/>
      <c r="M132" s="1949"/>
      <c r="N132" s="1949"/>
      <c r="O132" s="1949"/>
      <c r="P132" s="2027"/>
      <c r="Q132" s="2028" t="s">
        <v>1954</v>
      </c>
      <c r="R132" s="1949"/>
      <c r="S132" s="2027"/>
      <c r="T132" s="2029" t="s">
        <v>2312</v>
      </c>
      <c r="U132" s="2030"/>
      <c r="V132" s="2030"/>
      <c r="W132" s="2030"/>
      <c r="X132" s="2030"/>
      <c r="Y132" s="2030"/>
      <c r="Z132" s="2030"/>
      <c r="AA132" s="2031"/>
      <c r="AB132" s="2032" t="s">
        <v>1955</v>
      </c>
      <c r="AC132" s="2033"/>
      <c r="AD132" s="2033"/>
      <c r="AE132" s="2033"/>
      <c r="AF132" s="2033"/>
      <c r="AG132" s="2034"/>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36" t="s">
        <v>1956</v>
      </c>
      <c r="D133" s="1937"/>
      <c r="E133" s="1937"/>
      <c r="F133" s="1937"/>
      <c r="G133" s="1937"/>
      <c r="H133" s="1937"/>
      <c r="I133" s="1937"/>
      <c r="J133" s="1937"/>
      <c r="K133" s="1937"/>
      <c r="L133" s="1937"/>
      <c r="M133" s="1937"/>
      <c r="N133" s="1937"/>
      <c r="O133" s="1937"/>
      <c r="P133" s="1953"/>
      <c r="Q133" s="2010">
        <v>55</v>
      </c>
      <c r="R133" s="2011"/>
      <c r="S133" s="2012"/>
      <c r="T133" s="2013"/>
      <c r="U133" s="2014"/>
      <c r="V133" s="2014"/>
      <c r="W133" s="2014"/>
      <c r="X133" s="2014"/>
      <c r="Y133" s="2014"/>
      <c r="Z133" s="2014"/>
      <c r="AA133" s="2014"/>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36" t="s">
        <v>1957</v>
      </c>
      <c r="D134" s="1937"/>
      <c r="E134" s="1937"/>
      <c r="F134" s="1937"/>
      <c r="G134" s="1937"/>
      <c r="H134" s="1937"/>
      <c r="I134" s="1937"/>
      <c r="J134" s="1937"/>
      <c r="K134" s="1937"/>
      <c r="L134" s="1937"/>
      <c r="M134" s="1937"/>
      <c r="N134" s="1937"/>
      <c r="O134" s="1937"/>
      <c r="P134" s="1953"/>
      <c r="Q134" s="2010">
        <v>55</v>
      </c>
      <c r="R134" s="2011"/>
      <c r="S134" s="2012"/>
      <c r="T134" s="2016"/>
      <c r="U134" s="2017"/>
      <c r="V134" s="2017"/>
      <c r="W134" s="2017"/>
      <c r="X134" s="2017"/>
      <c r="Y134" s="2017"/>
      <c r="Z134" s="2017"/>
      <c r="AA134" s="2017"/>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36" t="s">
        <v>1958</v>
      </c>
      <c r="D135" s="1937"/>
      <c r="E135" s="1937"/>
      <c r="F135" s="1937"/>
      <c r="G135" s="1937"/>
      <c r="H135" s="1937"/>
      <c r="I135" s="1937"/>
      <c r="J135" s="1937"/>
      <c r="K135" s="1937"/>
      <c r="L135" s="1937"/>
      <c r="M135" s="1937"/>
      <c r="N135" s="1937"/>
      <c r="O135" s="1937"/>
      <c r="P135" s="1953"/>
      <c r="Q135" s="2010">
        <v>55</v>
      </c>
      <c r="R135" s="2011"/>
      <c r="S135" s="2012"/>
      <c r="T135" s="2013"/>
      <c r="U135" s="2014"/>
      <c r="V135" s="2014"/>
      <c r="W135" s="2014"/>
      <c r="X135" s="2014"/>
      <c r="Y135" s="2014"/>
      <c r="Z135" s="2014"/>
      <c r="AA135" s="2014"/>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36" t="s">
        <v>1921</v>
      </c>
      <c r="D136" s="1937"/>
      <c r="E136" s="1937"/>
      <c r="F136" s="1937"/>
      <c r="G136" s="1937"/>
      <c r="H136" s="1937"/>
      <c r="I136" s="1937"/>
      <c r="J136" s="1937"/>
      <c r="K136" s="1937"/>
      <c r="L136" s="1937"/>
      <c r="M136" s="1937"/>
      <c r="N136" s="1937"/>
      <c r="O136" s="1937"/>
      <c r="P136" s="1953"/>
      <c r="Q136" s="2010">
        <v>55</v>
      </c>
      <c r="R136" s="2011"/>
      <c r="S136" s="2012"/>
      <c r="T136" s="2013"/>
      <c r="U136" s="2014"/>
      <c r="V136" s="2014"/>
      <c r="W136" s="2014"/>
      <c r="X136" s="2014"/>
      <c r="Y136" s="2014"/>
      <c r="Z136" s="2014"/>
      <c r="AA136" s="2015"/>
      <c r="AB136" s="2007">
        <v>0</v>
      </c>
      <c r="AC136" s="2008"/>
      <c r="AD136" s="2008"/>
      <c r="AE136" s="2008"/>
      <c r="AF136" s="2008"/>
      <c r="AG136" s="2009"/>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995" t="s">
        <v>175</v>
      </c>
      <c r="D137" s="1996"/>
      <c r="E137" s="1996"/>
      <c r="F137" s="1927" t="s">
        <v>1959</v>
      </c>
      <c r="G137" s="1927"/>
      <c r="H137" s="1927"/>
      <c r="I137" s="1927"/>
      <c r="J137" s="1927"/>
      <c r="K137" s="1927"/>
      <c r="L137" s="1927"/>
      <c r="M137" s="1927"/>
      <c r="N137" s="1927"/>
      <c r="O137" s="1927"/>
      <c r="P137" s="1927"/>
      <c r="Q137" s="1997">
        <v>55</v>
      </c>
      <c r="R137" s="1997"/>
      <c r="S137" s="1997"/>
      <c r="T137" s="1998"/>
      <c r="U137" s="1998"/>
      <c r="V137" s="1998"/>
      <c r="W137" s="1998"/>
      <c r="X137" s="1998"/>
      <c r="Y137" s="1998"/>
      <c r="Z137" s="1998"/>
      <c r="AA137" s="1998"/>
      <c r="AB137" s="1999">
        <v>0</v>
      </c>
      <c r="AC137" s="2000"/>
      <c r="AD137" s="2000"/>
      <c r="AE137" s="2000"/>
      <c r="AF137" s="2000"/>
      <c r="AG137" s="2001"/>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995" t="s">
        <v>175</v>
      </c>
      <c r="D138" s="1996"/>
      <c r="E138" s="1996"/>
      <c r="F138" s="1927" t="s">
        <v>1959</v>
      </c>
      <c r="G138" s="1927"/>
      <c r="H138" s="1927"/>
      <c r="I138" s="1927"/>
      <c r="J138" s="1927"/>
      <c r="K138" s="1927"/>
      <c r="L138" s="1927"/>
      <c r="M138" s="1927"/>
      <c r="N138" s="1927"/>
      <c r="O138" s="1927"/>
      <c r="P138" s="1927"/>
      <c r="Q138" s="1997">
        <v>55</v>
      </c>
      <c r="R138" s="1997"/>
      <c r="S138" s="1997"/>
      <c r="T138" s="1998"/>
      <c r="U138" s="1998"/>
      <c r="V138" s="1998"/>
      <c r="W138" s="1998"/>
      <c r="X138" s="1998"/>
      <c r="Y138" s="1998"/>
      <c r="Z138" s="1998"/>
      <c r="AA138" s="1998"/>
      <c r="AB138" s="1999">
        <v>0</v>
      </c>
      <c r="AC138" s="2000"/>
      <c r="AD138" s="2000"/>
      <c r="AE138" s="2000"/>
      <c r="AF138" s="2000"/>
      <c r="AG138" s="2001"/>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995" t="s">
        <v>175</v>
      </c>
      <c r="D139" s="1996"/>
      <c r="E139" s="1996"/>
      <c r="F139" s="1918" t="s">
        <v>1959</v>
      </c>
      <c r="G139" s="1918"/>
      <c r="H139" s="1918"/>
      <c r="I139" s="1918"/>
      <c r="J139" s="1918"/>
      <c r="K139" s="1918"/>
      <c r="L139" s="1918"/>
      <c r="M139" s="1918"/>
      <c r="N139" s="1918"/>
      <c r="O139" s="1918"/>
      <c r="P139" s="1918"/>
      <c r="Q139" s="2002">
        <v>55</v>
      </c>
      <c r="R139" s="2002"/>
      <c r="S139" s="2002"/>
      <c r="T139" s="2003"/>
      <c r="U139" s="2003"/>
      <c r="V139" s="2003"/>
      <c r="W139" s="2003"/>
      <c r="X139" s="2003"/>
      <c r="Y139" s="2003"/>
      <c r="Z139" s="2003"/>
      <c r="AA139" s="2003"/>
      <c r="AB139" s="2004">
        <v>0</v>
      </c>
      <c r="AC139" s="2005"/>
      <c r="AD139" s="2005"/>
      <c r="AE139" s="2005"/>
      <c r="AF139" s="2005"/>
      <c r="AG139" s="2006"/>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980" t="s">
        <v>1960</v>
      </c>
      <c r="D141" s="1981"/>
      <c r="E141" s="1981"/>
      <c r="F141" s="1981"/>
      <c r="G141" s="1981"/>
      <c r="H141" s="1981"/>
      <c r="I141" s="1981"/>
      <c r="J141" s="1981"/>
      <c r="K141" s="1981"/>
      <c r="L141" s="1981"/>
      <c r="M141" s="1981"/>
      <c r="N141" s="1982"/>
      <c r="O141" s="1086"/>
      <c r="P141" s="1983" t="s">
        <v>1961</v>
      </c>
      <c r="Q141" s="1984"/>
      <c r="R141" s="1984"/>
      <c r="S141" s="1984"/>
      <c r="T141" s="1984"/>
      <c r="U141" s="1984"/>
      <c r="V141" s="1984"/>
      <c r="W141" s="1984"/>
      <c r="X141" s="1984"/>
      <c r="Y141" s="1984"/>
      <c r="Z141" s="1984"/>
      <c r="AA141" s="1984"/>
      <c r="AB141" s="1984"/>
      <c r="AC141" s="1984"/>
      <c r="AD141" s="1984"/>
      <c r="AE141" s="1984"/>
      <c r="AF141" s="1984"/>
      <c r="AG141" s="1984"/>
      <c r="AH141" s="1984"/>
      <c r="AI141" s="1984"/>
      <c r="AJ141" s="1984"/>
      <c r="AK141" s="1984"/>
      <c r="AL141" s="1984"/>
      <c r="AM141" s="1984"/>
      <c r="AN141" s="1984"/>
      <c r="AO141" s="1985"/>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1986" t="s">
        <v>1962</v>
      </c>
      <c r="D142" s="1987"/>
      <c r="E142" s="1987"/>
      <c r="F142" s="1987"/>
      <c r="G142" s="1987"/>
      <c r="H142" s="1988"/>
      <c r="I142" s="1986" t="s">
        <v>1963</v>
      </c>
      <c r="J142" s="1987"/>
      <c r="K142" s="1987"/>
      <c r="L142" s="1987"/>
      <c r="M142" s="1987"/>
      <c r="N142" s="1988"/>
      <c r="O142" s="1086"/>
      <c r="P142" s="1989" t="s">
        <v>2323</v>
      </c>
      <c r="Q142" s="1990"/>
      <c r="R142" s="1990"/>
      <c r="S142" s="1990"/>
      <c r="T142" s="1990"/>
      <c r="U142" s="1990"/>
      <c r="V142" s="1990"/>
      <c r="W142" s="1990"/>
      <c r="X142" s="1990"/>
      <c r="Y142" s="1990"/>
      <c r="Z142" s="1990"/>
      <c r="AA142" s="1990"/>
      <c r="AB142" s="1990"/>
      <c r="AC142" s="1990"/>
      <c r="AD142" s="1990"/>
      <c r="AE142" s="1990"/>
      <c r="AF142" s="1990"/>
      <c r="AG142" s="1990"/>
      <c r="AH142" s="1990"/>
      <c r="AI142" s="1990"/>
      <c r="AJ142" s="1990"/>
      <c r="AK142" s="1990"/>
      <c r="AL142" s="1990"/>
      <c r="AM142" s="1990"/>
      <c r="AN142" s="1990"/>
      <c r="AO142" s="1991"/>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70"/>
      <c r="D143" s="1970"/>
      <c r="E143" s="1970"/>
      <c r="F143" s="1970"/>
      <c r="G143" s="1970"/>
      <c r="H143" s="1970"/>
      <c r="I143" s="1971"/>
      <c r="J143" s="1971"/>
      <c r="K143" s="1971"/>
      <c r="L143" s="1971"/>
      <c r="M143" s="1971"/>
      <c r="N143" s="1971"/>
      <c r="O143" s="1086"/>
      <c r="P143" s="1989"/>
      <c r="Q143" s="1990"/>
      <c r="R143" s="1990"/>
      <c r="S143" s="1990"/>
      <c r="T143" s="1990"/>
      <c r="U143" s="1990"/>
      <c r="V143" s="1990"/>
      <c r="W143" s="1990"/>
      <c r="X143" s="1990"/>
      <c r="Y143" s="1990"/>
      <c r="Z143" s="1990"/>
      <c r="AA143" s="1990"/>
      <c r="AB143" s="1990"/>
      <c r="AC143" s="1990"/>
      <c r="AD143" s="1990"/>
      <c r="AE143" s="1990"/>
      <c r="AF143" s="1990"/>
      <c r="AG143" s="1990"/>
      <c r="AH143" s="1990"/>
      <c r="AI143" s="1990"/>
      <c r="AJ143" s="1990"/>
      <c r="AK143" s="1990"/>
      <c r="AL143" s="1990"/>
      <c r="AM143" s="1990"/>
      <c r="AN143" s="1990"/>
      <c r="AO143" s="1991"/>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70"/>
      <c r="D144" s="1970"/>
      <c r="E144" s="1970"/>
      <c r="F144" s="1970"/>
      <c r="G144" s="1970"/>
      <c r="H144" s="1970"/>
      <c r="I144" s="1971"/>
      <c r="J144" s="1971"/>
      <c r="K144" s="1971"/>
      <c r="L144" s="1971"/>
      <c r="M144" s="1971"/>
      <c r="N144" s="1971"/>
      <c r="O144" s="1086"/>
      <c r="P144" s="1989"/>
      <c r="Q144" s="1990"/>
      <c r="R144" s="1990"/>
      <c r="S144" s="1990"/>
      <c r="T144" s="1990"/>
      <c r="U144" s="1990"/>
      <c r="V144" s="1990"/>
      <c r="W144" s="1990"/>
      <c r="X144" s="1990"/>
      <c r="Y144" s="1990"/>
      <c r="Z144" s="1990"/>
      <c r="AA144" s="1990"/>
      <c r="AB144" s="1990"/>
      <c r="AC144" s="1990"/>
      <c r="AD144" s="1990"/>
      <c r="AE144" s="1990"/>
      <c r="AF144" s="1990"/>
      <c r="AG144" s="1990"/>
      <c r="AH144" s="1990"/>
      <c r="AI144" s="1990"/>
      <c r="AJ144" s="1990"/>
      <c r="AK144" s="1990"/>
      <c r="AL144" s="1990"/>
      <c r="AM144" s="1990"/>
      <c r="AN144" s="1990"/>
      <c r="AO144" s="1991"/>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70"/>
      <c r="D145" s="1970"/>
      <c r="E145" s="1970"/>
      <c r="F145" s="1970"/>
      <c r="G145" s="1970"/>
      <c r="H145" s="1970"/>
      <c r="I145" s="1971"/>
      <c r="J145" s="1971"/>
      <c r="K145" s="1971"/>
      <c r="L145" s="1971"/>
      <c r="M145" s="1971"/>
      <c r="N145" s="1971"/>
      <c r="O145" s="1086"/>
      <c r="P145" s="1989"/>
      <c r="Q145" s="1990"/>
      <c r="R145" s="1990"/>
      <c r="S145" s="1990"/>
      <c r="T145" s="1990"/>
      <c r="U145" s="1990"/>
      <c r="V145" s="1990"/>
      <c r="W145" s="1990"/>
      <c r="X145" s="1990"/>
      <c r="Y145" s="1990"/>
      <c r="Z145" s="1990"/>
      <c r="AA145" s="1990"/>
      <c r="AB145" s="1990"/>
      <c r="AC145" s="1990"/>
      <c r="AD145" s="1990"/>
      <c r="AE145" s="1990"/>
      <c r="AF145" s="1990"/>
      <c r="AG145" s="1990"/>
      <c r="AH145" s="1990"/>
      <c r="AI145" s="1990"/>
      <c r="AJ145" s="1990"/>
      <c r="AK145" s="1990"/>
      <c r="AL145" s="1990"/>
      <c r="AM145" s="1990"/>
      <c r="AN145" s="1990"/>
      <c r="AO145" s="1991"/>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70"/>
      <c r="D146" s="1970"/>
      <c r="E146" s="1970"/>
      <c r="F146" s="1970"/>
      <c r="G146" s="1970"/>
      <c r="H146" s="1970"/>
      <c r="I146" s="1971"/>
      <c r="J146" s="1971"/>
      <c r="K146" s="1971"/>
      <c r="L146" s="1971"/>
      <c r="M146" s="1971"/>
      <c r="N146" s="1971"/>
      <c r="O146" s="1086"/>
      <c r="P146" s="1989"/>
      <c r="Q146" s="1990"/>
      <c r="R146" s="1990"/>
      <c r="S146" s="1990"/>
      <c r="T146" s="1990"/>
      <c r="U146" s="1990"/>
      <c r="V146" s="1990"/>
      <c r="W146" s="1990"/>
      <c r="X146" s="1990"/>
      <c r="Y146" s="1990"/>
      <c r="Z146" s="1990"/>
      <c r="AA146" s="1990"/>
      <c r="AB146" s="1990"/>
      <c r="AC146" s="1990"/>
      <c r="AD146" s="1990"/>
      <c r="AE146" s="1990"/>
      <c r="AF146" s="1990"/>
      <c r="AG146" s="1990"/>
      <c r="AH146" s="1990"/>
      <c r="AI146" s="1990"/>
      <c r="AJ146" s="1990"/>
      <c r="AK146" s="1990"/>
      <c r="AL146" s="1990"/>
      <c r="AM146" s="1990"/>
      <c r="AN146" s="1990"/>
      <c r="AO146" s="1991"/>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70"/>
      <c r="D147" s="1970"/>
      <c r="E147" s="1970"/>
      <c r="F147" s="1970"/>
      <c r="G147" s="1970"/>
      <c r="H147" s="1970"/>
      <c r="I147" s="1971"/>
      <c r="J147" s="1971"/>
      <c r="K147" s="1971"/>
      <c r="L147" s="1971"/>
      <c r="M147" s="1971"/>
      <c r="N147" s="1971"/>
      <c r="O147" s="1086"/>
      <c r="P147" s="1989"/>
      <c r="Q147" s="1990"/>
      <c r="R147" s="1990"/>
      <c r="S147" s="1990"/>
      <c r="T147" s="1990"/>
      <c r="U147" s="1990"/>
      <c r="V147" s="1990"/>
      <c r="W147" s="1990"/>
      <c r="X147" s="1990"/>
      <c r="Y147" s="1990"/>
      <c r="Z147" s="1990"/>
      <c r="AA147" s="1990"/>
      <c r="AB147" s="1990"/>
      <c r="AC147" s="1990"/>
      <c r="AD147" s="1990"/>
      <c r="AE147" s="1990"/>
      <c r="AF147" s="1990"/>
      <c r="AG147" s="1990"/>
      <c r="AH147" s="1990"/>
      <c r="AI147" s="1990"/>
      <c r="AJ147" s="1990"/>
      <c r="AK147" s="1990"/>
      <c r="AL147" s="1990"/>
      <c r="AM147" s="1990"/>
      <c r="AN147" s="1990"/>
      <c r="AO147" s="1991"/>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70"/>
      <c r="D148" s="1970"/>
      <c r="E148" s="1970"/>
      <c r="F148" s="1970"/>
      <c r="G148" s="1970"/>
      <c r="H148" s="1970"/>
      <c r="I148" s="1971"/>
      <c r="J148" s="1971"/>
      <c r="K148" s="1971"/>
      <c r="L148" s="1971"/>
      <c r="M148" s="1971"/>
      <c r="N148" s="1971"/>
      <c r="O148" s="1086"/>
      <c r="P148" s="1989"/>
      <c r="Q148" s="1990"/>
      <c r="R148" s="1990"/>
      <c r="S148" s="1990"/>
      <c r="T148" s="1990"/>
      <c r="U148" s="1990"/>
      <c r="V148" s="1990"/>
      <c r="W148" s="1990"/>
      <c r="X148" s="1990"/>
      <c r="Y148" s="1990"/>
      <c r="Z148" s="1990"/>
      <c r="AA148" s="1990"/>
      <c r="AB148" s="1990"/>
      <c r="AC148" s="1990"/>
      <c r="AD148" s="1990"/>
      <c r="AE148" s="1990"/>
      <c r="AF148" s="1990"/>
      <c r="AG148" s="1990"/>
      <c r="AH148" s="1990"/>
      <c r="AI148" s="1990"/>
      <c r="AJ148" s="1990"/>
      <c r="AK148" s="1990"/>
      <c r="AL148" s="1990"/>
      <c r="AM148" s="1990"/>
      <c r="AN148" s="1990"/>
      <c r="AO148" s="1991"/>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70"/>
      <c r="D149" s="1970"/>
      <c r="E149" s="1970"/>
      <c r="F149" s="1970"/>
      <c r="G149" s="1970"/>
      <c r="H149" s="1970"/>
      <c r="I149" s="1971"/>
      <c r="J149" s="1971"/>
      <c r="K149" s="1971"/>
      <c r="L149" s="1971"/>
      <c r="M149" s="1971"/>
      <c r="N149" s="1971"/>
      <c r="O149" s="1086"/>
      <c r="P149" s="1992"/>
      <c r="Q149" s="1993"/>
      <c r="R149" s="1993"/>
      <c r="S149" s="1993"/>
      <c r="T149" s="1993"/>
      <c r="U149" s="1993"/>
      <c r="V149" s="1993"/>
      <c r="W149" s="1993"/>
      <c r="X149" s="1993"/>
      <c r="Y149" s="1993"/>
      <c r="Z149" s="1993"/>
      <c r="AA149" s="1993"/>
      <c r="AB149" s="1993"/>
      <c r="AC149" s="1993"/>
      <c r="AD149" s="1993"/>
      <c r="AE149" s="1993"/>
      <c r="AF149" s="1993"/>
      <c r="AG149" s="1993"/>
      <c r="AH149" s="1993"/>
      <c r="AI149" s="1993"/>
      <c r="AJ149" s="1993"/>
      <c r="AK149" s="1993"/>
      <c r="AL149" s="1993"/>
      <c r="AM149" s="1993"/>
      <c r="AN149" s="1993"/>
      <c r="AO149" s="1994"/>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2313</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72"/>
      <c r="D153" s="1973"/>
      <c r="E153" s="1973"/>
      <c r="F153" s="1973"/>
      <c r="G153" s="1973"/>
      <c r="H153" s="1973"/>
      <c r="I153" s="1973"/>
      <c r="J153" s="1973"/>
      <c r="K153" s="1973"/>
      <c r="L153" s="1973"/>
      <c r="M153" s="1974"/>
      <c r="N153" s="1975" t="s">
        <v>1964</v>
      </c>
      <c r="O153" s="1975"/>
      <c r="P153" s="1975"/>
      <c r="Q153" s="1975"/>
      <c r="R153" s="1975"/>
      <c r="S153" s="1975"/>
      <c r="T153" s="1976"/>
      <c r="U153" s="1977" t="s">
        <v>1953</v>
      </c>
      <c r="V153" s="1978"/>
      <c r="W153" s="1978"/>
      <c r="X153" s="1978"/>
      <c r="Y153" s="1978"/>
      <c r="Z153" s="1978"/>
      <c r="AA153" s="1978"/>
      <c r="AB153" s="1978"/>
      <c r="AC153" s="1978"/>
      <c r="AD153" s="1978"/>
      <c r="AE153" s="1979"/>
      <c r="AF153" s="1086"/>
      <c r="AG153" s="1086"/>
      <c r="AH153" s="1939" t="s">
        <v>1965</v>
      </c>
      <c r="AI153" s="1940"/>
      <c r="AJ153" s="1940"/>
      <c r="AK153" s="1940"/>
      <c r="AL153" s="1940"/>
      <c r="AM153" s="1940"/>
      <c r="AN153" s="1940"/>
      <c r="AO153" s="1940"/>
      <c r="AP153" s="1940"/>
      <c r="AQ153" s="1940"/>
      <c r="AR153" s="1940"/>
      <c r="AS153" s="1954">
        <v>6500000</v>
      </c>
      <c r="AT153" s="1954"/>
      <c r="AU153" s="1954"/>
      <c r="AV153" s="1954"/>
      <c r="AW153" s="1954"/>
      <c r="AX153" s="1086"/>
      <c r="AY153" s="1086"/>
      <c r="AZ153" s="1086"/>
      <c r="BA153" s="1086"/>
      <c r="BB153" s="1086"/>
      <c r="BC153" s="1086"/>
      <c r="BD153" s="1086"/>
      <c r="BE153" s="1092"/>
    </row>
    <row r="154" spans="1:57" ht="15.75" customHeight="1">
      <c r="A154" s="1086"/>
      <c r="B154" s="1086"/>
      <c r="C154" s="1948" t="s">
        <v>1966</v>
      </c>
      <c r="D154" s="1949"/>
      <c r="E154" s="1949"/>
      <c r="F154" s="1949"/>
      <c r="G154" s="1949"/>
      <c r="H154" s="1949"/>
      <c r="I154" s="1949"/>
      <c r="J154" s="1949"/>
      <c r="K154" s="1949"/>
      <c r="L154" s="1949"/>
      <c r="M154" s="1950"/>
      <c r="N154" s="1951">
        <f>'Sources and Uses Budget'!B105</f>
        <v>48393257</v>
      </c>
      <c r="O154" s="1951"/>
      <c r="P154" s="1951"/>
      <c r="Q154" s="1951"/>
      <c r="R154" s="1951"/>
      <c r="S154" s="1951"/>
      <c r="T154" s="1952"/>
      <c r="U154" s="1961"/>
      <c r="V154" s="1962"/>
      <c r="W154" s="1962"/>
      <c r="X154" s="1962"/>
      <c r="Y154" s="1962"/>
      <c r="Z154" s="1962"/>
      <c r="AA154" s="1962"/>
      <c r="AB154" s="1962"/>
      <c r="AC154" s="1962"/>
      <c r="AD154" s="1962"/>
      <c r="AE154" s="1967"/>
      <c r="AF154" s="1086"/>
      <c r="AG154" s="1086"/>
      <c r="AH154" s="1968" t="s">
        <v>1967</v>
      </c>
      <c r="AI154" s="1969"/>
      <c r="AJ154" s="1969"/>
      <c r="AK154" s="1969"/>
      <c r="AL154" s="1969"/>
      <c r="AM154" s="1969"/>
      <c r="AN154" s="1969"/>
      <c r="AO154" s="1969"/>
      <c r="AP154" s="1969"/>
      <c r="AQ154" s="1969"/>
      <c r="AR154" s="1969"/>
      <c r="AS154" s="1954">
        <v>0</v>
      </c>
      <c r="AT154" s="1954"/>
      <c r="AU154" s="1954"/>
      <c r="AV154" s="1954"/>
      <c r="AW154" s="1954"/>
      <c r="AX154" s="1086"/>
      <c r="AY154" s="1086"/>
      <c r="AZ154" s="1086"/>
      <c r="BA154" s="1086"/>
      <c r="BB154" s="1086"/>
      <c r="BC154" s="1086"/>
      <c r="BD154" s="1086"/>
      <c r="BE154" s="1092"/>
    </row>
    <row r="155" spans="1:57" ht="15.75" customHeight="1">
      <c r="A155" s="1086"/>
      <c r="B155" s="1086"/>
      <c r="C155" s="1948" t="s">
        <v>1968</v>
      </c>
      <c r="D155" s="1949"/>
      <c r="E155" s="1949"/>
      <c r="F155" s="1949"/>
      <c r="G155" s="1949"/>
      <c r="H155" s="1949"/>
      <c r="I155" s="1949"/>
      <c r="J155" s="1949"/>
      <c r="K155" s="1949"/>
      <c r="L155" s="1949"/>
      <c r="M155" s="1950"/>
      <c r="N155" s="1951">
        <f>N154/J29</f>
        <v>645243.42666666664</v>
      </c>
      <c r="O155" s="1951"/>
      <c r="P155" s="1951"/>
      <c r="Q155" s="1951"/>
      <c r="R155" s="1951"/>
      <c r="S155" s="1951"/>
      <c r="T155" s="1952"/>
      <c r="U155" s="1109"/>
      <c r="V155" s="1109"/>
      <c r="W155" s="1109"/>
      <c r="X155" s="1109"/>
      <c r="Y155" s="1109"/>
      <c r="Z155" s="1109"/>
      <c r="AA155" s="1109"/>
      <c r="AB155" s="1109"/>
      <c r="AC155" s="1109"/>
      <c r="AD155" s="1109"/>
      <c r="AE155" s="1110"/>
      <c r="AF155" s="1086"/>
      <c r="AG155" s="1086"/>
      <c r="AH155" s="1936" t="s">
        <v>1969</v>
      </c>
      <c r="AI155" s="1937"/>
      <c r="AJ155" s="1937"/>
      <c r="AK155" s="1937"/>
      <c r="AL155" s="1937"/>
      <c r="AM155" s="1937"/>
      <c r="AN155" s="1937"/>
      <c r="AO155" s="1937"/>
      <c r="AP155" s="1937"/>
      <c r="AQ155" s="1937"/>
      <c r="AR155" s="1953"/>
      <c r="AS155" s="1954">
        <v>2500000</v>
      </c>
      <c r="AT155" s="1954"/>
      <c r="AU155" s="1954"/>
      <c r="AV155" s="1954"/>
      <c r="AW155" s="1954"/>
      <c r="AX155" s="1086"/>
      <c r="AY155" s="1086"/>
      <c r="AZ155" s="1086"/>
      <c r="BA155" s="1086"/>
      <c r="BB155" s="1086"/>
      <c r="BC155" s="1086"/>
      <c r="BD155" s="1086"/>
      <c r="BE155" s="1092"/>
    </row>
    <row r="156" spans="1:57" ht="15.75" customHeight="1">
      <c r="A156" s="1086"/>
      <c r="B156" s="1086"/>
      <c r="C156" s="1955" t="s">
        <v>1970</v>
      </c>
      <c r="D156" s="1956"/>
      <c r="E156" s="1956"/>
      <c r="F156" s="1956"/>
      <c r="G156" s="1956"/>
      <c r="H156" s="1956"/>
      <c r="I156" s="1956"/>
      <c r="J156" s="1956"/>
      <c r="K156" s="1956"/>
      <c r="L156" s="1956"/>
      <c r="M156" s="1957"/>
      <c r="N156" s="1958">
        <v>0</v>
      </c>
      <c r="O156" s="1958"/>
      <c r="P156" s="1958"/>
      <c r="Q156" s="1958"/>
      <c r="R156" s="1958"/>
      <c r="S156" s="1958"/>
      <c r="T156" s="1959"/>
      <c r="U156" s="1925"/>
      <c r="V156" s="1926"/>
      <c r="W156" s="1926"/>
      <c r="X156" s="1926"/>
      <c r="Y156" s="1926"/>
      <c r="Z156" s="1926"/>
      <c r="AA156" s="1926"/>
      <c r="AB156" s="1926"/>
      <c r="AC156" s="1926"/>
      <c r="AD156" s="1926"/>
      <c r="AE156" s="1960"/>
      <c r="AF156" s="1086"/>
      <c r="AG156" s="1086"/>
      <c r="AH156" s="1961"/>
      <c r="AI156" s="1962"/>
      <c r="AJ156" s="1962"/>
      <c r="AK156" s="1962"/>
      <c r="AL156" s="1962"/>
      <c r="AM156" s="1962"/>
      <c r="AN156" s="1962"/>
      <c r="AO156" s="1962"/>
      <c r="AP156" s="1962"/>
      <c r="AQ156" s="1962"/>
      <c r="AR156" s="1963"/>
      <c r="AS156" s="1964"/>
      <c r="AT156" s="1965"/>
      <c r="AU156" s="1965"/>
      <c r="AV156" s="1965"/>
      <c r="AW156" s="1966"/>
      <c r="AX156" s="1086"/>
      <c r="AY156" s="1086"/>
      <c r="AZ156" s="1086"/>
      <c r="BA156" s="1086"/>
      <c r="BB156" s="1086"/>
      <c r="BC156" s="1086"/>
      <c r="BD156" s="1086"/>
      <c r="BE156" s="1092"/>
    </row>
    <row r="157" spans="1:57" ht="15.75" customHeight="1" thickBot="1">
      <c r="A157" s="1086"/>
      <c r="B157" s="1086"/>
      <c r="C157" s="1936" t="s">
        <v>1971</v>
      </c>
      <c r="D157" s="1937"/>
      <c r="E157" s="1937"/>
      <c r="F157" s="1937"/>
      <c r="G157" s="1937"/>
      <c r="H157" s="1937"/>
      <c r="I157" s="1937"/>
      <c r="J157" s="1937"/>
      <c r="K157" s="1937"/>
      <c r="L157" s="1937"/>
      <c r="M157" s="1938"/>
      <c r="N157" s="1943">
        <f>SUM('Sources and Uses Budget'!B85:B86)</f>
        <v>4225000</v>
      </c>
      <c r="O157" s="1943"/>
      <c r="P157" s="1943"/>
      <c r="Q157" s="1943"/>
      <c r="R157" s="1943"/>
      <c r="S157" s="1943"/>
      <c r="T157" s="1944"/>
      <c r="U157" s="1931"/>
      <c r="V157" s="1932"/>
      <c r="W157" s="1932"/>
      <c r="X157" s="1932"/>
      <c r="Y157" s="1932"/>
      <c r="Z157" s="1932"/>
      <c r="AA157" s="1932"/>
      <c r="AB157" s="1932"/>
      <c r="AC157" s="1932"/>
      <c r="AD157" s="1932"/>
      <c r="AE157" s="1933"/>
      <c r="AF157" s="1086"/>
      <c r="AG157" s="1086"/>
      <c r="AH157" s="1945" t="s">
        <v>2333</v>
      </c>
      <c r="AI157" s="1946"/>
      <c r="AJ157" s="1946"/>
      <c r="AK157" s="1946"/>
      <c r="AL157" s="1946"/>
      <c r="AM157" s="1946"/>
      <c r="AN157" s="1946"/>
      <c r="AO157" s="1946"/>
      <c r="AP157" s="1946"/>
      <c r="AQ157" s="1946"/>
      <c r="AR157" s="1946"/>
      <c r="AS157" s="1947">
        <f>SUM(AS153:AW155)</f>
        <v>9000000</v>
      </c>
      <c r="AT157" s="1947"/>
      <c r="AU157" s="1947"/>
      <c r="AV157" s="1947"/>
      <c r="AW157" s="1947"/>
      <c r="AX157" s="1086"/>
      <c r="AY157" s="1086"/>
      <c r="AZ157" s="1086"/>
      <c r="BA157" s="1086"/>
      <c r="BB157" s="1086"/>
      <c r="BC157" s="1086"/>
      <c r="BD157" s="1086"/>
      <c r="BE157" s="1092"/>
    </row>
    <row r="158" spans="1:57" ht="15.75" customHeight="1" thickBot="1">
      <c r="A158" s="1086"/>
      <c r="B158" s="1086"/>
      <c r="C158" s="1936" t="s">
        <v>1973</v>
      </c>
      <c r="D158" s="1937"/>
      <c r="E158" s="1937"/>
      <c r="F158" s="1937"/>
      <c r="G158" s="1937"/>
      <c r="H158" s="1937"/>
      <c r="I158" s="1937"/>
      <c r="J158" s="1937"/>
      <c r="K158" s="1937"/>
      <c r="L158" s="1937"/>
      <c r="M158" s="1938"/>
      <c r="N158" s="1943">
        <f>'Sources and Uses Budget'!B8</f>
        <v>2710000</v>
      </c>
      <c r="O158" s="1943"/>
      <c r="P158" s="1943"/>
      <c r="Q158" s="1943"/>
      <c r="R158" s="1943"/>
      <c r="S158" s="1943"/>
      <c r="T158" s="1944"/>
      <c r="U158" s="1931"/>
      <c r="V158" s="1932"/>
      <c r="W158" s="1932"/>
      <c r="X158" s="1932"/>
      <c r="Y158" s="1932"/>
      <c r="Z158" s="1932"/>
      <c r="AA158" s="1932"/>
      <c r="AB158" s="1932"/>
      <c r="AC158" s="1932"/>
      <c r="AD158" s="1932"/>
      <c r="AE158" s="1933"/>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36" t="s">
        <v>1974</v>
      </c>
      <c r="D159" s="1937"/>
      <c r="E159" s="1937"/>
      <c r="F159" s="1937"/>
      <c r="G159" s="1937"/>
      <c r="H159" s="1937"/>
      <c r="I159" s="1937"/>
      <c r="J159" s="1937"/>
      <c r="K159" s="1937"/>
      <c r="L159" s="1937"/>
      <c r="M159" s="1938"/>
      <c r="N159" s="1929">
        <v>0</v>
      </c>
      <c r="O159" s="1929"/>
      <c r="P159" s="1929"/>
      <c r="Q159" s="1929"/>
      <c r="R159" s="1929"/>
      <c r="S159" s="1929"/>
      <c r="T159" s="1930"/>
      <c r="U159" s="1931"/>
      <c r="V159" s="1932"/>
      <c r="W159" s="1932"/>
      <c r="X159" s="1932"/>
      <c r="Y159" s="1932"/>
      <c r="Z159" s="1932"/>
      <c r="AA159" s="1932"/>
      <c r="AB159" s="1932"/>
      <c r="AC159" s="1932"/>
      <c r="AD159" s="1932"/>
      <c r="AE159" s="1933"/>
      <c r="AF159" s="1086"/>
      <c r="AG159" s="1086"/>
      <c r="AH159" s="1939" t="s">
        <v>2334</v>
      </c>
      <c r="AI159" s="1940"/>
      <c r="AJ159" s="1940"/>
      <c r="AK159" s="1940"/>
      <c r="AL159" s="1940"/>
      <c r="AM159" s="1940"/>
      <c r="AN159" s="1940"/>
      <c r="AO159" s="1940"/>
      <c r="AP159" s="1940"/>
      <c r="AQ159" s="1940"/>
      <c r="AR159" s="1940"/>
      <c r="AS159" s="1941" t="s">
        <v>2335</v>
      </c>
      <c r="AT159" s="1941"/>
      <c r="AU159" s="1941"/>
      <c r="AV159" s="1941"/>
      <c r="AW159" s="1941"/>
      <c r="AX159" s="1941"/>
      <c r="AY159" s="1941" t="s">
        <v>2336</v>
      </c>
      <c r="AZ159" s="1941"/>
      <c r="BA159" s="1941"/>
      <c r="BB159" s="1941"/>
      <c r="BC159" s="1941"/>
      <c r="BD159" s="1942"/>
      <c r="BE159" s="1092"/>
    </row>
    <row r="160" spans="1:57" ht="15.75" customHeight="1">
      <c r="A160" s="1086"/>
      <c r="B160" s="1086"/>
      <c r="C160" s="1936" t="s">
        <v>1967</v>
      </c>
      <c r="D160" s="1937"/>
      <c r="E160" s="1937"/>
      <c r="F160" s="1937"/>
      <c r="G160" s="1937"/>
      <c r="H160" s="1937"/>
      <c r="I160" s="1937"/>
      <c r="J160" s="1937"/>
      <c r="K160" s="1937"/>
      <c r="L160" s="1937"/>
      <c r="M160" s="1938"/>
      <c r="N160" s="1929">
        <v>0</v>
      </c>
      <c r="O160" s="1929"/>
      <c r="P160" s="1929"/>
      <c r="Q160" s="1929"/>
      <c r="R160" s="1929"/>
      <c r="S160" s="1929"/>
      <c r="T160" s="1930"/>
      <c r="U160" s="1931"/>
      <c r="V160" s="1932"/>
      <c r="W160" s="1932"/>
      <c r="X160" s="1932"/>
      <c r="Y160" s="1932"/>
      <c r="Z160" s="1932"/>
      <c r="AA160" s="1932"/>
      <c r="AB160" s="1932"/>
      <c r="AC160" s="1932"/>
      <c r="AD160" s="1932"/>
      <c r="AE160" s="1933"/>
      <c r="AF160" s="1086"/>
      <c r="AG160" s="1086"/>
      <c r="AH160" s="1902" t="s">
        <v>2337</v>
      </c>
      <c r="AI160" s="1903"/>
      <c r="AJ160" s="1903"/>
      <c r="AK160" s="1903"/>
      <c r="AL160" s="1903"/>
      <c r="AM160" s="1903"/>
      <c r="AN160" s="1903"/>
      <c r="AO160" s="1903"/>
      <c r="AP160" s="1903"/>
      <c r="AQ160" s="1903"/>
      <c r="AR160" s="1903"/>
      <c r="AS160" s="1904">
        <v>1000000</v>
      </c>
      <c r="AT160" s="1904"/>
      <c r="AU160" s="1904"/>
      <c r="AV160" s="1904"/>
      <c r="AW160" s="1904"/>
      <c r="AX160" s="1904"/>
      <c r="AY160" s="1904">
        <v>500000</v>
      </c>
      <c r="AZ160" s="1904"/>
      <c r="BA160" s="1904"/>
      <c r="BB160" s="1904"/>
      <c r="BC160" s="1904"/>
      <c r="BD160" s="1905"/>
      <c r="BE160" s="1092"/>
    </row>
    <row r="161" spans="1:57" ht="15.75" customHeight="1">
      <c r="A161" s="1086"/>
      <c r="B161" s="1086"/>
      <c r="C161" s="1934" t="s">
        <v>306</v>
      </c>
      <c r="D161" s="1935"/>
      <c r="E161" s="1927" t="s">
        <v>1959</v>
      </c>
      <c r="F161" s="1927"/>
      <c r="G161" s="1927"/>
      <c r="H161" s="1927"/>
      <c r="I161" s="1927"/>
      <c r="J161" s="1927"/>
      <c r="K161" s="1927"/>
      <c r="L161" s="1927"/>
      <c r="M161" s="1928"/>
      <c r="N161" s="1929">
        <v>0</v>
      </c>
      <c r="O161" s="1929"/>
      <c r="P161" s="1929"/>
      <c r="Q161" s="1929"/>
      <c r="R161" s="1929"/>
      <c r="S161" s="1929"/>
      <c r="T161" s="1930"/>
      <c r="U161" s="1931"/>
      <c r="V161" s="1932"/>
      <c r="W161" s="1932"/>
      <c r="X161" s="1932"/>
      <c r="Y161" s="1932"/>
      <c r="Z161" s="1932"/>
      <c r="AA161" s="1932"/>
      <c r="AB161" s="1932"/>
      <c r="AC161" s="1932"/>
      <c r="AD161" s="1932"/>
      <c r="AE161" s="1933"/>
      <c r="AF161" s="1086"/>
      <c r="AG161" s="1086"/>
      <c r="AH161" s="1902" t="s">
        <v>2338</v>
      </c>
      <c r="AI161" s="1903"/>
      <c r="AJ161" s="1903"/>
      <c r="AK161" s="1903"/>
      <c r="AL161" s="1903"/>
      <c r="AM161" s="1903"/>
      <c r="AN161" s="1903"/>
      <c r="AO161" s="1903"/>
      <c r="AP161" s="1903"/>
      <c r="AQ161" s="1903"/>
      <c r="AR161" s="1903"/>
      <c r="AS161" s="1904">
        <v>2000000</v>
      </c>
      <c r="AT161" s="1904"/>
      <c r="AU161" s="1904"/>
      <c r="AV161" s="1904"/>
      <c r="AW161" s="1904"/>
      <c r="AX161" s="1904"/>
      <c r="AY161" s="1904">
        <v>250000</v>
      </c>
      <c r="AZ161" s="1904"/>
      <c r="BA161" s="1904"/>
      <c r="BB161" s="1904"/>
      <c r="BC161" s="1904"/>
      <c r="BD161" s="1905"/>
      <c r="BE161" s="1092"/>
    </row>
    <row r="162" spans="1:57" ht="15.75" customHeight="1">
      <c r="A162" s="1086"/>
      <c r="B162" s="1086"/>
      <c r="C162" s="1925" t="s">
        <v>306</v>
      </c>
      <c r="D162" s="1926"/>
      <c r="E162" s="1927" t="s">
        <v>1959</v>
      </c>
      <c r="F162" s="1927"/>
      <c r="G162" s="1927"/>
      <c r="H162" s="1927"/>
      <c r="I162" s="1927"/>
      <c r="J162" s="1927"/>
      <c r="K162" s="1927"/>
      <c r="L162" s="1927"/>
      <c r="M162" s="1928"/>
      <c r="N162" s="1929">
        <v>0</v>
      </c>
      <c r="O162" s="1929"/>
      <c r="P162" s="1929"/>
      <c r="Q162" s="1929"/>
      <c r="R162" s="1929"/>
      <c r="S162" s="1929"/>
      <c r="T162" s="1930"/>
      <c r="U162" s="1931"/>
      <c r="V162" s="1932"/>
      <c r="W162" s="1932"/>
      <c r="X162" s="1932"/>
      <c r="Y162" s="1932"/>
      <c r="Z162" s="1932"/>
      <c r="AA162" s="1932"/>
      <c r="AB162" s="1932"/>
      <c r="AC162" s="1932"/>
      <c r="AD162" s="1932"/>
      <c r="AE162" s="1933"/>
      <c r="AF162" s="1086"/>
      <c r="AG162" s="1086"/>
      <c r="AH162" s="1902" t="s">
        <v>2339</v>
      </c>
      <c r="AI162" s="1903"/>
      <c r="AJ162" s="1903"/>
      <c r="AK162" s="1903"/>
      <c r="AL162" s="1903"/>
      <c r="AM162" s="1903"/>
      <c r="AN162" s="1903"/>
      <c r="AO162" s="1903"/>
      <c r="AP162" s="1903"/>
      <c r="AQ162" s="1903"/>
      <c r="AR162" s="1903"/>
      <c r="AS162" s="1904">
        <v>25000000</v>
      </c>
      <c r="AT162" s="1904"/>
      <c r="AU162" s="1904"/>
      <c r="AV162" s="1904"/>
      <c r="AW162" s="1904"/>
      <c r="AX162" s="1904"/>
      <c r="AY162" s="1904">
        <v>1500000</v>
      </c>
      <c r="AZ162" s="1904"/>
      <c r="BA162" s="1904"/>
      <c r="BB162" s="1904"/>
      <c r="BC162" s="1904"/>
      <c r="BD162" s="1905"/>
      <c r="BE162" s="1092"/>
    </row>
    <row r="163" spans="1:57" ht="15.75" customHeight="1" thickBot="1">
      <c r="A163" s="1086"/>
      <c r="B163" s="1086"/>
      <c r="C163" s="1916" t="s">
        <v>306</v>
      </c>
      <c r="D163" s="1917"/>
      <c r="E163" s="1918" t="s">
        <v>1959</v>
      </c>
      <c r="F163" s="1918"/>
      <c r="G163" s="1918"/>
      <c r="H163" s="1918"/>
      <c r="I163" s="1918"/>
      <c r="J163" s="1918"/>
      <c r="K163" s="1918"/>
      <c r="L163" s="1918"/>
      <c r="M163" s="1919"/>
      <c r="N163" s="1920">
        <v>0</v>
      </c>
      <c r="O163" s="1920"/>
      <c r="P163" s="1920"/>
      <c r="Q163" s="1920"/>
      <c r="R163" s="1920"/>
      <c r="S163" s="1920"/>
      <c r="T163" s="1921"/>
      <c r="U163" s="1922"/>
      <c r="V163" s="1923"/>
      <c r="W163" s="1923"/>
      <c r="X163" s="1923"/>
      <c r="Y163" s="1923"/>
      <c r="Z163" s="1923"/>
      <c r="AA163" s="1923"/>
      <c r="AB163" s="1923"/>
      <c r="AC163" s="1923"/>
      <c r="AD163" s="1923"/>
      <c r="AE163" s="1924"/>
      <c r="AF163" s="1086"/>
      <c r="AG163" s="1086"/>
      <c r="AH163" s="1902" t="s">
        <v>2340</v>
      </c>
      <c r="AI163" s="1903"/>
      <c r="AJ163" s="1903"/>
      <c r="AK163" s="1903"/>
      <c r="AL163" s="1903"/>
      <c r="AM163" s="1903"/>
      <c r="AN163" s="1903"/>
      <c r="AO163" s="1903"/>
      <c r="AP163" s="1903"/>
      <c r="AQ163" s="1903"/>
      <c r="AR163" s="1903"/>
      <c r="AS163" s="1904">
        <v>1500000</v>
      </c>
      <c r="AT163" s="1904"/>
      <c r="AU163" s="1904"/>
      <c r="AV163" s="1904"/>
      <c r="AW163" s="1904"/>
      <c r="AX163" s="1904"/>
      <c r="AY163" s="1904">
        <v>250000</v>
      </c>
      <c r="AZ163" s="1904"/>
      <c r="BA163" s="1904"/>
      <c r="BB163" s="1904"/>
      <c r="BC163" s="1904"/>
      <c r="BD163" s="1905"/>
      <c r="BE163" s="1092"/>
    </row>
    <row r="164" spans="1:57" ht="15.75" customHeight="1">
      <c r="A164" s="1086"/>
      <c r="B164" s="1086"/>
      <c r="C164" s="1910" t="s">
        <v>1975</v>
      </c>
      <c r="D164" s="1911"/>
      <c r="E164" s="1911"/>
      <c r="F164" s="1911"/>
      <c r="G164" s="1911"/>
      <c r="H164" s="1911"/>
      <c r="I164" s="1911"/>
      <c r="J164" s="1911"/>
      <c r="K164" s="1911"/>
      <c r="L164" s="1911"/>
      <c r="M164" s="1912"/>
      <c r="N164" s="1913">
        <f>SUM(N156:T163)</f>
        <v>6935000</v>
      </c>
      <c r="O164" s="1914"/>
      <c r="P164" s="1914"/>
      <c r="Q164" s="1914"/>
      <c r="R164" s="1914"/>
      <c r="S164" s="1914"/>
      <c r="T164" s="1915"/>
      <c r="U164" s="1086"/>
      <c r="V164" s="1086"/>
      <c r="W164" s="1086"/>
      <c r="X164" s="1086"/>
      <c r="Y164" s="1086"/>
      <c r="Z164" s="1086"/>
      <c r="AA164" s="1086"/>
      <c r="AB164" s="1086"/>
      <c r="AC164" s="1086"/>
      <c r="AD164" s="1086"/>
      <c r="AE164" s="1086"/>
      <c r="AF164" s="1086"/>
      <c r="AG164" s="1086"/>
      <c r="AH164" s="1902" t="s">
        <v>2341</v>
      </c>
      <c r="AI164" s="1903"/>
      <c r="AJ164" s="1903"/>
      <c r="AK164" s="1903"/>
      <c r="AL164" s="1903"/>
      <c r="AM164" s="1903"/>
      <c r="AN164" s="1903"/>
      <c r="AO164" s="1903"/>
      <c r="AP164" s="1903"/>
      <c r="AQ164" s="1903"/>
      <c r="AR164" s="1903"/>
      <c r="AS164" s="1904">
        <v>500000</v>
      </c>
      <c r="AT164" s="1904"/>
      <c r="AU164" s="1904"/>
      <c r="AV164" s="1904"/>
      <c r="AW164" s="1904"/>
      <c r="AX164" s="1904"/>
      <c r="AY164" s="1904">
        <v>0</v>
      </c>
      <c r="AZ164" s="1904"/>
      <c r="BA164" s="1904"/>
      <c r="BB164" s="1904"/>
      <c r="BC164" s="1904"/>
      <c r="BD164" s="1905"/>
      <c r="BE164" s="1092"/>
    </row>
    <row r="165" spans="1:57" ht="15.75" customHeight="1" thickBot="1">
      <c r="A165" s="1086"/>
      <c r="B165" s="1086"/>
      <c r="C165" s="1898" t="s">
        <v>1976</v>
      </c>
      <c r="D165" s="1899"/>
      <c r="E165" s="1899"/>
      <c r="F165" s="1899"/>
      <c r="G165" s="1899"/>
      <c r="H165" s="1899"/>
      <c r="I165" s="1899"/>
      <c r="J165" s="1899"/>
      <c r="K165" s="1899"/>
      <c r="L165" s="1899"/>
      <c r="M165" s="1899"/>
      <c r="N165" s="1900">
        <f>(N154-N164)/J29</f>
        <v>552776.76</v>
      </c>
      <c r="O165" s="1900"/>
      <c r="P165" s="1900"/>
      <c r="Q165" s="1900"/>
      <c r="R165" s="1900"/>
      <c r="S165" s="1900"/>
      <c r="T165" s="1901"/>
      <c r="U165" s="1093"/>
      <c r="V165" s="1086"/>
      <c r="W165" s="1086"/>
      <c r="X165" s="1086"/>
      <c r="Y165" s="1086"/>
      <c r="Z165" s="1086"/>
      <c r="AA165" s="1086"/>
      <c r="AB165" s="1086"/>
      <c r="AC165" s="1086"/>
      <c r="AD165" s="1086"/>
      <c r="AE165" s="1086"/>
      <c r="AF165" s="1086"/>
      <c r="AG165" s="1086"/>
      <c r="AH165" s="1902" t="s">
        <v>2342</v>
      </c>
      <c r="AI165" s="1903"/>
      <c r="AJ165" s="1903"/>
      <c r="AK165" s="1903"/>
      <c r="AL165" s="1903"/>
      <c r="AM165" s="1903"/>
      <c r="AN165" s="1903"/>
      <c r="AO165" s="1903"/>
      <c r="AP165" s="1903"/>
      <c r="AQ165" s="1903"/>
      <c r="AR165" s="1903"/>
      <c r="AS165" s="1904">
        <v>0</v>
      </c>
      <c r="AT165" s="1904"/>
      <c r="AU165" s="1904"/>
      <c r="AV165" s="1904"/>
      <c r="AW165" s="1904"/>
      <c r="AX165" s="1904"/>
      <c r="AY165" s="1904">
        <v>0</v>
      </c>
      <c r="AZ165" s="1904"/>
      <c r="BA165" s="1904"/>
      <c r="BB165" s="1904"/>
      <c r="BC165" s="1904"/>
      <c r="BD165" s="1905"/>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906" t="s">
        <v>1972</v>
      </c>
      <c r="AI166" s="1907"/>
      <c r="AJ166" s="1907"/>
      <c r="AK166" s="1907"/>
      <c r="AL166" s="1907"/>
      <c r="AM166" s="1907"/>
      <c r="AN166" s="1907"/>
      <c r="AO166" s="1907"/>
      <c r="AP166" s="1907"/>
      <c r="AQ166" s="1907"/>
      <c r="AR166" s="1907"/>
      <c r="AS166" s="1908">
        <f>SUM(AS160:AX165)</f>
        <v>30000000</v>
      </c>
      <c r="AT166" s="1908"/>
      <c r="AU166" s="1908"/>
      <c r="AV166" s="1908"/>
      <c r="AW166" s="1908"/>
      <c r="AX166" s="1908"/>
      <c r="AY166" s="1908">
        <f>SUM(AY160:BD165)</f>
        <v>2500000</v>
      </c>
      <c r="AZ166" s="1908"/>
      <c r="BA166" s="1908"/>
      <c r="BB166" s="1908"/>
      <c r="BC166" s="1908"/>
      <c r="BD166" s="1909"/>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885" t="s">
        <v>1977</v>
      </c>
      <c r="C168" s="1886"/>
      <c r="D168" s="1886"/>
      <c r="E168" s="1886"/>
      <c r="F168" s="1886"/>
      <c r="G168" s="1886"/>
      <c r="H168" s="1886"/>
      <c r="I168" s="1886"/>
      <c r="J168" s="1886"/>
      <c r="K168" s="1886"/>
      <c r="L168" s="1886"/>
      <c r="M168" s="1886"/>
      <c r="N168" s="1886"/>
      <c r="O168" s="1886"/>
      <c r="P168" s="1886"/>
      <c r="Q168" s="1886"/>
      <c r="R168" s="1886"/>
      <c r="S168" s="1886"/>
      <c r="T168" s="1886"/>
      <c r="U168" s="1886"/>
      <c r="V168" s="1886"/>
      <c r="W168" s="1886"/>
      <c r="X168" s="1886"/>
      <c r="Y168" s="1886"/>
      <c r="Z168" s="1886"/>
      <c r="AA168" s="1886"/>
      <c r="AB168" s="1886"/>
      <c r="AC168" s="1886"/>
      <c r="AD168" s="1886"/>
      <c r="AE168" s="1886"/>
      <c r="AF168" s="1886"/>
      <c r="AG168" s="1886"/>
      <c r="AH168" s="1886"/>
      <c r="AI168" s="1886"/>
      <c r="AJ168" s="1886"/>
      <c r="AK168" s="1886"/>
      <c r="AL168" s="1886"/>
      <c r="AM168" s="1886"/>
      <c r="AN168" s="1886"/>
      <c r="AO168" s="1886"/>
      <c r="AP168" s="1886"/>
      <c r="AQ168" s="1886"/>
      <c r="AR168" s="1886"/>
      <c r="AS168" s="1886"/>
      <c r="AT168" s="1886"/>
      <c r="AU168" s="1886"/>
      <c r="AV168" s="1886"/>
      <c r="AW168" s="1886"/>
      <c r="AX168" s="1886"/>
      <c r="AY168" s="1886"/>
      <c r="AZ168" s="1886"/>
      <c r="BA168" s="1886"/>
      <c r="BB168" s="1886"/>
      <c r="BC168" s="1886"/>
      <c r="BD168" s="1887"/>
      <c r="BE168" s="1092"/>
    </row>
    <row r="169" spans="1:57" ht="15.75" customHeight="1">
      <c r="A169" s="1086"/>
      <c r="B169" s="1888"/>
      <c r="C169" s="1889"/>
      <c r="D169" s="1889"/>
      <c r="E169" s="1889"/>
      <c r="F169" s="1889"/>
      <c r="G169" s="1889"/>
      <c r="H169" s="1889"/>
      <c r="I169" s="1889"/>
      <c r="J169" s="1889"/>
      <c r="K169" s="1889"/>
      <c r="L169" s="1889"/>
      <c r="M169" s="1889"/>
      <c r="N169" s="1889"/>
      <c r="O169" s="1889"/>
      <c r="P169" s="1889"/>
      <c r="Q169" s="1889"/>
      <c r="R169" s="1889"/>
      <c r="S169" s="1889"/>
      <c r="T169" s="1889"/>
      <c r="U169" s="1889"/>
      <c r="V169" s="1889"/>
      <c r="W169" s="1889"/>
      <c r="X169" s="1889"/>
      <c r="Y169" s="1889"/>
      <c r="Z169" s="1889"/>
      <c r="AA169" s="1889"/>
      <c r="AB169" s="1889"/>
      <c r="AC169" s="1889"/>
      <c r="AD169" s="1889"/>
      <c r="AE169" s="1889"/>
      <c r="AF169" s="1889"/>
      <c r="AG169" s="1889"/>
      <c r="AH169" s="1889"/>
      <c r="AI169" s="1889"/>
      <c r="AJ169" s="1889"/>
      <c r="AK169" s="1889"/>
      <c r="AL169" s="1889"/>
      <c r="AM169" s="1889"/>
      <c r="AN169" s="1889"/>
      <c r="AO169" s="1889"/>
      <c r="AP169" s="1889"/>
      <c r="AQ169" s="1889"/>
      <c r="AR169" s="1889"/>
      <c r="AS169" s="1889"/>
      <c r="AT169" s="1889"/>
      <c r="AU169" s="1889"/>
      <c r="AV169" s="1889"/>
      <c r="AW169" s="1889"/>
      <c r="AX169" s="1889"/>
      <c r="AY169" s="1889"/>
      <c r="AZ169" s="1889"/>
      <c r="BA169" s="1889"/>
      <c r="BB169" s="1889"/>
      <c r="BC169" s="1889"/>
      <c r="BD169" s="1890"/>
      <c r="BE169" s="1092"/>
    </row>
    <row r="170" spans="1:57" ht="15.75" customHeight="1">
      <c r="A170" s="1086"/>
      <c r="B170" s="1891" t="s">
        <v>1978</v>
      </c>
      <c r="C170" s="1892"/>
      <c r="D170" s="1892"/>
      <c r="E170" s="1892"/>
      <c r="F170" s="1892"/>
      <c r="G170" s="1892"/>
      <c r="H170" s="1892"/>
      <c r="I170" s="1892"/>
      <c r="J170" s="1892"/>
      <c r="K170" s="1892"/>
      <c r="L170" s="1892"/>
      <c r="M170" s="1892"/>
      <c r="N170" s="1892"/>
      <c r="O170" s="1892"/>
      <c r="P170" s="1892"/>
      <c r="Q170" s="1892"/>
      <c r="R170" s="1892"/>
      <c r="S170" s="1892"/>
      <c r="T170" s="1892"/>
      <c r="U170" s="1892"/>
      <c r="V170" s="1892"/>
      <c r="W170" s="1892"/>
      <c r="X170" s="1892"/>
      <c r="Y170" s="1892"/>
      <c r="Z170" s="1892"/>
      <c r="AA170" s="1892"/>
      <c r="AB170" s="1892"/>
      <c r="AC170" s="1892"/>
      <c r="AD170" s="1892"/>
      <c r="AE170" s="1892"/>
      <c r="AF170" s="1892"/>
      <c r="AG170" s="1892"/>
      <c r="AH170" s="1892"/>
      <c r="AI170" s="1892"/>
      <c r="AJ170" s="1892"/>
      <c r="AK170" s="1892"/>
      <c r="AL170" s="1892"/>
      <c r="AM170" s="1892"/>
      <c r="AN170" s="1892"/>
      <c r="AO170" s="1892"/>
      <c r="AP170" s="1892"/>
      <c r="AQ170" s="1892"/>
      <c r="AR170" s="1892"/>
      <c r="AS170" s="1892"/>
      <c r="AT170" s="1892"/>
      <c r="AU170" s="1892"/>
      <c r="AV170" s="1892"/>
      <c r="AW170" s="1892"/>
      <c r="AX170" s="1892"/>
      <c r="AY170" s="1892"/>
      <c r="AZ170" s="1892"/>
      <c r="BA170" s="1892"/>
      <c r="BB170" s="1892"/>
      <c r="BC170" s="1892"/>
      <c r="BD170" s="1893"/>
      <c r="BE170" s="1092"/>
    </row>
    <row r="171" spans="1:57" ht="15.75" customHeight="1">
      <c r="A171" s="1086"/>
      <c r="B171" s="1891" t="s">
        <v>1979</v>
      </c>
      <c r="C171" s="1892"/>
      <c r="D171" s="1892"/>
      <c r="E171" s="1892"/>
      <c r="F171" s="1892"/>
      <c r="G171" s="1892"/>
      <c r="H171" s="1892"/>
      <c r="I171" s="1892"/>
      <c r="J171" s="1892"/>
      <c r="K171" s="1892"/>
      <c r="L171" s="1892"/>
      <c r="M171" s="1892"/>
      <c r="N171" s="1892"/>
      <c r="O171" s="1892"/>
      <c r="P171" s="1892"/>
      <c r="Q171" s="1892"/>
      <c r="R171" s="1892"/>
      <c r="S171" s="1892"/>
      <c r="T171" s="1892"/>
      <c r="U171" s="1892"/>
      <c r="V171" s="1892"/>
      <c r="W171" s="1892"/>
      <c r="X171" s="1892"/>
      <c r="Y171" s="1892"/>
      <c r="Z171" s="1892"/>
      <c r="AA171" s="1892"/>
      <c r="AB171" s="1892"/>
      <c r="AC171" s="1892"/>
      <c r="AD171" s="1892"/>
      <c r="AE171" s="1892"/>
      <c r="AF171" s="1892"/>
      <c r="AG171" s="1892"/>
      <c r="AH171" s="1892"/>
      <c r="AI171" s="1892"/>
      <c r="AJ171" s="1892"/>
      <c r="AK171" s="1892"/>
      <c r="AL171" s="1892"/>
      <c r="AM171" s="1892"/>
      <c r="AN171" s="1892"/>
      <c r="AO171" s="1892"/>
      <c r="AP171" s="1892"/>
      <c r="AQ171" s="1892"/>
      <c r="AR171" s="1892"/>
      <c r="AS171" s="1892"/>
      <c r="AT171" s="1892"/>
      <c r="AU171" s="1892"/>
      <c r="AV171" s="1892"/>
      <c r="AW171" s="1892"/>
      <c r="AX171" s="1892"/>
      <c r="AY171" s="1892"/>
      <c r="AZ171" s="1892"/>
      <c r="BA171" s="1892"/>
      <c r="BB171" s="1892"/>
      <c r="BC171" s="1892"/>
      <c r="BD171" s="1893"/>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894" t="s">
        <v>1980</v>
      </c>
      <c r="C173" s="1895"/>
      <c r="D173" s="1895"/>
      <c r="E173" s="1895"/>
      <c r="F173" s="1895"/>
      <c r="G173" s="1895"/>
      <c r="H173" s="1895"/>
      <c r="I173" s="1895"/>
      <c r="J173" s="1895"/>
      <c r="K173" s="1895"/>
      <c r="L173" s="1895"/>
      <c r="M173" s="1895"/>
      <c r="N173" s="1895"/>
      <c r="O173" s="1895"/>
      <c r="P173" s="1895"/>
      <c r="Q173" s="1895"/>
      <c r="R173" s="1895"/>
      <c r="S173" s="1895"/>
      <c r="T173" s="1895"/>
      <c r="U173" s="1895"/>
      <c r="V173" s="1895"/>
      <c r="W173" s="1895"/>
      <c r="X173" s="1895"/>
      <c r="Y173" s="1895"/>
      <c r="Z173" s="1895"/>
      <c r="AA173" s="1895"/>
      <c r="AB173" s="1895"/>
      <c r="AC173" s="1895"/>
      <c r="AD173" s="1895"/>
      <c r="AE173" s="1895"/>
      <c r="AF173" s="1895"/>
      <c r="AG173" s="1895"/>
      <c r="AH173" s="1895"/>
      <c r="AI173" s="1895"/>
      <c r="AJ173" s="1895"/>
      <c r="AK173" s="1895"/>
      <c r="AL173" s="1895"/>
      <c r="AM173" s="1895"/>
      <c r="AN173" s="1895"/>
      <c r="AO173" s="1895"/>
      <c r="AP173" s="1895"/>
      <c r="AQ173" s="1895"/>
      <c r="AR173" s="1895"/>
      <c r="AS173" s="1895"/>
      <c r="AT173" s="1895"/>
      <c r="AU173" s="1895"/>
      <c r="AV173" s="1895"/>
      <c r="AW173" s="1895"/>
      <c r="AX173" s="1895"/>
      <c r="AY173" s="1895"/>
      <c r="AZ173" s="1895"/>
      <c r="BA173" s="1895"/>
      <c r="BB173" s="1895"/>
      <c r="BC173" s="1895"/>
      <c r="BD173" s="1896"/>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897" t="s">
        <v>1982</v>
      </c>
      <c r="I177" s="1897"/>
      <c r="J177" s="1897"/>
      <c r="K177" s="1897"/>
      <c r="L177" s="1897"/>
      <c r="M177" s="1897"/>
      <c r="N177" s="1897"/>
      <c r="O177" s="1897"/>
      <c r="P177" s="1897"/>
      <c r="Q177" s="1897"/>
      <c r="R177" s="1897"/>
      <c r="S177" s="1897"/>
      <c r="T177" s="1897"/>
      <c r="U177" s="1897"/>
      <c r="V177" s="1897"/>
      <c r="W177" s="1897"/>
      <c r="X177" s="1897"/>
      <c r="Y177" s="1897"/>
      <c r="Z177" s="1897"/>
      <c r="AA177" s="1897"/>
      <c r="AB177" s="1897"/>
      <c r="AC177" s="1897"/>
      <c r="AD177" s="1897"/>
      <c r="AE177" s="1897"/>
      <c r="AF177" s="1897"/>
      <c r="AG177" s="1897"/>
      <c r="AH177" s="1897"/>
      <c r="AI177" s="1897"/>
      <c r="AJ177" s="1897"/>
      <c r="AK177" s="1897"/>
      <c r="AL177" s="1897"/>
      <c r="AM177" s="1897"/>
      <c r="AN177" s="1897"/>
      <c r="AO177" s="1897"/>
      <c r="AP177" s="1897"/>
      <c r="AQ177" s="1897"/>
      <c r="AR177" s="1897"/>
      <c r="AS177" s="1897"/>
      <c r="AT177" s="1897"/>
      <c r="AU177" s="1897"/>
      <c r="AV177" s="1897"/>
      <c r="AW177" s="1897"/>
      <c r="AX177" s="1897"/>
      <c r="AY177" s="1897"/>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884" t="s">
        <v>2314</v>
      </c>
      <c r="I179" s="1884"/>
      <c r="J179" s="1884"/>
      <c r="K179" s="1884"/>
      <c r="L179" s="1884"/>
      <c r="M179" s="1884"/>
      <c r="N179" s="1884"/>
      <c r="O179" s="1884"/>
      <c r="P179" s="1884"/>
      <c r="Q179" s="1884"/>
      <c r="R179" s="1884"/>
      <c r="S179" s="1884"/>
      <c r="T179" s="1884"/>
      <c r="U179" s="1884"/>
      <c r="V179" s="1884"/>
      <c r="W179" s="1884"/>
      <c r="X179" s="1884"/>
      <c r="Y179" s="1884"/>
      <c r="Z179" s="1884"/>
      <c r="AA179" s="1884"/>
      <c r="AB179" s="1884"/>
      <c r="AC179" s="1884"/>
      <c r="AD179" s="1884"/>
      <c r="AE179" s="1884"/>
      <c r="AF179" s="1884"/>
      <c r="AG179" s="1884"/>
      <c r="AH179" s="1884"/>
      <c r="AI179" s="1884"/>
      <c r="AJ179" s="1884"/>
      <c r="AK179" s="1884"/>
      <c r="AL179" s="1884"/>
      <c r="AM179" s="1884"/>
      <c r="AN179" s="1884"/>
      <c r="AO179" s="1884"/>
      <c r="AP179" s="1884"/>
      <c r="AQ179" s="1884"/>
      <c r="AR179" s="1884"/>
      <c r="AS179" s="1884"/>
      <c r="AT179" s="1884"/>
      <c r="AU179" s="1884"/>
      <c r="AV179" s="1884"/>
      <c r="AW179" s="1884"/>
      <c r="AX179" s="1884"/>
      <c r="AY179" s="1884"/>
      <c r="AZ179" s="1884"/>
      <c r="BA179" s="1086"/>
      <c r="BB179" s="1086"/>
      <c r="BC179" s="1086"/>
      <c r="BD179" s="1092"/>
      <c r="BE179" s="1092"/>
    </row>
    <row r="180" spans="1:57" ht="15.75" customHeight="1">
      <c r="A180" s="1086"/>
      <c r="B180" s="1085"/>
      <c r="C180" s="1086"/>
      <c r="D180" s="1086"/>
      <c r="E180" s="1086"/>
      <c r="F180" s="1086"/>
      <c r="G180" s="1086"/>
      <c r="H180" s="1884"/>
      <c r="I180" s="1884"/>
      <c r="J180" s="1884"/>
      <c r="K180" s="1884"/>
      <c r="L180" s="1884"/>
      <c r="M180" s="1884"/>
      <c r="N180" s="1884"/>
      <c r="O180" s="1884"/>
      <c r="P180" s="1884"/>
      <c r="Q180" s="1884"/>
      <c r="R180" s="1884"/>
      <c r="S180" s="1884"/>
      <c r="T180" s="1884"/>
      <c r="U180" s="1884"/>
      <c r="V180" s="1884"/>
      <c r="W180" s="1884"/>
      <c r="X180" s="1884"/>
      <c r="Y180" s="1884"/>
      <c r="Z180" s="1884"/>
      <c r="AA180" s="1884"/>
      <c r="AB180" s="1884"/>
      <c r="AC180" s="1884"/>
      <c r="AD180" s="1884"/>
      <c r="AE180" s="1884"/>
      <c r="AF180" s="1884"/>
      <c r="AG180" s="1884"/>
      <c r="AH180" s="1884"/>
      <c r="AI180" s="1884"/>
      <c r="AJ180" s="1884"/>
      <c r="AK180" s="1884"/>
      <c r="AL180" s="1884"/>
      <c r="AM180" s="1884"/>
      <c r="AN180" s="1884"/>
      <c r="AO180" s="1884"/>
      <c r="AP180" s="1884"/>
      <c r="AQ180" s="1884"/>
      <c r="AR180" s="1884"/>
      <c r="AS180" s="1884"/>
      <c r="AT180" s="1884"/>
      <c r="AU180" s="1884"/>
      <c r="AV180" s="1884"/>
      <c r="AW180" s="1884"/>
      <c r="AX180" s="1884"/>
      <c r="AY180" s="1884"/>
      <c r="AZ180" s="1884"/>
      <c r="BA180" s="1086"/>
      <c r="BB180" s="1086"/>
      <c r="BC180" s="1086"/>
      <c r="BD180" s="1092"/>
      <c r="BE180" s="1092"/>
    </row>
    <row r="181" spans="1:57" ht="15.75" customHeight="1">
      <c r="A181" s="1086"/>
      <c r="B181" s="1085"/>
      <c r="C181" s="1086"/>
      <c r="D181" s="1086"/>
      <c r="E181" s="1086"/>
      <c r="F181" s="1086"/>
      <c r="G181" s="1086"/>
      <c r="H181" s="1884"/>
      <c r="I181" s="1884"/>
      <c r="J181" s="1884"/>
      <c r="K181" s="1884"/>
      <c r="L181" s="1884"/>
      <c r="M181" s="1884"/>
      <c r="N181" s="1884"/>
      <c r="O181" s="1884"/>
      <c r="P181" s="1884"/>
      <c r="Q181" s="1884"/>
      <c r="R181" s="1884"/>
      <c r="S181" s="1884"/>
      <c r="T181" s="1884"/>
      <c r="U181" s="1884"/>
      <c r="V181" s="1884"/>
      <c r="W181" s="1884"/>
      <c r="X181" s="1884"/>
      <c r="Y181" s="1884"/>
      <c r="Z181" s="1884"/>
      <c r="AA181" s="1884"/>
      <c r="AB181" s="1884"/>
      <c r="AC181" s="1884"/>
      <c r="AD181" s="1884"/>
      <c r="AE181" s="1884"/>
      <c r="AF181" s="1884"/>
      <c r="AG181" s="1884"/>
      <c r="AH181" s="1884"/>
      <c r="AI181" s="1884"/>
      <c r="AJ181" s="1884"/>
      <c r="AK181" s="1884"/>
      <c r="AL181" s="1884"/>
      <c r="AM181" s="1884"/>
      <c r="AN181" s="1884"/>
      <c r="AO181" s="1884"/>
      <c r="AP181" s="1884"/>
      <c r="AQ181" s="1884"/>
      <c r="AR181" s="1884"/>
      <c r="AS181" s="1884"/>
      <c r="AT181" s="1884"/>
      <c r="AU181" s="1884"/>
      <c r="AV181" s="1884"/>
      <c r="AW181" s="1884"/>
      <c r="AX181" s="1884"/>
      <c r="AY181" s="1884"/>
      <c r="AZ181" s="1884"/>
      <c r="BA181" s="1086"/>
      <c r="BB181" s="1086"/>
      <c r="BC181" s="1086"/>
      <c r="BD181" s="1092"/>
      <c r="BE181" s="1092"/>
    </row>
    <row r="182" spans="1:57" ht="15.75" customHeight="1">
      <c r="A182" s="1086"/>
      <c r="B182" s="1085"/>
      <c r="C182" s="1086"/>
      <c r="D182" s="1086"/>
      <c r="E182" s="1086"/>
      <c r="F182" s="1086"/>
      <c r="G182" s="1086"/>
      <c r="H182" s="1884"/>
      <c r="I182" s="1884"/>
      <c r="J182" s="1884"/>
      <c r="K182" s="1884"/>
      <c r="L182" s="1884"/>
      <c r="M182" s="1884"/>
      <c r="N182" s="1884"/>
      <c r="O182" s="1884"/>
      <c r="P182" s="1884"/>
      <c r="Q182" s="1884"/>
      <c r="R182" s="1884"/>
      <c r="S182" s="1884"/>
      <c r="T182" s="1884"/>
      <c r="U182" s="1884"/>
      <c r="V182" s="1884"/>
      <c r="W182" s="1884"/>
      <c r="X182" s="1884"/>
      <c r="Y182" s="1884"/>
      <c r="Z182" s="1884"/>
      <c r="AA182" s="1884"/>
      <c r="AB182" s="1884"/>
      <c r="AC182" s="1884"/>
      <c r="AD182" s="1884"/>
      <c r="AE182" s="1884"/>
      <c r="AF182" s="1884"/>
      <c r="AG182" s="1884"/>
      <c r="AH182" s="1884"/>
      <c r="AI182" s="1884"/>
      <c r="AJ182" s="1884"/>
      <c r="AK182" s="1884"/>
      <c r="AL182" s="1884"/>
      <c r="AM182" s="1884"/>
      <c r="AN182" s="1884"/>
      <c r="AO182" s="1884"/>
      <c r="AP182" s="1884"/>
      <c r="AQ182" s="1884"/>
      <c r="AR182" s="1884"/>
      <c r="AS182" s="1884"/>
      <c r="AT182" s="1884"/>
      <c r="AU182" s="1884"/>
      <c r="AV182" s="1884"/>
      <c r="AW182" s="1884"/>
      <c r="AX182" s="1884"/>
      <c r="AY182" s="1884"/>
      <c r="AZ182" s="1884"/>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883" t="s">
        <v>1983</v>
      </c>
      <c r="I184" s="1883"/>
      <c r="J184" s="1883"/>
      <c r="K184" s="1883"/>
      <c r="L184" s="1883"/>
      <c r="M184" s="1883"/>
      <c r="N184" s="1883"/>
      <c r="O184" s="1883"/>
      <c r="P184" s="1883"/>
      <c r="Q184" s="1883"/>
      <c r="R184" s="1883"/>
      <c r="S184" s="1883"/>
      <c r="T184" s="1883"/>
      <c r="U184" s="1883"/>
      <c r="V184" s="1883"/>
      <c r="W184" s="1883"/>
      <c r="X184" s="1883"/>
      <c r="Y184" s="1883"/>
      <c r="Z184" s="1883"/>
      <c r="AA184" s="1883"/>
      <c r="AB184" s="1883"/>
      <c r="AC184" s="1883"/>
      <c r="AD184" s="1883"/>
      <c r="AE184" s="1883"/>
      <c r="AF184" s="1883"/>
      <c r="AG184" s="1883"/>
      <c r="AH184" s="1883"/>
      <c r="AI184" s="1883"/>
      <c r="AJ184" s="1883"/>
      <c r="AK184" s="1883"/>
      <c r="AL184" s="1883"/>
      <c r="AM184" s="1883"/>
      <c r="AN184" s="1883"/>
      <c r="AO184" s="1883"/>
      <c r="AP184" s="1883"/>
      <c r="AQ184" s="1883"/>
      <c r="AR184" s="1883"/>
      <c r="AS184" s="1883"/>
      <c r="AT184" s="1883"/>
      <c r="AU184" s="1883"/>
      <c r="AV184" s="1883"/>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877" t="s">
        <v>1984</v>
      </c>
      <c r="I186" s="1877"/>
      <c r="J186" s="1877"/>
      <c r="K186" s="1877"/>
      <c r="L186" s="1098"/>
      <c r="M186" s="1098"/>
      <c r="N186" s="1098"/>
      <c r="O186" s="1098"/>
      <c r="P186" s="1098"/>
      <c r="Q186" s="1098"/>
      <c r="R186" s="1098"/>
      <c r="S186" s="1878"/>
      <c r="T186" s="1879"/>
      <c r="U186" s="1879"/>
      <c r="V186" s="1879"/>
      <c r="W186" s="1879"/>
      <c r="X186" s="1879"/>
      <c r="Y186" s="1879"/>
      <c r="Z186" s="1879"/>
      <c r="AA186" s="1879"/>
      <c r="AB186" s="1879"/>
      <c r="AC186" s="1879"/>
      <c r="AD186" s="1879"/>
      <c r="AE186" s="1879"/>
      <c r="AF186" s="1879"/>
      <c r="AG186" s="1879"/>
      <c r="AH186" s="1879"/>
      <c r="AI186" s="1879"/>
      <c r="AJ186" s="1880"/>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877" t="s">
        <v>1985</v>
      </c>
      <c r="I188" s="1877"/>
      <c r="J188" s="1877"/>
      <c r="K188" s="1118"/>
      <c r="L188" s="1098"/>
      <c r="M188" s="1098"/>
      <c r="N188" s="1098"/>
      <c r="O188" s="1098"/>
      <c r="P188" s="1098"/>
      <c r="Q188" s="1098"/>
      <c r="R188" s="1098"/>
      <c r="S188" s="1878"/>
      <c r="T188" s="1879"/>
      <c r="U188" s="1879"/>
      <c r="V188" s="1879"/>
      <c r="W188" s="1879"/>
      <c r="X188" s="1879"/>
      <c r="Y188" s="1879"/>
      <c r="Z188" s="1879"/>
      <c r="AA188" s="1879"/>
      <c r="AB188" s="1879"/>
      <c r="AC188" s="1879"/>
      <c r="AD188" s="1879"/>
      <c r="AE188" s="1879"/>
      <c r="AF188" s="1879"/>
      <c r="AG188" s="1879"/>
      <c r="AH188" s="1879"/>
      <c r="AI188" s="1879"/>
      <c r="AJ188" s="1880"/>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877" t="s">
        <v>460</v>
      </c>
      <c r="I190" s="1877"/>
      <c r="J190" s="1118"/>
      <c r="K190" s="1118"/>
      <c r="L190" s="1098"/>
      <c r="M190" s="1098"/>
      <c r="N190" s="1098"/>
      <c r="O190" s="1098"/>
      <c r="P190" s="1098"/>
      <c r="Q190" s="1098"/>
      <c r="R190" s="1098"/>
      <c r="S190" s="1878"/>
      <c r="T190" s="1879"/>
      <c r="U190" s="1879"/>
      <c r="V190" s="1879"/>
      <c r="W190" s="1879"/>
      <c r="X190" s="1879"/>
      <c r="Y190" s="1879"/>
      <c r="Z190" s="1879"/>
      <c r="AA190" s="1879"/>
      <c r="AB190" s="1879"/>
      <c r="AC190" s="1879"/>
      <c r="AD190" s="1879"/>
      <c r="AE190" s="1879"/>
      <c r="AF190" s="1879"/>
      <c r="AG190" s="1879"/>
      <c r="AH190" s="1879"/>
      <c r="AI190" s="1879"/>
      <c r="AJ190" s="1880"/>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881" t="s">
        <v>1986</v>
      </c>
      <c r="I192" s="1881"/>
      <c r="J192" s="1881"/>
      <c r="K192" s="1881"/>
      <c r="L192" s="1881"/>
      <c r="M192" s="1881"/>
      <c r="N192" s="1881"/>
      <c r="O192" s="1881"/>
      <c r="P192" s="1098"/>
      <c r="Q192" s="1098"/>
      <c r="R192" s="1098"/>
      <c r="S192" s="1878"/>
      <c r="T192" s="1879"/>
      <c r="U192" s="1879"/>
      <c r="V192" s="1879"/>
      <c r="W192" s="1879"/>
      <c r="X192" s="1879"/>
      <c r="Y192" s="1879"/>
      <c r="Z192" s="1879"/>
      <c r="AA192" s="1879"/>
      <c r="AB192" s="1879"/>
      <c r="AC192" s="1879"/>
      <c r="AD192" s="1879"/>
      <c r="AE192" s="1879"/>
      <c r="AF192" s="1879"/>
      <c r="AG192" s="1879"/>
      <c r="AH192" s="1879"/>
      <c r="AI192" s="1879"/>
      <c r="AJ192" s="1880"/>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882" t="s">
        <v>1987</v>
      </c>
      <c r="I194" s="1882"/>
      <c r="J194" s="1098"/>
      <c r="K194" s="1098"/>
      <c r="L194" s="1098"/>
      <c r="M194" s="1098"/>
      <c r="N194" s="1098"/>
      <c r="O194" s="1098"/>
      <c r="P194" s="1098"/>
      <c r="Q194" s="1098"/>
      <c r="R194" s="1098"/>
      <c r="S194" s="1878"/>
      <c r="T194" s="1879"/>
      <c r="U194" s="1879"/>
      <c r="V194" s="1879"/>
      <c r="W194" s="1879"/>
      <c r="X194" s="1879"/>
      <c r="Y194" s="1879"/>
      <c r="Z194" s="1879"/>
      <c r="AA194" s="1879"/>
      <c r="AB194" s="1879"/>
      <c r="AC194" s="1879"/>
      <c r="AD194" s="1879"/>
      <c r="AE194" s="1879"/>
      <c r="AF194" s="1879"/>
      <c r="AG194" s="1879"/>
      <c r="AH194" s="1879"/>
      <c r="AI194" s="1879"/>
      <c r="AJ194" s="1880"/>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42" zoomScaleNormal="100" zoomScaleSheetLayoutView="100" workbookViewId="0">
      <selection activeCell="N566" sqref="N56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2"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82" width="0" style="14" hidden="1" customWidth="1"/>
    <col min="83" max="16384" width="0" style="14" hidden="1"/>
  </cols>
  <sheetData>
    <row r="1" spans="1:42" ht="15.75" customHeight="1">
      <c r="A1" s="2350" t="s">
        <v>1497</v>
      </c>
      <c r="B1" s="2350"/>
      <c r="C1" s="2350"/>
      <c r="D1" s="2350"/>
      <c r="E1" s="2350"/>
      <c r="F1" s="2350"/>
      <c r="G1" s="2350"/>
      <c r="H1" s="2350"/>
      <c r="I1" s="2350"/>
      <c r="J1" s="2350"/>
      <c r="K1" s="2350"/>
      <c r="L1" s="2350"/>
      <c r="M1" s="2350"/>
      <c r="N1" s="2350"/>
      <c r="O1" s="2350"/>
      <c r="P1" s="2350"/>
      <c r="Q1" s="2350"/>
      <c r="R1" s="2350"/>
      <c r="S1" s="2350"/>
      <c r="T1" s="2350"/>
      <c r="U1" s="2350"/>
      <c r="V1" s="2350"/>
      <c r="W1" s="2350"/>
      <c r="X1" s="2350"/>
      <c r="Y1" s="2350"/>
      <c r="Z1" s="2350"/>
      <c r="AA1" s="2350"/>
      <c r="AB1" s="2350"/>
      <c r="AC1" s="2350"/>
      <c r="AD1" s="2350"/>
      <c r="AE1" s="2350"/>
      <c r="AF1" s="2350"/>
      <c r="AG1" s="2350"/>
      <c r="AH1" s="2350"/>
      <c r="AI1" s="2350"/>
      <c r="AJ1" s="2350"/>
      <c r="AK1" s="2350"/>
      <c r="AL1" s="2350"/>
      <c r="AM1" s="2350"/>
    </row>
    <row r="2" spans="1:42" s="574" customFormat="1" ht="12.75" customHeight="1" thickBot="1">
      <c r="A2" s="2351"/>
      <c r="B2" s="2351"/>
      <c r="C2" s="2351"/>
      <c r="D2" s="2351"/>
      <c r="E2" s="2351"/>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1498</v>
      </c>
      <c r="B4" s="577" t="s">
        <v>1499</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1500</v>
      </c>
      <c r="B7" s="577" t="s">
        <v>1501</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34" t="s">
        <v>1502</v>
      </c>
      <c r="AF7" s="2334"/>
      <c r="AG7" s="2334"/>
      <c r="AH7" s="2334"/>
      <c r="AI7" s="2334"/>
      <c r="AJ7" s="2334"/>
      <c r="AK7" s="2334"/>
      <c r="AL7" s="578"/>
      <c r="AM7" s="578"/>
      <c r="AN7" s="573"/>
    </row>
    <row r="8" spans="1:42" s="574" customFormat="1" ht="12.75" customHeight="1">
      <c r="A8" s="576"/>
      <c r="B8" s="577" t="s">
        <v>2045</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2478</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2472</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24" t="s">
        <v>618</v>
      </c>
      <c r="C13" s="2324"/>
      <c r="D13" s="585"/>
      <c r="E13" s="586" t="s">
        <v>1503</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52"/>
      <c r="AH13" s="2352"/>
      <c r="AI13" s="2352"/>
      <c r="AJ13" s="2353"/>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24" t="s">
        <v>618</v>
      </c>
      <c r="C16" s="2324"/>
      <c r="D16" s="585"/>
      <c r="E16" s="2335" t="s">
        <v>1504</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578"/>
      <c r="AL16" s="578"/>
      <c r="AM16" s="578"/>
      <c r="AN16" s="573"/>
      <c r="AO16" s="588">
        <f>IF($B25="yes",20,0)</f>
        <v>0</v>
      </c>
      <c r="AP16" s="14"/>
    </row>
    <row r="17" spans="1:42" s="574" customFormat="1" ht="12.75" customHeight="1">
      <c r="A17" s="578"/>
      <c r="B17" s="578"/>
      <c r="C17" s="578"/>
      <c r="D17" s="589"/>
      <c r="E17" s="2338"/>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40"/>
      <c r="AK17" s="578"/>
      <c r="AL17" s="578"/>
      <c r="AM17" s="578"/>
      <c r="AN17" s="573"/>
      <c r="AO17" s="574">
        <f>IF(SUM(AO13:AO16)&gt;20,20,(SUM(AO13:AO16)))</f>
        <v>0</v>
      </c>
      <c r="AP17" s="574" t="s">
        <v>1505</v>
      </c>
    </row>
    <row r="18" spans="1:42" s="574" customFormat="1" ht="12.75" customHeight="1">
      <c r="A18" s="578"/>
      <c r="B18" s="578"/>
      <c r="C18" s="578"/>
      <c r="D18" s="589"/>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578"/>
      <c r="AL18" s="578"/>
      <c r="AM18" s="578"/>
      <c r="AN18" s="573"/>
    </row>
    <row r="19" spans="1:42" s="574" customFormat="1" ht="12.75" customHeight="1">
      <c r="A19" s="578"/>
      <c r="B19" s="578"/>
      <c r="C19" s="578"/>
      <c r="D19" s="589"/>
      <c r="E19" s="590" t="s">
        <v>1506</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63"/>
      <c r="F20" s="2364"/>
      <c r="G20" s="2364"/>
      <c r="H20" s="2364"/>
      <c r="I20" s="2364"/>
      <c r="J20" s="2364"/>
      <c r="K20" s="2364"/>
      <c r="L20" s="2364"/>
      <c r="M20" s="2364"/>
      <c r="N20" s="2364"/>
      <c r="O20" s="2364"/>
      <c r="P20" s="2364"/>
      <c r="Q20" s="2364"/>
      <c r="R20" s="2364"/>
      <c r="S20" s="2364"/>
      <c r="T20" s="2364"/>
      <c r="U20" s="2364"/>
      <c r="V20" s="2364"/>
      <c r="W20" s="2364"/>
      <c r="X20" s="2364"/>
      <c r="Y20" s="2364"/>
      <c r="Z20" s="2364"/>
      <c r="AA20" s="2364"/>
      <c r="AB20" s="2364"/>
      <c r="AC20" s="2364"/>
      <c r="AD20" s="2364"/>
      <c r="AE20" s="2364"/>
      <c r="AF20" s="2364"/>
      <c r="AG20" s="2364"/>
      <c r="AH20" s="2364"/>
      <c r="AI20" s="2364"/>
      <c r="AJ20" s="2365"/>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24" t="s">
        <v>618</v>
      </c>
      <c r="C22" s="2324"/>
      <c r="D22" s="585"/>
      <c r="E22" s="2357" t="s">
        <v>1507</v>
      </c>
      <c r="F22" s="2358"/>
      <c r="G22" s="2358"/>
      <c r="H22" s="2358"/>
      <c r="I22" s="2358"/>
      <c r="J22" s="2358"/>
      <c r="K22" s="2358"/>
      <c r="L22" s="2358"/>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9"/>
      <c r="AK22" s="578"/>
      <c r="AL22" s="578"/>
      <c r="AM22" s="578"/>
      <c r="AN22" s="573"/>
      <c r="AO22" s="574">
        <f>IF(SUM(AO20:AO21)&gt;14,14,SUM(AO20:AO21))</f>
        <v>0</v>
      </c>
      <c r="AP22" s="574" t="s">
        <v>1505</v>
      </c>
    </row>
    <row r="23" spans="1:42" s="574" customFormat="1" ht="12.75" customHeight="1">
      <c r="A23" s="578"/>
      <c r="B23" s="578"/>
      <c r="C23" s="578"/>
      <c r="D23" s="588"/>
      <c r="E23" s="2360"/>
      <c r="F23" s="2361"/>
      <c r="G23" s="2361"/>
      <c r="H23" s="2361"/>
      <c r="I23" s="2361"/>
      <c r="J23" s="2361"/>
      <c r="K23" s="2361"/>
      <c r="L23" s="2361"/>
      <c r="M23" s="2361"/>
      <c r="N23" s="2361"/>
      <c r="O23" s="2361"/>
      <c r="P23" s="2361"/>
      <c r="Q23" s="2361"/>
      <c r="R23" s="2361"/>
      <c r="S23" s="2361"/>
      <c r="T23" s="2361"/>
      <c r="U23" s="2361"/>
      <c r="V23" s="2361"/>
      <c r="W23" s="2361"/>
      <c r="X23" s="2361"/>
      <c r="Y23" s="2361"/>
      <c r="Z23" s="2361"/>
      <c r="AA23" s="2361"/>
      <c r="AB23" s="2361"/>
      <c r="AC23" s="2361"/>
      <c r="AD23" s="2361"/>
      <c r="AE23" s="2361"/>
      <c r="AF23" s="2361"/>
      <c r="AG23" s="2361"/>
      <c r="AH23" s="2361"/>
      <c r="AI23" s="2361"/>
      <c r="AJ23" s="2362"/>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24" t="s">
        <v>618</v>
      </c>
      <c r="C25" s="2324"/>
      <c r="D25" s="585"/>
      <c r="E25" s="2325" t="s">
        <v>2502</v>
      </c>
      <c r="F25" s="2326"/>
      <c r="G25" s="2326"/>
      <c r="H25" s="2326"/>
      <c r="I25" s="2326"/>
      <c r="J25" s="2326"/>
      <c r="K25" s="2326"/>
      <c r="L25" s="2326"/>
      <c r="M25" s="2326"/>
      <c r="N25" s="2326"/>
      <c r="O25" s="2326"/>
      <c r="P25" s="2326"/>
      <c r="Q25" s="2326"/>
      <c r="R25" s="2326"/>
      <c r="S25" s="2326"/>
      <c r="T25" s="2326"/>
      <c r="U25" s="2326"/>
      <c r="V25" s="2326"/>
      <c r="W25" s="2326"/>
      <c r="X25" s="2326"/>
      <c r="Y25" s="2326"/>
      <c r="Z25" s="2326"/>
      <c r="AA25" s="2326"/>
      <c r="AB25" s="2326"/>
      <c r="AC25" s="2326"/>
      <c r="AD25" s="2326"/>
      <c r="AE25" s="2326"/>
      <c r="AF25" s="2326"/>
      <c r="AG25" s="2326"/>
      <c r="AH25" s="2326"/>
      <c r="AI25" s="2326"/>
      <c r="AJ25" s="2327"/>
      <c r="AK25" s="578"/>
      <c r="AL25" s="578"/>
      <c r="AM25" s="578"/>
      <c r="AN25" s="573"/>
      <c r="AO25" s="574">
        <f>IF(AO24&gt;6,6,AO24)</f>
        <v>0</v>
      </c>
      <c r="AP25" s="574" t="s">
        <v>1505</v>
      </c>
    </row>
    <row r="26" spans="1:42" s="574" customFormat="1" ht="12.75" customHeight="1">
      <c r="A26" s="578"/>
      <c r="B26" s="578"/>
      <c r="C26" s="578"/>
      <c r="D26" s="588"/>
      <c r="E26" s="2328"/>
      <c r="F26" s="2329"/>
      <c r="G26" s="2329"/>
      <c r="H26" s="2329"/>
      <c r="I26" s="2329"/>
      <c r="J26" s="2329"/>
      <c r="K26" s="2329"/>
      <c r="L26" s="232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30"/>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2473</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IF(AO28&gt;20,20,AO28)</f>
        <v>0</v>
      </c>
      <c r="AP29" s="574" t="s">
        <v>1505</v>
      </c>
    </row>
    <row r="30" spans="1:42" s="574" customFormat="1" ht="12.75" customHeight="1">
      <c r="A30" s="578"/>
      <c r="B30" s="2324" t="s">
        <v>618</v>
      </c>
      <c r="C30" s="2324"/>
      <c r="D30" s="585"/>
      <c r="E30" s="2357" t="s">
        <v>2474</v>
      </c>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9"/>
      <c r="AK30" s="578"/>
      <c r="AL30" s="578"/>
      <c r="AM30" s="578"/>
      <c r="AN30" s="573"/>
      <c r="AO30" s="588"/>
    </row>
    <row r="31" spans="1:42" s="574" customFormat="1" ht="12.75" customHeight="1">
      <c r="A31" s="578"/>
      <c r="B31" s="578"/>
      <c r="C31" s="578"/>
      <c r="E31" s="2360"/>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2"/>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24" t="s">
        <v>618</v>
      </c>
      <c r="C33" s="2324"/>
      <c r="D33" s="585"/>
      <c r="E33" s="2325" t="s">
        <v>2475</v>
      </c>
      <c r="F33" s="2326"/>
      <c r="G33" s="2326"/>
      <c r="H33" s="2326"/>
      <c r="I33" s="2326"/>
      <c r="J33" s="2326"/>
      <c r="K33" s="2326"/>
      <c r="L33" s="2326"/>
      <c r="M33" s="2326"/>
      <c r="N33" s="2326"/>
      <c r="O33" s="2326"/>
      <c r="P33" s="2326"/>
      <c r="Q33" s="2326"/>
      <c r="R33" s="2326"/>
      <c r="S33" s="2326"/>
      <c r="T33" s="2326"/>
      <c r="U33" s="2326"/>
      <c r="V33" s="2326"/>
      <c r="W33" s="2326"/>
      <c r="X33" s="2326"/>
      <c r="Y33" s="2326"/>
      <c r="Z33" s="2326"/>
      <c r="AA33" s="2326"/>
      <c r="AB33" s="2326"/>
      <c r="AC33" s="2326"/>
      <c r="AD33" s="2326"/>
      <c r="AE33" s="2326"/>
      <c r="AF33" s="2326"/>
      <c r="AG33" s="2326"/>
      <c r="AH33" s="2326"/>
      <c r="AI33" s="2326"/>
      <c r="AJ33" s="2327"/>
      <c r="AK33" s="578"/>
      <c r="AL33" s="578"/>
      <c r="AM33" s="578"/>
      <c r="AN33" s="573"/>
    </row>
    <row r="34" spans="1:41" s="574" customFormat="1" ht="12.75" customHeight="1">
      <c r="A34" s="578"/>
      <c r="B34" s="578"/>
      <c r="C34" s="578"/>
      <c r="E34" s="2331"/>
      <c r="F34" s="2332"/>
      <c r="G34" s="2332"/>
      <c r="H34" s="2332"/>
      <c r="I34" s="2332"/>
      <c r="J34" s="2332"/>
      <c r="K34" s="2332"/>
      <c r="L34" s="2332"/>
      <c r="M34" s="2332"/>
      <c r="N34" s="2332"/>
      <c r="O34" s="2332"/>
      <c r="P34" s="2332"/>
      <c r="Q34" s="2332"/>
      <c r="R34" s="2332"/>
      <c r="S34" s="2332"/>
      <c r="T34" s="2332"/>
      <c r="U34" s="2332"/>
      <c r="V34" s="2332"/>
      <c r="W34" s="2332"/>
      <c r="X34" s="2332"/>
      <c r="Y34" s="2332"/>
      <c r="Z34" s="2332"/>
      <c r="AA34" s="2332"/>
      <c r="AB34" s="2332"/>
      <c r="AC34" s="2332"/>
      <c r="AD34" s="2332"/>
      <c r="AE34" s="2332"/>
      <c r="AF34" s="2332"/>
      <c r="AG34" s="2332"/>
      <c r="AH34" s="2332"/>
      <c r="AI34" s="2332"/>
      <c r="AJ34" s="2333"/>
      <c r="AK34" s="578"/>
      <c r="AL34" s="578"/>
      <c r="AM34" s="578"/>
      <c r="AN34" s="573"/>
    </row>
    <row r="35" spans="1:41" s="574" customFormat="1" ht="12.75" customHeight="1">
      <c r="A35" s="578"/>
      <c r="B35" s="578"/>
      <c r="C35" s="578"/>
      <c r="E35" s="2328"/>
      <c r="F35" s="2329"/>
      <c r="G35" s="2329"/>
      <c r="H35" s="2329"/>
      <c r="I35" s="2329"/>
      <c r="J35" s="2329"/>
      <c r="K35" s="2329"/>
      <c r="L35" s="2329"/>
      <c r="M35" s="2329"/>
      <c r="N35" s="2329"/>
      <c r="O35" s="2329"/>
      <c r="P35" s="2329"/>
      <c r="Q35" s="2329"/>
      <c r="R35" s="2329"/>
      <c r="S35" s="2329"/>
      <c r="T35" s="2329"/>
      <c r="U35" s="2329"/>
      <c r="V35" s="2329"/>
      <c r="W35" s="2329"/>
      <c r="X35" s="2329"/>
      <c r="Y35" s="2329"/>
      <c r="Z35" s="2329"/>
      <c r="AA35" s="2329"/>
      <c r="AB35" s="2329"/>
      <c r="AC35" s="2329"/>
      <c r="AD35" s="2329"/>
      <c r="AE35" s="2329"/>
      <c r="AF35" s="2329"/>
      <c r="AG35" s="2329"/>
      <c r="AH35" s="2329"/>
      <c r="AI35" s="2329"/>
      <c r="AJ35" s="2330"/>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2477</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24" t="s">
        <v>618</v>
      </c>
      <c r="C39" s="2324"/>
      <c r="D39" s="1239"/>
      <c r="E39" s="2325" t="s">
        <v>2476</v>
      </c>
      <c r="F39" s="2326"/>
      <c r="G39" s="2326"/>
      <c r="H39" s="2326"/>
      <c r="I39" s="2326"/>
      <c r="J39" s="2326"/>
      <c r="K39" s="2326"/>
      <c r="L39" s="2326"/>
      <c r="M39" s="2326"/>
      <c r="N39" s="2326"/>
      <c r="O39" s="2326"/>
      <c r="P39" s="2326"/>
      <c r="Q39" s="2326"/>
      <c r="R39" s="2326"/>
      <c r="S39" s="2326"/>
      <c r="T39" s="2326"/>
      <c r="U39" s="2326"/>
      <c r="V39" s="2326"/>
      <c r="W39" s="2326"/>
      <c r="X39" s="2326"/>
      <c r="Y39" s="2326"/>
      <c r="Z39" s="2326"/>
      <c r="AA39" s="2326"/>
      <c r="AB39" s="2326"/>
      <c r="AC39" s="2326"/>
      <c r="AD39" s="2326"/>
      <c r="AE39" s="2326"/>
      <c r="AF39" s="2326"/>
      <c r="AG39" s="2326"/>
      <c r="AH39" s="2326"/>
      <c r="AI39" s="2326"/>
      <c r="AJ39" s="2327"/>
      <c r="AK39" s="1239"/>
      <c r="AL39" s="578"/>
      <c r="AM39" s="578"/>
      <c r="AN39" s="573"/>
    </row>
    <row r="40" spans="1:41" s="574" customFormat="1" ht="12.75" customHeight="1">
      <c r="A40" s="578"/>
      <c r="B40" s="578"/>
      <c r="C40" s="578"/>
      <c r="E40" s="2331"/>
      <c r="F40" s="2332"/>
      <c r="G40" s="2332"/>
      <c r="H40" s="2332"/>
      <c r="I40" s="2332"/>
      <c r="J40" s="2332"/>
      <c r="K40" s="2332"/>
      <c r="L40" s="2332"/>
      <c r="M40" s="2332"/>
      <c r="N40" s="2332"/>
      <c r="O40" s="2332"/>
      <c r="P40" s="2332"/>
      <c r="Q40" s="2332"/>
      <c r="R40" s="2332"/>
      <c r="S40" s="2332"/>
      <c r="T40" s="2332"/>
      <c r="U40" s="2332"/>
      <c r="V40" s="2332"/>
      <c r="W40" s="2332"/>
      <c r="X40" s="2332"/>
      <c r="Y40" s="2332"/>
      <c r="Z40" s="2332"/>
      <c r="AA40" s="2332"/>
      <c r="AB40" s="2332"/>
      <c r="AC40" s="2332"/>
      <c r="AD40" s="2332"/>
      <c r="AE40" s="2332"/>
      <c r="AF40" s="2332"/>
      <c r="AG40" s="2332"/>
      <c r="AH40" s="2332"/>
      <c r="AI40" s="2332"/>
      <c r="AJ40" s="2333"/>
      <c r="AK40" s="578"/>
      <c r="AL40" s="578"/>
      <c r="AM40" s="578"/>
      <c r="AN40" s="573"/>
    </row>
    <row r="41" spans="1:41" s="574" customFormat="1" ht="12.75" customHeight="1">
      <c r="A41" s="578"/>
      <c r="D41" s="585"/>
      <c r="E41" s="2328"/>
      <c r="F41" s="2329"/>
      <c r="G41" s="2329"/>
      <c r="H41" s="2329"/>
      <c r="I41" s="2329"/>
      <c r="J41" s="2329"/>
      <c r="K41" s="2329"/>
      <c r="L41" s="232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30"/>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2479</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2480</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24" t="s">
        <v>618</v>
      </c>
      <c r="C46" s="2324"/>
      <c r="D46" s="578"/>
      <c r="E46" s="2325" t="s">
        <v>2481</v>
      </c>
      <c r="F46" s="2326"/>
      <c r="G46" s="2326"/>
      <c r="H46" s="2326"/>
      <c r="I46" s="2326"/>
      <c r="J46" s="2326"/>
      <c r="K46" s="2326"/>
      <c r="L46" s="2326"/>
      <c r="M46" s="2326"/>
      <c r="N46" s="2326"/>
      <c r="O46" s="2326"/>
      <c r="P46" s="2326"/>
      <c r="Q46" s="2326"/>
      <c r="R46" s="2326"/>
      <c r="S46" s="2326"/>
      <c r="T46" s="2326"/>
      <c r="U46" s="2326"/>
      <c r="V46" s="2326"/>
      <c r="W46" s="2326"/>
      <c r="X46" s="2326"/>
      <c r="Y46" s="2326"/>
      <c r="Z46" s="2326"/>
      <c r="AA46" s="2326"/>
      <c r="AB46" s="2326"/>
      <c r="AC46" s="2326"/>
      <c r="AD46" s="2326"/>
      <c r="AE46" s="2326"/>
      <c r="AF46" s="2326"/>
      <c r="AG46" s="2326"/>
      <c r="AH46" s="2326"/>
      <c r="AI46" s="2326"/>
      <c r="AJ46" s="2327"/>
      <c r="AK46" s="578"/>
      <c r="AL46" s="578"/>
      <c r="AM46" s="578"/>
      <c r="AN46" s="573"/>
      <c r="AO46" s="597"/>
    </row>
    <row r="47" spans="1:41" s="574" customFormat="1" ht="12.75" customHeight="1">
      <c r="A47" s="578"/>
      <c r="D47" s="585"/>
      <c r="E47" s="2331"/>
      <c r="F47" s="2332"/>
      <c r="G47" s="2332"/>
      <c r="H47" s="2332"/>
      <c r="I47" s="2332"/>
      <c r="J47" s="2332"/>
      <c r="K47" s="2332"/>
      <c r="L47" s="2332"/>
      <c r="M47" s="2332"/>
      <c r="N47" s="2332"/>
      <c r="O47" s="2332"/>
      <c r="P47" s="2332"/>
      <c r="Q47" s="2332"/>
      <c r="R47" s="2332"/>
      <c r="S47" s="2332"/>
      <c r="T47" s="2332"/>
      <c r="U47" s="2332"/>
      <c r="V47" s="2332"/>
      <c r="W47" s="2332"/>
      <c r="X47" s="2332"/>
      <c r="Y47" s="2332"/>
      <c r="Z47" s="2332"/>
      <c r="AA47" s="2332"/>
      <c r="AB47" s="2332"/>
      <c r="AC47" s="2332"/>
      <c r="AD47" s="2332"/>
      <c r="AE47" s="2332"/>
      <c r="AF47" s="2332"/>
      <c r="AG47" s="2332"/>
      <c r="AH47" s="2332"/>
      <c r="AI47" s="2332"/>
      <c r="AJ47" s="2333"/>
      <c r="AK47" s="578"/>
      <c r="AL47" s="578"/>
      <c r="AM47" s="578"/>
      <c r="AN47" s="573"/>
      <c r="AO47" s="597"/>
    </row>
    <row r="48" spans="1:41" s="574" customFormat="1" ht="12.75" customHeight="1">
      <c r="A48" s="578"/>
      <c r="D48" s="578"/>
      <c r="E48" s="2328"/>
      <c r="F48" s="2329"/>
      <c r="G48" s="2329"/>
      <c r="H48" s="2329"/>
      <c r="I48" s="2329"/>
      <c r="J48" s="2329"/>
      <c r="K48" s="2329"/>
      <c r="L48" s="2329"/>
      <c r="M48" s="2329"/>
      <c r="N48" s="2329"/>
      <c r="O48" s="2329"/>
      <c r="P48" s="2329"/>
      <c r="Q48" s="2329"/>
      <c r="R48" s="2329"/>
      <c r="S48" s="2329"/>
      <c r="T48" s="2329"/>
      <c r="U48" s="2329"/>
      <c r="V48" s="2329"/>
      <c r="W48" s="2329"/>
      <c r="X48" s="2329"/>
      <c r="Y48" s="2329"/>
      <c r="Z48" s="2329"/>
      <c r="AA48" s="2329"/>
      <c r="AB48" s="2329"/>
      <c r="AC48" s="2329"/>
      <c r="AD48" s="2329"/>
      <c r="AE48" s="2329"/>
      <c r="AF48" s="2329"/>
      <c r="AG48" s="2329"/>
      <c r="AH48" s="2329"/>
      <c r="AI48" s="2329"/>
      <c r="AJ48" s="2330"/>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24" t="s">
        <v>618</v>
      </c>
      <c r="C50" s="2324"/>
      <c r="D50" s="578"/>
      <c r="E50" s="2345" t="s">
        <v>2482</v>
      </c>
      <c r="F50" s="2346"/>
      <c r="G50" s="2346"/>
      <c r="H50" s="2346"/>
      <c r="I50" s="2346"/>
      <c r="J50" s="2346"/>
      <c r="K50" s="2346"/>
      <c r="L50" s="2346"/>
      <c r="M50" s="2346"/>
      <c r="N50" s="2346"/>
      <c r="O50" s="2346"/>
      <c r="P50" s="2346"/>
      <c r="Q50" s="2346"/>
      <c r="R50" s="2346"/>
      <c r="S50" s="2346"/>
      <c r="T50" s="2346"/>
      <c r="U50" s="2346"/>
      <c r="V50" s="2346"/>
      <c r="W50" s="2346"/>
      <c r="X50" s="2346"/>
      <c r="Y50" s="2346"/>
      <c r="Z50" s="2346"/>
      <c r="AA50" s="2346"/>
      <c r="AB50" s="2346"/>
      <c r="AC50" s="2346"/>
      <c r="AD50" s="2346"/>
      <c r="AE50" s="2346"/>
      <c r="AF50" s="2346"/>
      <c r="AG50" s="2346"/>
      <c r="AH50" s="2346"/>
      <c r="AI50" s="2346"/>
      <c r="AJ50" s="2347"/>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24" t="s">
        <v>618</v>
      </c>
      <c r="C52" s="2324"/>
      <c r="D52" s="578"/>
      <c r="E52" s="2325" t="s">
        <v>2483</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578"/>
      <c r="AL52" s="578"/>
      <c r="AM52" s="578"/>
      <c r="AN52" s="573"/>
    </row>
    <row r="53" spans="1:50" s="574" customFormat="1" ht="12.75" customHeight="1">
      <c r="A53" s="578"/>
      <c r="B53" s="585"/>
      <c r="C53" s="585"/>
      <c r="D53" s="585"/>
      <c r="E53" s="2328"/>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30"/>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1508</v>
      </c>
      <c r="AK56" s="2354">
        <f>AO36</f>
        <v>0</v>
      </c>
      <c r="AL56" s="2355"/>
      <c r="AM56" s="2356"/>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1509</v>
      </c>
      <c r="B59" s="577" t="s">
        <v>1510</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34" t="s">
        <v>1511</v>
      </c>
      <c r="AF59" s="2334"/>
      <c r="AG59" s="2334"/>
      <c r="AH59" s="2334"/>
      <c r="AI59" s="2334"/>
      <c r="AJ59" s="2334"/>
      <c r="AK59" s="2334"/>
      <c r="AL59" s="578"/>
      <c r="AM59" s="578"/>
      <c r="AN59" s="573"/>
    </row>
    <row r="60" spans="1:50" s="574" customFormat="1" ht="12.75" customHeight="1">
      <c r="A60" s="576"/>
      <c r="B60" s="577" t="s">
        <v>2044</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24" t="s">
        <v>618</v>
      </c>
      <c r="C62" s="2324"/>
      <c r="D62" s="585" t="s">
        <v>1512</v>
      </c>
      <c r="E62" s="2335" t="s">
        <v>2484</v>
      </c>
      <c r="F62" s="2336"/>
      <c r="G62" s="2336"/>
      <c r="H62" s="2336"/>
      <c r="I62" s="2336"/>
      <c r="J62" s="2336"/>
      <c r="K62" s="2336"/>
      <c r="L62" s="2336"/>
      <c r="M62" s="2336"/>
      <c r="N62" s="2336"/>
      <c r="O62" s="2336"/>
      <c r="P62" s="2336"/>
      <c r="Q62" s="2336"/>
      <c r="R62" s="2336"/>
      <c r="S62" s="2336"/>
      <c r="T62" s="2336"/>
      <c r="U62" s="2336"/>
      <c r="V62" s="2336"/>
      <c r="W62" s="2336"/>
      <c r="X62" s="2336"/>
      <c r="Y62" s="2336"/>
      <c r="Z62" s="2336"/>
      <c r="AA62" s="2336"/>
      <c r="AB62" s="2336"/>
      <c r="AC62" s="2336"/>
      <c r="AD62" s="2336"/>
      <c r="AE62" s="2336"/>
      <c r="AF62" s="2336"/>
      <c r="AG62" s="2336"/>
      <c r="AH62" s="2336"/>
      <c r="AI62" s="2336"/>
      <c r="AJ62" s="2337"/>
      <c r="AK62" s="581"/>
      <c r="AL62" s="578"/>
      <c r="AM62" s="578"/>
      <c r="AN62" s="573"/>
      <c r="AO62" s="588">
        <f>IF($B62="yes",10,0)</f>
        <v>0</v>
      </c>
    </row>
    <row r="63" spans="1:50" s="574" customFormat="1" ht="12.75" customHeight="1">
      <c r="A63" s="576"/>
      <c r="B63" s="578"/>
      <c r="C63" s="578"/>
      <c r="D63" s="589"/>
      <c r="E63" s="2338"/>
      <c r="F63" s="2339"/>
      <c r="G63" s="2339"/>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40"/>
      <c r="AK63" s="581"/>
      <c r="AL63" s="578"/>
      <c r="AM63" s="578"/>
      <c r="AN63" s="573"/>
      <c r="AO63" s="588">
        <f>IF($B68="yes",10,0)</f>
        <v>10</v>
      </c>
    </row>
    <row r="64" spans="1:50" s="574" customFormat="1" ht="12.75" customHeight="1">
      <c r="A64" s="576"/>
      <c r="B64" s="578"/>
      <c r="C64" s="578"/>
      <c r="D64" s="589"/>
      <c r="E64" s="2338"/>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40"/>
      <c r="AK64" s="581"/>
      <c r="AL64" s="578"/>
      <c r="AM64" s="578"/>
      <c r="AN64" s="573"/>
      <c r="AO64" s="588">
        <f>IF($B75="yes",10,0)</f>
        <v>0</v>
      </c>
    </row>
    <row r="65" spans="1:42" s="574" customFormat="1" ht="12.75" customHeight="1">
      <c r="A65" s="576"/>
      <c r="B65" s="578"/>
      <c r="C65" s="578"/>
      <c r="D65" s="589"/>
      <c r="E65" s="2338"/>
      <c r="F65" s="2339"/>
      <c r="G65" s="2339"/>
      <c r="H65" s="2339"/>
      <c r="I65" s="2339"/>
      <c r="J65" s="2339"/>
      <c r="K65" s="2339"/>
      <c r="L65" s="2339"/>
      <c r="M65" s="2339"/>
      <c r="N65" s="2339"/>
      <c r="O65" s="2339"/>
      <c r="P65" s="2339"/>
      <c r="Q65" s="2339"/>
      <c r="R65" s="2339"/>
      <c r="S65" s="2339"/>
      <c r="T65" s="2339"/>
      <c r="U65" s="2339"/>
      <c r="V65" s="2339"/>
      <c r="W65" s="2339"/>
      <c r="X65" s="2339"/>
      <c r="Y65" s="2339"/>
      <c r="Z65" s="2339"/>
      <c r="AA65" s="2339"/>
      <c r="AB65" s="2339"/>
      <c r="AC65" s="2339"/>
      <c r="AD65" s="2339"/>
      <c r="AE65" s="2339"/>
      <c r="AF65" s="2339"/>
      <c r="AG65" s="2339"/>
      <c r="AH65" s="2339"/>
      <c r="AI65" s="2339"/>
      <c r="AJ65" s="2340"/>
      <c r="AK65" s="581"/>
      <c r="AL65" s="578"/>
      <c r="AM65" s="578"/>
      <c r="AN65" s="573"/>
      <c r="AO65" s="574">
        <f>IF(SUM(AO62:AO64)&gt;10,10,(SUM(AO62:AO64)))</f>
        <v>10</v>
      </c>
      <c r="AP65" s="612" t="s">
        <v>1513</v>
      </c>
    </row>
    <row r="66" spans="1:42" s="574" customFormat="1" ht="12.75" customHeight="1">
      <c r="A66" s="576"/>
      <c r="B66" s="578"/>
      <c r="C66" s="578"/>
      <c r="D66" s="589"/>
      <c r="E66" s="2341"/>
      <c r="F66" s="2342"/>
      <c r="G66" s="2342"/>
      <c r="H66" s="2342"/>
      <c r="I66" s="2342"/>
      <c r="J66" s="2342"/>
      <c r="K66" s="2342"/>
      <c r="L66" s="2342"/>
      <c r="M66" s="2342"/>
      <c r="N66" s="2342"/>
      <c r="O66" s="2342"/>
      <c r="P66" s="2342"/>
      <c r="Q66" s="2342"/>
      <c r="R66" s="2342"/>
      <c r="S66" s="2342"/>
      <c r="T66" s="2342"/>
      <c r="U66" s="2342"/>
      <c r="V66" s="2342"/>
      <c r="W66" s="2342"/>
      <c r="X66" s="2342"/>
      <c r="Y66" s="2342"/>
      <c r="Z66" s="2342"/>
      <c r="AA66" s="2342"/>
      <c r="AB66" s="2342"/>
      <c r="AC66" s="2342"/>
      <c r="AD66" s="2342"/>
      <c r="AE66" s="2342"/>
      <c r="AF66" s="2342"/>
      <c r="AG66" s="2342"/>
      <c r="AH66" s="2342"/>
      <c r="AI66" s="2342"/>
      <c r="AJ66" s="2343"/>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24" t="s">
        <v>571</v>
      </c>
      <c r="C68" s="2324"/>
      <c r="D68" s="585" t="s">
        <v>1514</v>
      </c>
      <c r="E68" s="1011" t="s">
        <v>2040</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44" t="s">
        <v>618</v>
      </c>
      <c r="F69" s="2324"/>
      <c r="G69" s="613"/>
      <c r="H69" s="596" t="s">
        <v>1515</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22" t="s">
        <v>571</v>
      </c>
      <c r="F70" s="2323"/>
      <c r="G70" s="613"/>
      <c r="H70" s="596" t="s">
        <v>1516</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22" t="s">
        <v>618</v>
      </c>
      <c r="F71" s="2323"/>
      <c r="G71" s="613"/>
      <c r="H71" s="596" t="s">
        <v>2055</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44" t="s">
        <v>618</v>
      </c>
      <c r="F73" s="2324"/>
      <c r="G73" s="946"/>
      <c r="H73" s="1016" t="s">
        <v>2054</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24" t="s">
        <v>618</v>
      </c>
      <c r="C75" s="2324"/>
      <c r="D75" s="585" t="s">
        <v>1517</v>
      </c>
      <c r="E75" s="2325" t="s">
        <v>2056</v>
      </c>
      <c r="F75" s="2326"/>
      <c r="G75" s="2326"/>
      <c r="H75" s="2326"/>
      <c r="I75" s="2326"/>
      <c r="J75" s="2326"/>
      <c r="K75" s="2326"/>
      <c r="L75" s="2326"/>
      <c r="M75" s="2326"/>
      <c r="N75" s="2326"/>
      <c r="O75" s="2326"/>
      <c r="P75" s="2326"/>
      <c r="Q75" s="2326"/>
      <c r="R75" s="2326"/>
      <c r="S75" s="2326"/>
      <c r="T75" s="2326"/>
      <c r="U75" s="2326"/>
      <c r="V75" s="2326"/>
      <c r="W75" s="2326"/>
      <c r="X75" s="2326"/>
      <c r="Y75" s="2326"/>
      <c r="Z75" s="2326"/>
      <c r="AA75" s="2326"/>
      <c r="AB75" s="2326"/>
      <c r="AC75" s="2326"/>
      <c r="AD75" s="2326"/>
      <c r="AE75" s="2326"/>
      <c r="AF75" s="2326"/>
      <c r="AG75" s="2326"/>
      <c r="AH75" s="2326"/>
      <c r="AI75" s="2326"/>
      <c r="AJ75" s="2327"/>
      <c r="AK75" s="581"/>
      <c r="AL75" s="578"/>
      <c r="AM75" s="578"/>
      <c r="AN75" s="573"/>
    </row>
    <row r="76" spans="1:42" s="574" customFormat="1" ht="12.75" customHeight="1">
      <c r="A76" s="576"/>
      <c r="B76" s="578"/>
      <c r="C76" s="578"/>
      <c r="D76" s="588"/>
      <c r="E76" s="2328"/>
      <c r="F76" s="2329"/>
      <c r="G76" s="2329"/>
      <c r="H76" s="2329"/>
      <c r="I76" s="2329"/>
      <c r="J76" s="2329"/>
      <c r="K76" s="2329"/>
      <c r="L76" s="2329"/>
      <c r="M76" s="2329"/>
      <c r="N76" s="2329"/>
      <c r="O76" s="2329"/>
      <c r="P76" s="2329"/>
      <c r="Q76" s="2329"/>
      <c r="R76" s="2329"/>
      <c r="S76" s="2329"/>
      <c r="T76" s="2329"/>
      <c r="U76" s="2329"/>
      <c r="V76" s="2329"/>
      <c r="W76" s="2329"/>
      <c r="X76" s="2329"/>
      <c r="Y76" s="2329"/>
      <c r="Z76" s="2329"/>
      <c r="AA76" s="2329"/>
      <c r="AB76" s="2329"/>
      <c r="AC76" s="2329"/>
      <c r="AD76" s="2329"/>
      <c r="AE76" s="2329"/>
      <c r="AF76" s="2329"/>
      <c r="AG76" s="2329"/>
      <c r="AH76" s="2329"/>
      <c r="AI76" s="2329"/>
      <c r="AJ76" s="2330"/>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1518</v>
      </c>
      <c r="AK78" s="2354">
        <f>IF(AK56&gt;0,0,AO65)</f>
        <v>10</v>
      </c>
      <c r="AL78" s="2355"/>
      <c r="AM78" s="2356"/>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1519</v>
      </c>
      <c r="B81" s="577" t="s">
        <v>1520</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34" t="s">
        <v>1502</v>
      </c>
      <c r="AF81" s="2334"/>
      <c r="AG81" s="2334"/>
      <c r="AH81" s="2334"/>
      <c r="AI81" s="2334"/>
      <c r="AJ81" s="2334"/>
      <c r="AK81" s="2334"/>
      <c r="AL81" s="578"/>
      <c r="AM81" s="578"/>
      <c r="AN81" s="573"/>
    </row>
    <row r="82" spans="1:43" s="574" customFormat="1" ht="12.75" customHeight="1">
      <c r="A82" s="576"/>
      <c r="B82" s="577" t="s">
        <v>1521</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24" t="s">
        <v>571</v>
      </c>
      <c r="C84" s="2324"/>
      <c r="D84" s="585" t="s">
        <v>1512</v>
      </c>
      <c r="E84" s="2335" t="s">
        <v>1522</v>
      </c>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7"/>
      <c r="AK84" s="581"/>
      <c r="AL84" s="578"/>
      <c r="AM84" s="578"/>
      <c r="AN84" s="573"/>
    </row>
    <row r="85" spans="1:43" s="574" customFormat="1" ht="12.75" customHeight="1">
      <c r="A85" s="576"/>
      <c r="B85" s="577"/>
      <c r="C85" s="577"/>
      <c r="D85" s="577"/>
      <c r="E85" s="2338"/>
      <c r="F85" s="2339"/>
      <c r="G85" s="2339"/>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40"/>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18">
        <f>Application!AC753</f>
        <v>0.40135135135135136</v>
      </c>
      <c r="F87" s="2319"/>
      <c r="G87" s="2319"/>
      <c r="H87" s="2319"/>
      <c r="I87" s="615"/>
      <c r="J87" s="618" t="s">
        <v>1523</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20">
        <f>0.6-ROUNDUP(E87,2)</f>
        <v>0.18999999999999995</v>
      </c>
      <c r="F88" s="2321"/>
      <c r="G88" s="2321"/>
      <c r="H88" s="2321"/>
      <c r="I88" s="615"/>
      <c r="J88" s="618" t="s">
        <v>1524</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48">
        <f>IF(E88*200&gt;20,20,E88*200)</f>
        <v>20</v>
      </c>
      <c r="F89" s="2349"/>
      <c r="G89" s="2349"/>
      <c r="H89" s="2349"/>
      <c r="I89" s="615"/>
      <c r="J89" s="618" t="s">
        <v>1525</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1505</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24" t="s">
        <v>618</v>
      </c>
      <c r="C92" s="2324"/>
      <c r="D92" s="585" t="s">
        <v>1514</v>
      </c>
      <c r="E92" s="2335" t="s">
        <v>2041</v>
      </c>
      <c r="F92" s="2336"/>
      <c r="G92" s="2336"/>
      <c r="H92" s="2336"/>
      <c r="I92" s="2336"/>
      <c r="J92" s="2336"/>
      <c r="K92" s="2336"/>
      <c r="L92" s="2336"/>
      <c r="M92" s="2336"/>
      <c r="N92" s="2336"/>
      <c r="O92" s="2336"/>
      <c r="P92" s="2336"/>
      <c r="Q92" s="2336"/>
      <c r="R92" s="2336"/>
      <c r="S92" s="2336"/>
      <c r="T92" s="2336"/>
      <c r="U92" s="2336"/>
      <c r="V92" s="2336"/>
      <c r="W92" s="2336"/>
      <c r="X92" s="2336"/>
      <c r="Y92" s="2336"/>
      <c r="Z92" s="2336"/>
      <c r="AA92" s="2336"/>
      <c r="AB92" s="2336"/>
      <c r="AC92" s="2336"/>
      <c r="AD92" s="2336"/>
      <c r="AE92" s="2336"/>
      <c r="AF92" s="2336"/>
      <c r="AG92" s="2336"/>
      <c r="AH92" s="2336"/>
      <c r="AI92" s="2336"/>
      <c r="AJ92" s="2337"/>
      <c r="AK92" s="581"/>
      <c r="AL92" s="578"/>
      <c r="AM92" s="578"/>
      <c r="AN92" s="573"/>
    </row>
    <row r="93" spans="1:43" s="574" customFormat="1" ht="12.75" customHeight="1">
      <c r="A93" s="576"/>
      <c r="B93" s="577"/>
      <c r="C93" s="577"/>
      <c r="D93" s="577"/>
      <c r="E93" s="2338"/>
      <c r="F93" s="2339"/>
      <c r="G93" s="2339"/>
      <c r="H93" s="2339"/>
      <c r="I93" s="2339"/>
      <c r="J93" s="2339"/>
      <c r="K93" s="2339"/>
      <c r="L93" s="2339"/>
      <c r="M93" s="2339"/>
      <c r="N93" s="2339"/>
      <c r="O93" s="2339"/>
      <c r="P93" s="2339"/>
      <c r="Q93" s="2339"/>
      <c r="R93" s="2339"/>
      <c r="S93" s="2339"/>
      <c r="T93" s="2339"/>
      <c r="U93" s="2339"/>
      <c r="V93" s="2339"/>
      <c r="W93" s="2339"/>
      <c r="X93" s="2339"/>
      <c r="Y93" s="2339"/>
      <c r="Z93" s="2339"/>
      <c r="AA93" s="2339"/>
      <c r="AB93" s="2339"/>
      <c r="AC93" s="2339"/>
      <c r="AD93" s="2339"/>
      <c r="AE93" s="2339"/>
      <c r="AF93" s="2339"/>
      <c r="AG93" s="2339"/>
      <c r="AH93" s="2339"/>
      <c r="AI93" s="2339"/>
      <c r="AJ93" s="2340"/>
      <c r="AK93" s="581"/>
      <c r="AL93" s="578"/>
      <c r="AM93" s="578"/>
      <c r="AN93" s="573"/>
    </row>
    <row r="94" spans="1:43" s="574" customFormat="1" ht="12.75" customHeight="1">
      <c r="A94" s="576"/>
      <c r="B94" s="577"/>
      <c r="C94" s="577"/>
      <c r="D94" s="577"/>
      <c r="E94" s="2338"/>
      <c r="F94" s="2339"/>
      <c r="G94" s="2339"/>
      <c r="H94" s="2339"/>
      <c r="I94" s="2339"/>
      <c r="J94" s="2339"/>
      <c r="K94" s="2339"/>
      <c r="L94" s="2339"/>
      <c r="M94" s="2339"/>
      <c r="N94" s="2339"/>
      <c r="O94" s="2339"/>
      <c r="P94" s="2339"/>
      <c r="Q94" s="2339"/>
      <c r="R94" s="2339"/>
      <c r="S94" s="2339"/>
      <c r="T94" s="2339"/>
      <c r="U94" s="2339"/>
      <c r="V94" s="2339"/>
      <c r="W94" s="2339"/>
      <c r="X94" s="2339"/>
      <c r="Y94" s="2339"/>
      <c r="Z94" s="2339"/>
      <c r="AA94" s="2339"/>
      <c r="AB94" s="2339"/>
      <c r="AC94" s="2339"/>
      <c r="AD94" s="2339"/>
      <c r="AE94" s="2339"/>
      <c r="AF94" s="2339"/>
      <c r="AG94" s="2339"/>
      <c r="AH94" s="2339"/>
      <c r="AI94" s="2339"/>
      <c r="AJ94" s="2340"/>
      <c r="AK94" s="581"/>
      <c r="AL94" s="578"/>
      <c r="AM94" s="578"/>
      <c r="AN94" s="573"/>
    </row>
    <row r="95" spans="1:43" s="574" customFormat="1" ht="12.75" customHeight="1">
      <c r="A95" s="576"/>
      <c r="B95" s="577"/>
      <c r="C95" s="577"/>
      <c r="D95" s="577"/>
      <c r="E95" s="2338"/>
      <c r="F95" s="2339"/>
      <c r="G95" s="2339"/>
      <c r="H95" s="2339"/>
      <c r="I95" s="2339"/>
      <c r="J95" s="2339"/>
      <c r="K95" s="2339"/>
      <c r="L95" s="2339"/>
      <c r="M95" s="2339"/>
      <c r="N95" s="2339"/>
      <c r="O95" s="2339"/>
      <c r="P95" s="2339"/>
      <c r="Q95" s="2339"/>
      <c r="R95" s="2339"/>
      <c r="S95" s="2339"/>
      <c r="T95" s="2339"/>
      <c r="U95" s="2339"/>
      <c r="V95" s="2339"/>
      <c r="W95" s="2339"/>
      <c r="X95" s="2339"/>
      <c r="Y95" s="2339"/>
      <c r="Z95" s="2339"/>
      <c r="AA95" s="2339"/>
      <c r="AB95" s="2339"/>
      <c r="AC95" s="2339"/>
      <c r="AD95" s="2339"/>
      <c r="AE95" s="2339"/>
      <c r="AF95" s="2339"/>
      <c r="AG95" s="2339"/>
      <c r="AH95" s="2339"/>
      <c r="AI95" s="2339"/>
      <c r="AJ95" s="2340"/>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18">
        <f>Application!AC753</f>
        <v>0.40135135135135136</v>
      </c>
      <c r="F97" s="2319"/>
      <c r="G97" s="2319"/>
      <c r="H97" s="2319"/>
      <c r="I97" s="615"/>
      <c r="J97" s="618" t="s">
        <v>1523</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18">
        <f ca="1">SUMIF(Application!AC728:AG752,0.2,Application!G728:J752)/Application!G753+SUMIF(Application!AC728:AG752,0.25,Application!G728:J752)/Application!G753+SUMIF(Application!AC728:AG752,0.3,Application!G728:J752)/Application!G753</f>
        <v>0.28378378378378377</v>
      </c>
      <c r="F98" s="2319"/>
      <c r="G98" s="2319"/>
      <c r="H98" s="2319"/>
      <c r="I98" s="615"/>
      <c r="J98" s="618" t="s">
        <v>1526</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18">
        <f ca="1">SUMIF(Application!AC728:AG752,0.35,Application!G728:J752)/Application!G753+SUMIF(Application!AC728:AG752,0.4,Application!G728:J752)/Application!G753+SUMIF(Application!AC728:AG752,0.45,Application!G728:J752)/Application!G753+SUMIF(Application!AC728:AG752,0.5,Application!G728:J752)/Application!G753</f>
        <v>0.66216216216216217</v>
      </c>
      <c r="F99" s="2319"/>
      <c r="G99" s="2319"/>
      <c r="H99" s="2319"/>
      <c r="I99" s="615"/>
      <c r="J99" s="618" t="s">
        <v>1527</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73">
        <f ca="1">IF(AND(E97&lt;=0.6,E98&gt;=0.1,OR(E99&gt;=0.1,E98&gt;=0.2)),20,0)</f>
        <v>20</v>
      </c>
      <c r="F100" s="2374"/>
      <c r="G100" s="2374"/>
      <c r="H100" s="2374"/>
      <c r="I100" s="591"/>
      <c r="J100" s="625" t="s">
        <v>1525</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1505</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1528</v>
      </c>
      <c r="AK103" s="2354">
        <f>MAX(AP89,AP100)</f>
        <v>20</v>
      </c>
      <c r="AL103" s="2355"/>
      <c r="AM103" s="2356"/>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1529</v>
      </c>
      <c r="B106" s="577" t="s">
        <v>1530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34" t="s">
        <v>1511</v>
      </c>
      <c r="AF106" s="2334"/>
      <c r="AG106" s="2334"/>
      <c r="AH106" s="2334"/>
      <c r="AI106" s="2334"/>
      <c r="AJ106" s="2334"/>
      <c r="AK106" s="2334"/>
      <c r="AL106" s="578"/>
      <c r="AM106" s="578"/>
      <c r="AN106" s="573"/>
      <c r="AO106" s="574" t="str">
        <f>Application!B728</f>
        <v>1 Bedroom</v>
      </c>
      <c r="AQ106" s="574">
        <f>Application!O728</f>
        <v>433</v>
      </c>
    </row>
    <row r="107" spans="1:49" s="574" customFormat="1" ht="12.75" customHeight="1">
      <c r="A107" s="578"/>
      <c r="B107" s="577" t="s">
        <v>1521</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1 Bedroom</v>
      </c>
      <c r="AQ107" s="574">
        <f>Application!O729</f>
        <v>580</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1 Bedroom</v>
      </c>
      <c r="AQ108" s="574">
        <f>Application!O730</f>
        <v>726</v>
      </c>
    </row>
    <row r="109" spans="1:49" s="574" customFormat="1" ht="12.75" customHeight="1">
      <c r="A109" s="578"/>
      <c r="B109" s="2324" t="s">
        <v>571</v>
      </c>
      <c r="C109" s="2324"/>
      <c r="D109" s="585" t="s">
        <v>1512</v>
      </c>
      <c r="E109" s="2335" t="s">
        <v>2176</v>
      </c>
      <c r="F109" s="2336"/>
      <c r="G109" s="2336"/>
      <c r="H109" s="2336"/>
      <c r="I109" s="2336"/>
      <c r="J109" s="2336"/>
      <c r="K109" s="2336"/>
      <c r="L109" s="2336"/>
      <c r="M109" s="2336"/>
      <c r="N109" s="2336"/>
      <c r="O109" s="2336"/>
      <c r="P109" s="2336"/>
      <c r="Q109" s="2336"/>
      <c r="R109" s="2336"/>
      <c r="S109" s="2336"/>
      <c r="T109" s="2336"/>
      <c r="U109" s="2336"/>
      <c r="V109" s="2336"/>
      <c r="W109" s="2336"/>
      <c r="X109" s="2336"/>
      <c r="Y109" s="2336"/>
      <c r="Z109" s="2336"/>
      <c r="AA109" s="2336"/>
      <c r="AB109" s="2336"/>
      <c r="AC109" s="2336"/>
      <c r="AD109" s="2336"/>
      <c r="AE109" s="2336"/>
      <c r="AF109" s="2336"/>
      <c r="AG109" s="2336"/>
      <c r="AH109" s="2336"/>
      <c r="AI109" s="2336"/>
      <c r="AJ109" s="2337"/>
      <c r="AK109" s="578"/>
      <c r="AL109" s="578"/>
      <c r="AM109" s="578"/>
      <c r="AN109" s="573"/>
      <c r="AO109" s="574" t="str">
        <f>Application!B731</f>
        <v>1 Bedroom</v>
      </c>
      <c r="AQ109" s="574">
        <f>Application!O731</f>
        <v>872</v>
      </c>
      <c r="AU109" s="574" t="s">
        <v>2158</v>
      </c>
      <c r="AV109" s="633" t="s">
        <v>2159</v>
      </c>
      <c r="AW109" s="574" t="s">
        <v>2160</v>
      </c>
    </row>
    <row r="110" spans="1:49" s="574" customFormat="1" ht="12.75" customHeight="1">
      <c r="A110" s="578"/>
      <c r="B110" s="577"/>
      <c r="C110" s="577"/>
      <c r="D110" s="577"/>
      <c r="E110" s="2338"/>
      <c r="F110" s="2339"/>
      <c r="G110" s="2339"/>
      <c r="H110" s="2339"/>
      <c r="I110" s="2339"/>
      <c r="J110" s="2339"/>
      <c r="K110" s="2339"/>
      <c r="L110" s="2339"/>
      <c r="M110" s="2339"/>
      <c r="N110" s="2339"/>
      <c r="O110" s="2339"/>
      <c r="P110" s="2339"/>
      <c r="Q110" s="2339"/>
      <c r="R110" s="2339"/>
      <c r="S110" s="2339"/>
      <c r="T110" s="2339"/>
      <c r="U110" s="2339"/>
      <c r="V110" s="2339"/>
      <c r="W110" s="2339"/>
      <c r="X110" s="2339"/>
      <c r="Y110" s="2339"/>
      <c r="Z110" s="2339"/>
      <c r="AA110" s="2339"/>
      <c r="AB110" s="2339"/>
      <c r="AC110" s="2339"/>
      <c r="AD110" s="2339"/>
      <c r="AE110" s="2339"/>
      <c r="AF110" s="2339"/>
      <c r="AG110" s="2339"/>
      <c r="AH110" s="2339"/>
      <c r="AI110" s="2339"/>
      <c r="AJ110" s="2340"/>
      <c r="AK110" s="578"/>
      <c r="AL110" s="578"/>
      <c r="AM110" s="578"/>
      <c r="AN110" s="573"/>
      <c r="AO110" s="574" t="str">
        <f>Application!B732</f>
        <v>2 Bedrooms</v>
      </c>
      <c r="AQ110" s="574">
        <f>Application!O732</f>
        <v>521</v>
      </c>
      <c r="AU110" s="895" t="str">
        <f>E118</f>
        <v>Studio/SRO</v>
      </c>
      <c r="AV110" s="574">
        <f t="array" ref="AV110">SUM(IF(Application!B728:F752="SRO/Studio",Application!G728:J752))</f>
        <v>0</v>
      </c>
      <c r="AW110" s="1051">
        <f>AV110/AV116</f>
        <v>0</v>
      </c>
    </row>
    <row r="111" spans="1:49" s="574" customFormat="1" ht="12.75" customHeight="1">
      <c r="A111" s="578"/>
      <c r="B111" s="577"/>
      <c r="C111" s="577"/>
      <c r="D111" s="577"/>
      <c r="E111" s="2338"/>
      <c r="F111" s="2339"/>
      <c r="G111" s="2339"/>
      <c r="H111" s="2339"/>
      <c r="I111" s="2339"/>
      <c r="J111" s="2339"/>
      <c r="K111" s="2339"/>
      <c r="L111" s="2339"/>
      <c r="M111" s="2339"/>
      <c r="N111" s="2339"/>
      <c r="O111" s="2339"/>
      <c r="P111" s="2339"/>
      <c r="Q111" s="2339"/>
      <c r="R111" s="2339"/>
      <c r="S111" s="2339"/>
      <c r="T111" s="2339"/>
      <c r="U111" s="2339"/>
      <c r="V111" s="2339"/>
      <c r="W111" s="2339"/>
      <c r="X111" s="2339"/>
      <c r="Y111" s="2339"/>
      <c r="Z111" s="2339"/>
      <c r="AA111" s="2339"/>
      <c r="AB111" s="2339"/>
      <c r="AC111" s="2339"/>
      <c r="AD111" s="2339"/>
      <c r="AE111" s="2339"/>
      <c r="AF111" s="2339"/>
      <c r="AG111" s="2339"/>
      <c r="AH111" s="2339"/>
      <c r="AI111" s="2339"/>
      <c r="AJ111" s="2340"/>
      <c r="AK111" s="578"/>
      <c r="AL111" s="578"/>
      <c r="AM111" s="578"/>
      <c r="AN111" s="573"/>
      <c r="AO111" s="574" t="str">
        <f>Application!B733</f>
        <v>2 Bedrooms</v>
      </c>
      <c r="AQ111" s="574">
        <f>Application!O733</f>
        <v>697</v>
      </c>
      <c r="AU111" s="895" t="str">
        <f>J118</f>
        <v>1-bedroom</v>
      </c>
      <c r="AV111" s="574">
        <f t="array" ref="AV111">SUM(IF(Application!B728:F752="1 Bedroom",Application!G728:J752))</f>
        <v>8</v>
      </c>
      <c r="AW111" s="1051">
        <f>AV111/AV116</f>
        <v>0.10810810810810811</v>
      </c>
    </row>
    <row r="112" spans="1:49" s="574" customFormat="1" ht="12.75" customHeight="1">
      <c r="A112" s="578"/>
      <c r="B112" s="577"/>
      <c r="C112" s="577"/>
      <c r="D112" s="577"/>
      <c r="E112" s="2338"/>
      <c r="F112" s="2339"/>
      <c r="G112" s="2339"/>
      <c r="H112" s="2339"/>
      <c r="I112" s="2339"/>
      <c r="J112" s="2339"/>
      <c r="K112" s="2339"/>
      <c r="L112" s="2339"/>
      <c r="M112" s="2339"/>
      <c r="N112" s="2339"/>
      <c r="O112" s="2339"/>
      <c r="P112" s="2339"/>
      <c r="Q112" s="2339"/>
      <c r="R112" s="2339"/>
      <c r="S112" s="2339"/>
      <c r="T112" s="2339"/>
      <c r="U112" s="2339"/>
      <c r="V112" s="2339"/>
      <c r="W112" s="2339"/>
      <c r="X112" s="2339"/>
      <c r="Y112" s="2339"/>
      <c r="Z112" s="2339"/>
      <c r="AA112" s="2339"/>
      <c r="AB112" s="2339"/>
      <c r="AC112" s="2339"/>
      <c r="AD112" s="2339"/>
      <c r="AE112" s="2339"/>
      <c r="AF112" s="2339"/>
      <c r="AG112" s="2339"/>
      <c r="AH112" s="2339"/>
      <c r="AI112" s="2339"/>
      <c r="AJ112" s="2340"/>
      <c r="AK112" s="578"/>
      <c r="AL112" s="578"/>
      <c r="AM112" s="578"/>
      <c r="AN112" s="573"/>
      <c r="AO112" s="574" t="str">
        <f>Application!B734</f>
        <v>2 Bedrooms</v>
      </c>
      <c r="AQ112" s="574">
        <f>Application!O734</f>
        <v>872</v>
      </c>
      <c r="AU112" s="895" t="str">
        <f>O118</f>
        <v>2-bedroom</v>
      </c>
      <c r="AV112" s="574">
        <f t="array" ref="AV112">SUM(IF(Application!B728:F752="2 Bedrooms",Application!G728:J752))</f>
        <v>24</v>
      </c>
      <c r="AW112" s="1051">
        <f>AV112/AV116</f>
        <v>0.32432432432432434</v>
      </c>
    </row>
    <row r="113" spans="1:52" s="574" customFormat="1" ht="12.75" customHeight="1">
      <c r="A113" s="578"/>
      <c r="B113" s="577"/>
      <c r="C113" s="577"/>
      <c r="D113" s="577"/>
      <c r="E113" s="2338"/>
      <c r="F113" s="2339"/>
      <c r="G113" s="2339"/>
      <c r="H113" s="2339"/>
      <c r="I113" s="2339"/>
      <c r="J113" s="2339"/>
      <c r="K113" s="2339"/>
      <c r="L113" s="2339"/>
      <c r="M113" s="2339"/>
      <c r="N113" s="2339"/>
      <c r="O113" s="2339"/>
      <c r="P113" s="2339"/>
      <c r="Q113" s="2339"/>
      <c r="R113" s="2339"/>
      <c r="S113" s="2339"/>
      <c r="T113" s="2339"/>
      <c r="U113" s="2339"/>
      <c r="V113" s="2339"/>
      <c r="W113" s="2339"/>
      <c r="X113" s="2339"/>
      <c r="Y113" s="2339"/>
      <c r="Z113" s="2339"/>
      <c r="AA113" s="2339"/>
      <c r="AB113" s="2339"/>
      <c r="AC113" s="2339"/>
      <c r="AD113" s="2339"/>
      <c r="AE113" s="2339"/>
      <c r="AF113" s="2339"/>
      <c r="AG113" s="2339"/>
      <c r="AH113" s="2339"/>
      <c r="AI113" s="2339"/>
      <c r="AJ113" s="2340"/>
      <c r="AK113" s="578"/>
      <c r="AL113" s="578"/>
      <c r="AM113" s="578"/>
      <c r="AN113" s="573"/>
      <c r="AO113" s="574" t="str">
        <f>Application!B735</f>
        <v>2 Bedrooms</v>
      </c>
      <c r="AQ113" s="574">
        <f>Application!O735</f>
        <v>1048</v>
      </c>
      <c r="AU113" s="895" t="str">
        <f>T118</f>
        <v>3-bedroom</v>
      </c>
      <c r="AV113" s="574">
        <f t="array" ref="AV113">SUM(IF(Application!B728:F752="3 Bedrooms",Application!G728:J752))</f>
        <v>32</v>
      </c>
      <c r="AW113" s="1051">
        <f>AV113/AV116</f>
        <v>0.43243243243243246</v>
      </c>
    </row>
    <row r="114" spans="1:52" s="574" customFormat="1" ht="12.75" customHeight="1">
      <c r="A114" s="578"/>
      <c r="B114" s="577"/>
      <c r="C114" s="577"/>
      <c r="D114" s="577"/>
      <c r="E114" s="2338"/>
      <c r="F114" s="2339"/>
      <c r="G114" s="2339"/>
      <c r="H114" s="2339"/>
      <c r="I114" s="2339"/>
      <c r="J114" s="2339"/>
      <c r="K114" s="2339"/>
      <c r="L114" s="2339"/>
      <c r="M114" s="2339"/>
      <c r="N114" s="2339"/>
      <c r="O114" s="2339"/>
      <c r="P114" s="2339"/>
      <c r="Q114" s="2339"/>
      <c r="R114" s="2339"/>
      <c r="S114" s="2339"/>
      <c r="T114" s="2339"/>
      <c r="U114" s="2339"/>
      <c r="V114" s="2339"/>
      <c r="W114" s="2339"/>
      <c r="X114" s="2339"/>
      <c r="Y114" s="2339"/>
      <c r="Z114" s="2339"/>
      <c r="AA114" s="2339"/>
      <c r="AB114" s="2339"/>
      <c r="AC114" s="2339"/>
      <c r="AD114" s="2339"/>
      <c r="AE114" s="2339"/>
      <c r="AF114" s="2339"/>
      <c r="AG114" s="2339"/>
      <c r="AH114" s="2339"/>
      <c r="AI114" s="2339"/>
      <c r="AJ114" s="2340"/>
      <c r="AK114" s="578"/>
      <c r="AL114" s="578"/>
      <c r="AM114" s="578"/>
      <c r="AN114" s="573"/>
      <c r="AO114" s="574" t="str">
        <f>Application!B736</f>
        <v>3 Bedrooms</v>
      </c>
      <c r="AQ114" s="574">
        <f>Application!O736</f>
        <v>602</v>
      </c>
      <c r="AU114" s="895" t="str">
        <f>Y118</f>
        <v>4-bedroom</v>
      </c>
      <c r="AV114" s="574">
        <f t="array" ref="AV114">SUM(IF(Application!B728:F752="4 Bedrooms",Application!G728:J752))</f>
        <v>10</v>
      </c>
      <c r="AW114" s="1051">
        <f>AV114/AV116</f>
        <v>0.13513513513513514</v>
      </c>
    </row>
    <row r="115" spans="1:52" s="574" customFormat="1" ht="12.75" customHeight="1">
      <c r="A115" s="578"/>
      <c r="B115" s="577"/>
      <c r="C115" s="577"/>
      <c r="D115" s="577"/>
      <c r="E115" s="2338"/>
      <c r="F115" s="2339"/>
      <c r="G115" s="2339"/>
      <c r="H115" s="2339"/>
      <c r="I115" s="2339"/>
      <c r="J115" s="2339"/>
      <c r="K115" s="2339"/>
      <c r="L115" s="2339"/>
      <c r="M115" s="2339"/>
      <c r="N115" s="2339"/>
      <c r="O115" s="2339"/>
      <c r="P115" s="2339"/>
      <c r="Q115" s="2339"/>
      <c r="R115" s="2339"/>
      <c r="S115" s="2339"/>
      <c r="T115" s="2339"/>
      <c r="U115" s="2339"/>
      <c r="V115" s="2339"/>
      <c r="W115" s="2339"/>
      <c r="X115" s="2339"/>
      <c r="Y115" s="2339"/>
      <c r="Z115" s="2339"/>
      <c r="AA115" s="2339"/>
      <c r="AB115" s="2339"/>
      <c r="AC115" s="2339"/>
      <c r="AD115" s="2339"/>
      <c r="AE115" s="2339"/>
      <c r="AF115" s="2339"/>
      <c r="AG115" s="2339"/>
      <c r="AH115" s="2339"/>
      <c r="AI115" s="2339"/>
      <c r="AJ115" s="2340"/>
      <c r="AK115" s="578"/>
      <c r="AL115" s="578"/>
      <c r="AM115" s="578"/>
      <c r="AN115" s="573"/>
      <c r="AO115" s="574" t="str">
        <f>Application!B737</f>
        <v>3 Bedrooms</v>
      </c>
      <c r="AQ115" s="574">
        <f>Application!O737</f>
        <v>805</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338"/>
      <c r="F116" s="2339"/>
      <c r="G116" s="2339"/>
      <c r="H116" s="2339"/>
      <c r="I116" s="2339"/>
      <c r="J116" s="2339"/>
      <c r="K116" s="2339"/>
      <c r="L116" s="2339"/>
      <c r="M116" s="2339"/>
      <c r="N116" s="2339"/>
      <c r="O116" s="2339"/>
      <c r="P116" s="2339"/>
      <c r="Q116" s="2339"/>
      <c r="R116" s="2339"/>
      <c r="S116" s="2339"/>
      <c r="T116" s="2339"/>
      <c r="U116" s="2339"/>
      <c r="V116" s="2339"/>
      <c r="W116" s="2339"/>
      <c r="X116" s="2339"/>
      <c r="Y116" s="2339"/>
      <c r="Z116" s="2339"/>
      <c r="AA116" s="2339"/>
      <c r="AB116" s="2339"/>
      <c r="AC116" s="2339"/>
      <c r="AD116" s="2339"/>
      <c r="AE116" s="2339"/>
      <c r="AF116" s="2339"/>
      <c r="AG116" s="2339"/>
      <c r="AH116" s="2339"/>
      <c r="AI116" s="2339"/>
      <c r="AJ116" s="2340"/>
      <c r="AK116" s="578"/>
      <c r="AL116" s="578"/>
      <c r="AM116" s="578"/>
      <c r="AN116" s="573"/>
      <c r="AO116" s="574" t="str">
        <f>Application!B738</f>
        <v>3 Bedrooms</v>
      </c>
      <c r="AQ116" s="574">
        <f>Application!O738</f>
        <v>1008</v>
      </c>
      <c r="AV116" s="574">
        <f>SUM(AV110:AV115)</f>
        <v>74</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t="str">
        <f>Application!B739</f>
        <v>3 Bedrooms</v>
      </c>
      <c r="AQ117" s="574">
        <f>Application!O739</f>
        <v>1210</v>
      </c>
    </row>
    <row r="118" spans="1:52" s="574" customFormat="1" ht="12.75" customHeight="1">
      <c r="A118" s="578"/>
      <c r="B118" s="577"/>
      <c r="C118" s="578"/>
      <c r="D118" s="578"/>
      <c r="E118" s="2318" t="s">
        <v>1794</v>
      </c>
      <c r="F118" s="2319"/>
      <c r="G118" s="2319"/>
      <c r="H118" s="2319"/>
      <c r="I118" s="615"/>
      <c r="J118" s="2319" t="s">
        <v>1839</v>
      </c>
      <c r="K118" s="2319"/>
      <c r="L118" s="2319"/>
      <c r="M118" s="2319"/>
      <c r="N118" s="615"/>
      <c r="O118" s="2319" t="s">
        <v>1840</v>
      </c>
      <c r="P118" s="2319"/>
      <c r="Q118" s="2319"/>
      <c r="R118" s="2319"/>
      <c r="S118" s="615"/>
      <c r="T118" s="2319" t="s">
        <v>1531</v>
      </c>
      <c r="U118" s="2319"/>
      <c r="V118" s="2319"/>
      <c r="W118" s="2319"/>
      <c r="X118" s="615"/>
      <c r="Y118" s="2319" t="s">
        <v>1841</v>
      </c>
      <c r="Z118" s="2319"/>
      <c r="AA118" s="2319"/>
      <c r="AB118" s="2319"/>
      <c r="AC118" s="615"/>
      <c r="AD118" s="2319" t="s">
        <v>1842</v>
      </c>
      <c r="AE118" s="2319"/>
      <c r="AF118" s="2319"/>
      <c r="AG118" s="2319"/>
      <c r="AH118" s="615"/>
      <c r="AI118" s="615"/>
      <c r="AJ118" s="617"/>
      <c r="AK118" s="578"/>
      <c r="AL118" s="578"/>
      <c r="AM118" s="578"/>
      <c r="AN118" s="573"/>
      <c r="AO118" s="574" t="str">
        <f>Application!B740</f>
        <v>4 Bedrooms</v>
      </c>
      <c r="AQ118" s="574">
        <f>Application!O740</f>
        <v>673</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t="str">
        <f>Application!B741</f>
        <v>4 Bedrooms</v>
      </c>
      <c r="AQ119" s="574">
        <f>Application!O741</f>
        <v>899</v>
      </c>
    </row>
    <row r="120" spans="1:52" s="574" customFormat="1" ht="12.75" customHeight="1">
      <c r="A120" s="578"/>
      <c r="B120" s="577"/>
      <c r="C120" s="578"/>
      <c r="D120" s="578"/>
      <c r="E120" s="905" t="s">
        <v>1843</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t="str">
        <f>Application!B742</f>
        <v>4 Bedrooms</v>
      </c>
      <c r="AQ120" s="574">
        <f>Application!O742</f>
        <v>1125</v>
      </c>
    </row>
    <row r="121" spans="1:52" s="574" customFormat="1" ht="12.75" customHeight="1">
      <c r="A121" s="578"/>
      <c r="B121" s="577"/>
      <c r="C121" s="578"/>
      <c r="D121" s="578"/>
      <c r="E121" s="2375"/>
      <c r="F121" s="2376"/>
      <c r="G121" s="2376"/>
      <c r="H121" s="2376"/>
      <c r="I121" s="903"/>
      <c r="J121" s="2376">
        <v>872</v>
      </c>
      <c r="K121" s="2376"/>
      <c r="L121" s="2376"/>
      <c r="M121" s="2376"/>
      <c r="N121" s="903"/>
      <c r="O121" s="2376">
        <v>1048</v>
      </c>
      <c r="P121" s="2376"/>
      <c r="Q121" s="2376"/>
      <c r="R121" s="2376"/>
      <c r="S121" s="903"/>
      <c r="T121" s="2376">
        <v>1210</v>
      </c>
      <c r="U121" s="2376"/>
      <c r="V121" s="2376"/>
      <c r="W121" s="2376"/>
      <c r="X121" s="903"/>
      <c r="Y121" s="2376">
        <v>1351</v>
      </c>
      <c r="Z121" s="2376"/>
      <c r="AA121" s="2376"/>
      <c r="AB121" s="2376"/>
      <c r="AC121" s="903"/>
      <c r="AD121" s="2376"/>
      <c r="AE121" s="2376"/>
      <c r="AF121" s="2376"/>
      <c r="AG121" s="2376"/>
      <c r="AH121" s="615"/>
      <c r="AI121" s="615"/>
      <c r="AJ121" s="617"/>
      <c r="AK121" s="578"/>
      <c r="AL121" s="578"/>
      <c r="AM121" s="578"/>
      <c r="AN121" s="573"/>
      <c r="AO121" s="574" t="str">
        <f>Application!B743</f>
        <v>4 Bedrooms</v>
      </c>
      <c r="AQ121" s="574">
        <f>Application!O743</f>
        <v>1351</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2162</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368">
        <f>Application!DX663</f>
        <v>0</v>
      </c>
      <c r="F124" s="2369"/>
      <c r="G124" s="2369"/>
      <c r="H124" s="2369"/>
      <c r="I124" s="903"/>
      <c r="J124" s="2369">
        <f>Application!EC663</f>
        <v>579.625</v>
      </c>
      <c r="K124" s="2369"/>
      <c r="L124" s="2369"/>
      <c r="M124" s="2369"/>
      <c r="N124" s="903"/>
      <c r="O124" s="2369">
        <f>Application!EH663</f>
        <v>674.79166666666663</v>
      </c>
      <c r="P124" s="2369"/>
      <c r="Q124" s="2369"/>
      <c r="R124" s="2369"/>
      <c r="S124" s="907"/>
      <c r="T124" s="2369">
        <f>Application!EM663</f>
        <v>824</v>
      </c>
      <c r="U124" s="2369"/>
      <c r="V124" s="2369"/>
      <c r="W124" s="2369"/>
      <c r="X124" s="907"/>
      <c r="Y124" s="2369">
        <f>Application!ER663</f>
        <v>921.6</v>
      </c>
      <c r="Z124" s="2369"/>
      <c r="AA124" s="2369"/>
      <c r="AB124" s="2369"/>
      <c r="AC124" s="907"/>
      <c r="AD124" s="2369">
        <f>Application!EW663</f>
        <v>0</v>
      </c>
      <c r="AE124" s="2369"/>
      <c r="AF124" s="2369"/>
      <c r="AG124" s="2369"/>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2163</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562" t="e">
        <f>(E121-E124)/E121</f>
        <v>#DIV/0!</v>
      </c>
      <c r="F127" s="2321"/>
      <c r="G127" s="2321"/>
      <c r="H127" s="2563"/>
      <c r="I127" s="615"/>
      <c r="J127" s="2562">
        <f>(J121-J124)/J121</f>
        <v>0.33529243119266056</v>
      </c>
      <c r="K127" s="2321"/>
      <c r="L127" s="2321"/>
      <c r="M127" s="2563"/>
      <c r="N127" s="615"/>
      <c r="O127" s="2562">
        <f>(O121-O124)/O121</f>
        <v>0.35611482188295168</v>
      </c>
      <c r="P127" s="2321"/>
      <c r="Q127" s="2321"/>
      <c r="R127" s="2563"/>
      <c r="S127" s="615"/>
      <c r="T127" s="2562">
        <f>(T121-T124)/T121</f>
        <v>0.31900826446280994</v>
      </c>
      <c r="U127" s="2321"/>
      <c r="V127" s="2321"/>
      <c r="W127" s="2563"/>
      <c r="X127" s="615"/>
      <c r="Y127" s="2562">
        <f>(Y121-Y124)/Y121</f>
        <v>0.31783863804589191</v>
      </c>
      <c r="Z127" s="2321"/>
      <c r="AA127" s="2321"/>
      <c r="AB127" s="2563"/>
      <c r="AC127" s="615"/>
      <c r="AD127" s="2562" t="e">
        <f>(AD121-AD124)/AD121</f>
        <v>#DIV/0!</v>
      </c>
      <c r="AE127" s="2321"/>
      <c r="AF127" s="2321"/>
      <c r="AG127" s="2563"/>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2164</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70" t="e">
        <f>IF(((E127-0.1)*AW110)&gt;0,((E127-0.1)*AW110),0)</f>
        <v>#DIV/0!</v>
      </c>
      <c r="F130" s="2371"/>
      <c r="G130" s="2371"/>
      <c r="H130" s="2372"/>
      <c r="I130" s="615"/>
      <c r="J130" s="2370">
        <f>IF(((J127-0.1)*AW111)&gt;0,((J127-0.1)*AW111),0)</f>
        <v>2.5437019588395737E-2</v>
      </c>
      <c r="K130" s="2371"/>
      <c r="L130" s="2371"/>
      <c r="M130" s="2372"/>
      <c r="N130" s="615"/>
      <c r="O130" s="2370">
        <f>IF(((O127-0.1)*AW112)&gt;0,((O127-0.1)*AW112),0)</f>
        <v>8.3064266556632974E-2</v>
      </c>
      <c r="P130" s="2371"/>
      <c r="Q130" s="2371"/>
      <c r="R130" s="2372"/>
      <c r="S130" s="615"/>
      <c r="T130" s="2370">
        <f>IF(((T127-0.1)*AW113)&gt;0,((T127-0.1)*AW113),0)</f>
        <v>9.4706276524458358E-2</v>
      </c>
      <c r="U130" s="2371"/>
      <c r="V130" s="2371"/>
      <c r="W130" s="2372"/>
      <c r="X130" s="615"/>
      <c r="Y130" s="2370">
        <f>IF(((Y127-0.1)*AW114)&gt;0,((Y127-0.1)*AW114),0)</f>
        <v>2.9437653789985394E-2</v>
      </c>
      <c r="Z130" s="2371"/>
      <c r="AA130" s="2371"/>
      <c r="AB130" s="2372"/>
      <c r="AC130" s="615"/>
      <c r="AD130" s="2370" t="e">
        <f>IF(((AD127-0.1)*AW115)&gt;0,((AD127-0.1)*AW115),0)</f>
        <v>#DIV/0!</v>
      </c>
      <c r="AE130" s="2371"/>
      <c r="AF130" s="2371"/>
      <c r="AG130" s="2372"/>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62">
        <f>ROUNDDOWN(SUMIF(E130:AG130,"&gt;0"),2)</f>
        <v>0.23</v>
      </c>
      <c r="F132" s="2321"/>
      <c r="G132" s="2321"/>
      <c r="H132" s="2563"/>
      <c r="I132" s="615"/>
      <c r="J132" s="618" t="s">
        <v>2165</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54">
        <f>IF((E132*100)&gt;10,10,E132*100)</f>
        <v>10</v>
      </c>
      <c r="F133" s="2355"/>
      <c r="G133" s="2355"/>
      <c r="H133" s="2356"/>
      <c r="I133" s="615"/>
      <c r="J133" s="618" t="s">
        <v>1525</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1532</v>
      </c>
      <c r="AK137" s="2354">
        <f>E133</f>
        <v>10</v>
      </c>
      <c r="AL137" s="2355"/>
      <c r="AM137" s="2356"/>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1533</v>
      </c>
      <c r="AE140" s="2334" t="s">
        <v>1511</v>
      </c>
      <c r="AF140" s="2334"/>
      <c r="AG140" s="2334"/>
      <c r="AH140" s="2334"/>
      <c r="AI140" s="2334"/>
      <c r="AJ140" s="2334"/>
      <c r="AK140" s="2334"/>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1534</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66" t="s">
        <v>1535</v>
      </c>
      <c r="AG142" s="2366"/>
      <c r="AH142" s="2366"/>
      <c r="AI142" s="2366"/>
      <c r="AJ142" s="2366"/>
      <c r="AK142" s="2366"/>
      <c r="AL142" s="2366"/>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67" t="s">
        <v>2617</v>
      </c>
      <c r="C144" s="2367"/>
      <c r="D144" s="2367"/>
      <c r="E144" s="2367"/>
      <c r="F144" s="2367"/>
      <c r="G144" s="2367"/>
      <c r="H144" s="2367"/>
      <c r="I144" s="2367"/>
      <c r="J144" s="2367"/>
      <c r="K144" s="2367"/>
      <c r="L144" s="2367"/>
      <c r="M144" s="2367"/>
      <c r="N144" s="2367"/>
      <c r="O144" s="2367"/>
      <c r="P144" s="2367"/>
      <c r="Q144" s="2367"/>
      <c r="R144" s="2367"/>
      <c r="S144" s="2367"/>
      <c r="T144" s="2367"/>
      <c r="U144" s="2367"/>
      <c r="V144" s="2367"/>
      <c r="W144" s="2367"/>
      <c r="X144" s="2367"/>
      <c r="Y144" s="2367"/>
      <c r="Z144" s="2367"/>
      <c r="AA144" s="2367"/>
      <c r="AB144" s="2367"/>
      <c r="AC144" s="2367"/>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1536</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1537</v>
      </c>
      <c r="AP146" s="527">
        <v>5</v>
      </c>
    </row>
    <row r="147" spans="1:42" s="574" customFormat="1" ht="12.75" customHeight="1">
      <c r="A147" s="576"/>
      <c r="B147" s="2392" t="s">
        <v>1538</v>
      </c>
      <c r="C147" s="2392"/>
      <c r="D147" s="2392"/>
      <c r="E147" s="2392"/>
      <c r="F147" s="2392"/>
      <c r="G147" s="2392"/>
      <c r="H147" s="2392"/>
      <c r="I147" s="2392"/>
      <c r="J147" s="2392"/>
      <c r="K147" s="2392"/>
      <c r="L147" s="2392"/>
      <c r="M147" s="2392"/>
      <c r="N147" s="2392"/>
      <c r="O147" s="2392"/>
      <c r="P147" s="2392"/>
      <c r="Q147" s="2392"/>
      <c r="R147" s="2392"/>
      <c r="S147" s="2392"/>
      <c r="T147" s="2392"/>
      <c r="U147" s="2392"/>
      <c r="V147" s="2392"/>
      <c r="W147" s="2392"/>
      <c r="X147" s="2392"/>
      <c r="Y147" s="2392"/>
      <c r="Z147" s="2392"/>
      <c r="AA147" s="2392"/>
      <c r="AB147" s="2392"/>
      <c r="AC147" s="2392"/>
      <c r="AD147" s="2392"/>
      <c r="AE147" s="2392"/>
      <c r="AF147" s="2392"/>
      <c r="AG147" s="2392"/>
      <c r="AH147" s="2392"/>
      <c r="AI147" s="2392"/>
      <c r="AM147" s="577"/>
      <c r="AN147" s="573"/>
      <c r="AO147" s="514" t="s">
        <v>1538</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2485</v>
      </c>
      <c r="AP148" s="527">
        <v>7</v>
      </c>
    </row>
    <row r="149" spans="1:42" s="574" customFormat="1" ht="12.75" customHeight="1">
      <c r="A149" s="576"/>
      <c r="B149" s="577" t="s">
        <v>1539</v>
      </c>
      <c r="AB149" s="2393" t="s">
        <v>618</v>
      </c>
      <c r="AC149" s="2393"/>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1540</v>
      </c>
      <c r="AP150" s="527"/>
    </row>
    <row r="151" spans="1:42" s="574" customFormat="1" ht="12.75" customHeight="1">
      <c r="A151" s="576"/>
      <c r="B151" s="576" t="s">
        <v>1541</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1542</v>
      </c>
      <c r="AP151" s="527">
        <v>5</v>
      </c>
    </row>
    <row r="152" spans="1:42" s="574" customFormat="1" ht="12.75" customHeight="1">
      <c r="A152" s="576"/>
      <c r="B152" s="2392" t="s">
        <v>1540</v>
      </c>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2392"/>
      <c r="AG152" s="2392"/>
      <c r="AH152" s="2392"/>
      <c r="AI152" s="2392"/>
      <c r="AJ152" s="2392"/>
      <c r="AN152" s="573"/>
      <c r="AO152" s="514" t="s">
        <v>1543</v>
      </c>
      <c r="AP152" s="527">
        <v>7</v>
      </c>
    </row>
    <row r="153" spans="1:42" s="574" customFormat="1" ht="12.75" customHeight="1">
      <c r="B153" s="577" t="s">
        <v>1544</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1546</v>
      </c>
      <c r="AJ155" s="2395">
        <f>IF($AB$149="N/A",VLOOKUP($B$147,$AO$145:$AP$148,2,FALSE),VLOOKUP($B$152,$AO$150:$AP$153,2,FALSE))</f>
        <v>7</v>
      </c>
      <c r="AK155" s="2395"/>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1548</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66" t="s">
        <v>1549</v>
      </c>
      <c r="AG157" s="2366"/>
      <c r="AH157" s="2366"/>
      <c r="AI157" s="2366"/>
      <c r="AJ157" s="2366"/>
      <c r="AK157" s="2366"/>
      <c r="AL157" s="2366"/>
      <c r="AM157" s="641"/>
      <c r="AN157" s="636"/>
    </row>
    <row r="158" spans="1:42" s="588" customFormat="1" ht="12.75" customHeight="1">
      <c r="A158" s="574"/>
      <c r="B158" s="577" t="s">
        <v>1550</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392" t="s">
        <v>1547</v>
      </c>
      <c r="D159" s="2392"/>
      <c r="E159" s="2392"/>
      <c r="F159" s="2392"/>
      <c r="G159" s="2392"/>
      <c r="H159" s="2392"/>
      <c r="I159" s="2392"/>
      <c r="J159" s="2392"/>
      <c r="K159" s="2392"/>
      <c r="L159" s="2392"/>
      <c r="M159" s="2392"/>
      <c r="N159" s="2392"/>
      <c r="O159" s="2392"/>
      <c r="P159" s="2392"/>
      <c r="Q159" s="2392"/>
      <c r="R159" s="2392"/>
      <c r="S159" s="2392"/>
      <c r="T159" s="2392"/>
      <c r="U159" s="2392"/>
      <c r="V159" s="2392"/>
      <c r="W159" s="2392"/>
      <c r="X159" s="2392"/>
      <c r="Y159" s="2392"/>
      <c r="Z159" s="2392"/>
      <c r="AA159" s="2392"/>
      <c r="AB159" s="2392"/>
      <c r="AC159" s="2392"/>
      <c r="AD159" s="2392"/>
      <c r="AE159" s="2392"/>
      <c r="AF159" s="2392"/>
      <c r="AG159" s="2392"/>
      <c r="AH159" s="2392"/>
      <c r="AI159" s="2392"/>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1545</v>
      </c>
      <c r="AP160" s="637">
        <v>2</v>
      </c>
    </row>
    <row r="161" spans="1:73" s="588" customFormat="1" ht="12.75" customHeight="1">
      <c r="A161" s="574"/>
      <c r="B161" s="574"/>
      <c r="C161" s="577" t="s">
        <v>1552</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393" t="s">
        <v>618</v>
      </c>
      <c r="AD161" s="2393"/>
      <c r="AE161" s="574"/>
      <c r="AF161" s="574"/>
      <c r="AG161" s="574"/>
      <c r="AH161" s="574"/>
      <c r="AI161" s="574"/>
      <c r="AJ161" s="574"/>
      <c r="AK161" s="574"/>
      <c r="AL161" s="574"/>
      <c r="AM161" s="641"/>
      <c r="AN161" s="635"/>
      <c r="AO161" s="514" t="s">
        <v>1547</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1845</v>
      </c>
      <c r="AP162" s="637">
        <v>3</v>
      </c>
    </row>
    <row r="163" spans="1:73" s="588" customFormat="1" ht="12.75" customHeight="1">
      <c r="A163" s="574"/>
      <c r="B163" s="574"/>
      <c r="C163" s="2392" t="s">
        <v>1540</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574"/>
      <c r="AF163" s="574"/>
      <c r="AG163" s="574"/>
      <c r="AH163" s="574"/>
      <c r="AI163" s="574"/>
      <c r="AJ163" s="574"/>
      <c r="AK163" s="574"/>
      <c r="AL163" s="574"/>
      <c r="AM163" s="641"/>
      <c r="AN163" s="635"/>
      <c r="AO163" s="640"/>
      <c r="AP163" s="637"/>
    </row>
    <row r="164" spans="1:73" s="588" customFormat="1" ht="12.75" customHeight="1">
      <c r="A164" s="574"/>
      <c r="B164" s="574"/>
      <c r="C164" s="577" t="s">
        <v>1544</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1554</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1540</v>
      </c>
      <c r="AP166" s="514"/>
    </row>
    <row r="167" spans="1:73" s="588" customFormat="1" ht="12.75" customHeight="1">
      <c r="A167" s="574"/>
      <c r="B167" s="574"/>
      <c r="C167" s="2367" t="s">
        <v>2709</v>
      </c>
      <c r="D167" s="2367"/>
      <c r="E167" s="2367"/>
      <c r="F167" s="2367"/>
      <c r="G167" s="2367"/>
      <c r="H167" s="2367"/>
      <c r="I167" s="2367"/>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D167" s="2367"/>
      <c r="AE167" s="574"/>
      <c r="AF167" s="574"/>
      <c r="AG167" s="574"/>
      <c r="AH167" s="574"/>
      <c r="AI167" s="574"/>
      <c r="AJ167" s="574"/>
      <c r="AK167" s="574"/>
      <c r="AL167" s="574"/>
      <c r="AM167" s="641"/>
      <c r="AN167" s="635"/>
      <c r="AO167" s="514" t="s">
        <v>1551</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1553</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1555</v>
      </c>
      <c r="AJ169" s="2394">
        <f>IF($AC$161="N/A",VLOOKUP($C$159,$AO$159:$AP$162,2,FALSE),VLOOKUP($C$163,$AO$166:$AP$168,2,FALSE))</f>
        <v>3</v>
      </c>
      <c r="AK169" s="2394"/>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1556</v>
      </c>
      <c r="AK172" s="2354">
        <f>$AJ$155+$AJ$169</f>
        <v>10</v>
      </c>
      <c r="AL172" s="2355"/>
      <c r="AM172" s="2356"/>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1557</v>
      </c>
      <c r="AQ174" s="650">
        <v>0</v>
      </c>
    </row>
    <row r="175" spans="1:73" s="588" customFormat="1" ht="12.75" customHeight="1">
      <c r="A175" s="576" t="s">
        <v>1558</v>
      </c>
      <c r="B175" s="576" t="s">
        <v>2043</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34" t="s">
        <v>1511</v>
      </c>
      <c r="AF175" s="2334"/>
      <c r="AG175" s="2334"/>
      <c r="AH175" s="2334"/>
      <c r="AI175" s="2334"/>
      <c r="AJ175" s="2334"/>
      <c r="AK175" s="2334"/>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1559</v>
      </c>
      <c r="AQ176" s="588">
        <v>10</v>
      </c>
    </row>
    <row r="177" spans="1:45" s="588" customFormat="1" ht="12.75" customHeight="1">
      <c r="A177" s="574"/>
      <c r="B177" s="2390" t="s">
        <v>1124</v>
      </c>
      <c r="C177" s="2390"/>
      <c r="D177" s="2390"/>
      <c r="E177" s="2390"/>
      <c r="F177" s="2390"/>
      <c r="G177" s="2390"/>
      <c r="H177" s="2390"/>
      <c r="I177" s="2390"/>
      <c r="J177" s="2390"/>
      <c r="K177" s="2390"/>
      <c r="L177" s="2390"/>
      <c r="M177" s="2390"/>
      <c r="N177" s="2390"/>
      <c r="O177" s="2390"/>
      <c r="P177" s="2390"/>
      <c r="Q177" s="2390"/>
      <c r="R177" s="2390"/>
      <c r="S177" s="2390"/>
      <c r="T177" s="2390"/>
      <c r="U177" s="2390"/>
      <c r="V177" s="2390"/>
      <c r="W177" s="2390"/>
      <c r="X177" s="2390"/>
      <c r="Y177" s="2390"/>
      <c r="Z177" s="2390"/>
      <c r="AA177" s="2390"/>
      <c r="AB177" s="2390"/>
      <c r="AC177" s="2390"/>
      <c r="AD177" s="574"/>
      <c r="AE177" s="574"/>
      <c r="AF177" s="2366" t="s">
        <v>1560</v>
      </c>
      <c r="AG177" s="2366"/>
      <c r="AH177" s="2366"/>
      <c r="AI177" s="2366"/>
      <c r="AJ177" s="2366"/>
      <c r="AK177" s="2366"/>
      <c r="AL177" s="2366"/>
      <c r="AN177" s="635"/>
      <c r="AP177" s="588" t="s">
        <v>1126</v>
      </c>
      <c r="AQ177" s="588">
        <v>10</v>
      </c>
    </row>
    <row r="178" spans="1:45" s="588" customFormat="1" ht="12.75" customHeight="1">
      <c r="A178" s="574"/>
      <c r="B178" s="2391" t="s">
        <v>2042</v>
      </c>
      <c r="C178" s="2391"/>
      <c r="D178" s="2391"/>
      <c r="E178" s="2391"/>
      <c r="F178" s="2391"/>
      <c r="G178" s="2391"/>
      <c r="H178" s="2391"/>
      <c r="I178" s="2391"/>
      <c r="J178" s="2391"/>
      <c r="K178" s="2391"/>
      <c r="L178" s="2391"/>
      <c r="M178" s="2391"/>
      <c r="N178" s="2391"/>
      <c r="O178" s="2391"/>
      <c r="P178" s="2391"/>
      <c r="Q178" s="2391"/>
      <c r="R178" s="2391"/>
      <c r="S178" s="2391"/>
      <c r="T178" s="2367" t="s">
        <v>618</v>
      </c>
      <c r="U178" s="2367"/>
      <c r="V178" s="2367"/>
      <c r="W178" s="2367"/>
      <c r="X178" s="2367"/>
      <c r="Y178" s="2367"/>
      <c r="Z178" s="2367"/>
      <c r="AA178" s="2367"/>
      <c r="AB178" s="2367"/>
      <c r="AC178" s="2367"/>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1561</v>
      </c>
      <c r="AQ179" s="588">
        <v>10</v>
      </c>
      <c r="AS179" s="588" t="s">
        <v>1562</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1563</v>
      </c>
      <c r="AK180" s="2399">
        <f>IF(AK78&gt;0,VLOOKUP($B$177,AP174:AQ181,2,FALSE),0)</f>
        <v>10</v>
      </c>
      <c r="AL180" s="2400"/>
      <c r="AM180" s="2401"/>
      <c r="AN180" s="573"/>
      <c r="AP180" s="588" t="s">
        <v>1564</v>
      </c>
      <c r="AQ180" s="588">
        <v>10</v>
      </c>
      <c r="AS180" s="588" t="s">
        <v>1565</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1566</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1567</v>
      </c>
      <c r="B183" s="576" t="s">
        <v>1568</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34" t="s">
        <v>1569</v>
      </c>
      <c r="AF183" s="2334"/>
      <c r="AG183" s="2334"/>
      <c r="AH183" s="2334"/>
      <c r="AI183" s="2334"/>
      <c r="AJ183" s="2334"/>
      <c r="AK183" s="2334"/>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1795</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1831</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378" t="s">
        <v>2710</v>
      </c>
      <c r="C188" s="2378"/>
      <c r="D188" s="2378"/>
      <c r="E188" s="2378"/>
      <c r="F188" s="2378"/>
      <c r="G188" s="2378"/>
      <c r="H188" s="2378"/>
      <c r="I188" s="2378"/>
      <c r="J188" s="2378"/>
      <c r="K188" s="2378"/>
      <c r="L188" s="2378"/>
      <c r="M188" s="2378"/>
      <c r="N188" s="2378"/>
      <c r="O188" s="2378"/>
      <c r="P188" s="2378"/>
      <c r="Q188" s="2378"/>
      <c r="R188" s="2378"/>
      <c r="S188" s="2378"/>
      <c r="T188" s="2378"/>
      <c r="U188" s="2378"/>
      <c r="V188" s="2378"/>
      <c r="W188" s="2378"/>
      <c r="X188" s="2378"/>
      <c r="Y188" s="2378"/>
      <c r="Z188" s="2378"/>
      <c r="AA188" s="2378"/>
      <c r="AB188" s="2378"/>
      <c r="AC188" s="885"/>
      <c r="AD188" s="2408">
        <f>Application!AO638</f>
        <v>10720918</v>
      </c>
      <c r="AE188" s="2408"/>
      <c r="AF188" s="2408"/>
      <c r="AG188" s="2408"/>
      <c r="AH188" s="2408"/>
      <c r="AI188" s="2408"/>
      <c r="AJ188" s="2408"/>
      <c r="AK188" s="648"/>
    </row>
    <row r="189" spans="1:45">
      <c r="A189" s="643"/>
      <c r="B189" s="2378" t="s">
        <v>2711</v>
      </c>
      <c r="C189" s="2378"/>
      <c r="D189" s="2378"/>
      <c r="E189" s="2378"/>
      <c r="F189" s="2378"/>
      <c r="G189" s="2378"/>
      <c r="H189" s="2378"/>
      <c r="I189" s="2378"/>
      <c r="J189" s="2378"/>
      <c r="K189" s="2378"/>
      <c r="L189" s="2378"/>
      <c r="M189" s="2378"/>
      <c r="N189" s="2378"/>
      <c r="O189" s="2378"/>
      <c r="P189" s="2378"/>
      <c r="Q189" s="2378"/>
      <c r="R189" s="2378"/>
      <c r="S189" s="2378"/>
      <c r="T189" s="2378"/>
      <c r="U189" s="2378"/>
      <c r="V189" s="2378"/>
      <c r="W189" s="2378"/>
      <c r="X189" s="2378"/>
      <c r="Y189" s="2378"/>
      <c r="Z189" s="2378"/>
      <c r="AA189" s="2378"/>
      <c r="AB189" s="2378"/>
      <c r="AC189" s="885"/>
      <c r="AD189" s="2408">
        <f>+Application!AO641</f>
        <v>5209091</v>
      </c>
      <c r="AE189" s="2408"/>
      <c r="AF189" s="2408"/>
      <c r="AG189" s="2408"/>
      <c r="AH189" s="2408"/>
      <c r="AI189" s="2408"/>
      <c r="AJ189" s="2408"/>
      <c r="AK189" s="648"/>
    </row>
    <row r="190" spans="1:45">
      <c r="A190" s="643"/>
      <c r="B190" s="2378"/>
      <c r="C190" s="2378"/>
      <c r="D190" s="2378"/>
      <c r="E190" s="2378"/>
      <c r="F190" s="2378"/>
      <c r="G190" s="2378"/>
      <c r="H190" s="2378"/>
      <c r="I190" s="2378"/>
      <c r="J190" s="2378"/>
      <c r="K190" s="2378"/>
      <c r="L190" s="2378"/>
      <c r="M190" s="2378"/>
      <c r="N190" s="2378"/>
      <c r="O190" s="2378"/>
      <c r="P190" s="2378"/>
      <c r="Q190" s="2378"/>
      <c r="R190" s="2378"/>
      <c r="S190" s="2378"/>
      <c r="T190" s="2378"/>
      <c r="U190" s="2378"/>
      <c r="V190" s="2378"/>
      <c r="W190" s="2378"/>
      <c r="X190" s="2378"/>
      <c r="Y190" s="2378"/>
      <c r="Z190" s="2378"/>
      <c r="AA190" s="2378"/>
      <c r="AB190" s="2378"/>
      <c r="AC190" s="885"/>
      <c r="AD190" s="2379"/>
      <c r="AE190" s="2379"/>
      <c r="AF190" s="2379"/>
      <c r="AG190" s="2379"/>
      <c r="AH190" s="2379"/>
      <c r="AI190" s="2379"/>
      <c r="AJ190" s="2379"/>
      <c r="AK190" s="648"/>
    </row>
    <row r="191" spans="1:45">
      <c r="A191" s="643"/>
      <c r="B191" s="2378"/>
      <c r="C191" s="2378"/>
      <c r="D191" s="2378"/>
      <c r="E191" s="2378"/>
      <c r="F191" s="2378"/>
      <c r="G191" s="2378"/>
      <c r="H191" s="2378"/>
      <c r="I191" s="2378"/>
      <c r="J191" s="2378"/>
      <c r="K191" s="2378"/>
      <c r="L191" s="2378"/>
      <c r="M191" s="2378"/>
      <c r="N191" s="2378"/>
      <c r="O191" s="2378"/>
      <c r="P191" s="2378"/>
      <c r="Q191" s="2378"/>
      <c r="R191" s="2378"/>
      <c r="S191" s="2378"/>
      <c r="T191" s="2378"/>
      <c r="U191" s="2378"/>
      <c r="V191" s="2378"/>
      <c r="W191" s="2378"/>
      <c r="X191" s="2378"/>
      <c r="Y191" s="2378"/>
      <c r="Z191" s="2378"/>
      <c r="AA191" s="2378"/>
      <c r="AB191" s="2378"/>
      <c r="AC191" s="885"/>
      <c r="AD191" s="2379"/>
      <c r="AE191" s="2379"/>
      <c r="AF191" s="2379"/>
      <c r="AG191" s="2379"/>
      <c r="AH191" s="2379"/>
      <c r="AI191" s="2379"/>
      <c r="AJ191" s="2379"/>
      <c r="AK191" s="648"/>
    </row>
    <row r="192" spans="1:45">
      <c r="A192" s="643"/>
      <c r="B192" s="2378"/>
      <c r="C192" s="2378"/>
      <c r="D192" s="2378"/>
      <c r="E192" s="2378"/>
      <c r="F192" s="2378"/>
      <c r="G192" s="2378"/>
      <c r="H192" s="2378"/>
      <c r="I192" s="2378"/>
      <c r="J192" s="2378"/>
      <c r="K192" s="2378"/>
      <c r="L192" s="2378"/>
      <c r="M192" s="2378"/>
      <c r="N192" s="2378"/>
      <c r="O192" s="2378"/>
      <c r="P192" s="2378"/>
      <c r="Q192" s="2378"/>
      <c r="R192" s="2378"/>
      <c r="S192" s="2378"/>
      <c r="T192" s="2378"/>
      <c r="U192" s="2378"/>
      <c r="V192" s="2378"/>
      <c r="W192" s="2378"/>
      <c r="X192" s="2378"/>
      <c r="Y192" s="2378"/>
      <c r="Z192" s="2378"/>
      <c r="AA192" s="2378"/>
      <c r="AB192" s="2378"/>
      <c r="AC192" s="885"/>
      <c r="AD192" s="2379"/>
      <c r="AE192" s="2379"/>
      <c r="AF192" s="2379"/>
      <c r="AG192" s="2379"/>
      <c r="AH192" s="2379"/>
      <c r="AI192" s="2379"/>
      <c r="AJ192" s="2379"/>
      <c r="AK192" s="648"/>
    </row>
    <row r="193" spans="1:37">
      <c r="A193" s="643"/>
      <c r="B193" s="2378"/>
      <c r="C193" s="2378"/>
      <c r="D193" s="2378"/>
      <c r="E193" s="2378"/>
      <c r="F193" s="2378"/>
      <c r="G193" s="2378"/>
      <c r="H193" s="2378"/>
      <c r="I193" s="2378"/>
      <c r="J193" s="2378"/>
      <c r="K193" s="2378"/>
      <c r="L193" s="2378"/>
      <c r="M193" s="2378"/>
      <c r="N193" s="2378"/>
      <c r="O193" s="2378"/>
      <c r="P193" s="2378"/>
      <c r="Q193" s="2378"/>
      <c r="R193" s="2378"/>
      <c r="S193" s="2378"/>
      <c r="T193" s="2378"/>
      <c r="U193" s="2378"/>
      <c r="V193" s="2378"/>
      <c r="W193" s="2378"/>
      <c r="X193" s="2378"/>
      <c r="Y193" s="2378"/>
      <c r="Z193" s="2378"/>
      <c r="AA193" s="2378"/>
      <c r="AB193" s="2378"/>
      <c r="AC193" s="885"/>
      <c r="AD193" s="2379"/>
      <c r="AE193" s="2379"/>
      <c r="AF193" s="2379"/>
      <c r="AG193" s="2379"/>
      <c r="AH193" s="2379"/>
      <c r="AI193" s="2379"/>
      <c r="AJ193" s="2379"/>
      <c r="AK193" s="648"/>
    </row>
    <row r="194" spans="1:37">
      <c r="A194" s="643"/>
      <c r="B194" s="2378"/>
      <c r="C194" s="2378"/>
      <c r="D194" s="2378"/>
      <c r="E194" s="2378"/>
      <c r="F194" s="2378"/>
      <c r="G194" s="2378"/>
      <c r="H194" s="2378"/>
      <c r="I194" s="2378"/>
      <c r="J194" s="2378"/>
      <c r="K194" s="2378"/>
      <c r="L194" s="2378"/>
      <c r="M194" s="2378"/>
      <c r="N194" s="2378"/>
      <c r="O194" s="2378"/>
      <c r="P194" s="2378"/>
      <c r="Q194" s="2378"/>
      <c r="R194" s="2378"/>
      <c r="S194" s="2378"/>
      <c r="T194" s="2378"/>
      <c r="U194" s="2378"/>
      <c r="V194" s="2378"/>
      <c r="W194" s="2378"/>
      <c r="X194" s="2378"/>
      <c r="Y194" s="2378"/>
      <c r="Z194" s="2378"/>
      <c r="AA194" s="2378"/>
      <c r="AB194" s="2378"/>
      <c r="AC194" s="885"/>
      <c r="AD194" s="2379"/>
      <c r="AE194" s="2379"/>
      <c r="AF194" s="2379"/>
      <c r="AG194" s="2379"/>
      <c r="AH194" s="2379"/>
      <c r="AI194" s="2379"/>
      <c r="AJ194" s="2379"/>
      <c r="AK194" s="648"/>
    </row>
    <row r="195" spans="1:37">
      <c r="A195" s="643"/>
      <c r="B195" s="2378"/>
      <c r="C195" s="2378"/>
      <c r="D195" s="2378"/>
      <c r="E195" s="2378"/>
      <c r="F195" s="2378"/>
      <c r="G195" s="2378"/>
      <c r="H195" s="2378"/>
      <c r="I195" s="2378"/>
      <c r="J195" s="2378"/>
      <c r="K195" s="2378"/>
      <c r="L195" s="2378"/>
      <c r="M195" s="2378"/>
      <c r="N195" s="2378"/>
      <c r="O195" s="2378"/>
      <c r="P195" s="2378"/>
      <c r="Q195" s="2378"/>
      <c r="R195" s="2378"/>
      <c r="S195" s="2378"/>
      <c r="T195" s="2378"/>
      <c r="U195" s="2378"/>
      <c r="V195" s="2378"/>
      <c r="W195" s="2378"/>
      <c r="X195" s="2378"/>
      <c r="Y195" s="2378"/>
      <c r="Z195" s="2378"/>
      <c r="AA195" s="2378"/>
      <c r="AB195" s="2378"/>
      <c r="AC195" s="885"/>
      <c r="AD195" s="2379"/>
      <c r="AE195" s="2379"/>
      <c r="AF195" s="2379"/>
      <c r="AG195" s="2379"/>
      <c r="AH195" s="2379"/>
      <c r="AI195" s="2379"/>
      <c r="AJ195" s="2379"/>
      <c r="AK195" s="648"/>
    </row>
    <row r="196" spans="1:37">
      <c r="A196" s="643"/>
      <c r="B196" s="2378"/>
      <c r="C196" s="2378"/>
      <c r="D196" s="2378"/>
      <c r="E196" s="2378"/>
      <c r="F196" s="2378"/>
      <c r="G196" s="2378"/>
      <c r="H196" s="2378"/>
      <c r="I196" s="2378"/>
      <c r="J196" s="2378"/>
      <c r="K196" s="2378"/>
      <c r="L196" s="2378"/>
      <c r="M196" s="2378"/>
      <c r="N196" s="2378"/>
      <c r="O196" s="2378"/>
      <c r="P196" s="2378"/>
      <c r="Q196" s="2378"/>
      <c r="R196" s="2378"/>
      <c r="S196" s="2378"/>
      <c r="T196" s="2378"/>
      <c r="U196" s="2378"/>
      <c r="V196" s="2378"/>
      <c r="W196" s="2378"/>
      <c r="X196" s="2378"/>
      <c r="Y196" s="2378"/>
      <c r="Z196" s="2378"/>
      <c r="AA196" s="2378"/>
      <c r="AB196" s="2378"/>
      <c r="AC196" s="885"/>
      <c r="AD196" s="2379"/>
      <c r="AE196" s="2379"/>
      <c r="AF196" s="2379"/>
      <c r="AG196" s="2379"/>
      <c r="AH196" s="2379"/>
      <c r="AI196" s="2379"/>
      <c r="AJ196" s="2379"/>
      <c r="AK196" s="648"/>
    </row>
    <row r="197" spans="1:37">
      <c r="A197" s="643"/>
      <c r="B197" s="2378"/>
      <c r="C197" s="2378"/>
      <c r="D197" s="2378"/>
      <c r="E197" s="2378"/>
      <c r="F197" s="2378"/>
      <c r="G197" s="2378"/>
      <c r="H197" s="2378"/>
      <c r="I197" s="2378"/>
      <c r="J197" s="2378"/>
      <c r="K197" s="2378"/>
      <c r="L197" s="2378"/>
      <c r="M197" s="2378"/>
      <c r="N197" s="2378"/>
      <c r="O197" s="2378"/>
      <c r="P197" s="2378"/>
      <c r="Q197" s="2378"/>
      <c r="R197" s="2378"/>
      <c r="S197" s="2378"/>
      <c r="T197" s="2378"/>
      <c r="U197" s="2378"/>
      <c r="V197" s="2378"/>
      <c r="W197" s="2378"/>
      <c r="X197" s="2378"/>
      <c r="Y197" s="2378"/>
      <c r="Z197" s="2378"/>
      <c r="AA197" s="2378"/>
      <c r="AB197" s="2378"/>
      <c r="AC197" s="885"/>
      <c r="AD197" s="2379"/>
      <c r="AE197" s="2379"/>
      <c r="AF197" s="2379"/>
      <c r="AG197" s="2379"/>
      <c r="AH197" s="2379"/>
      <c r="AI197" s="2379"/>
      <c r="AJ197" s="2379"/>
      <c r="AK197" s="648"/>
    </row>
    <row r="198" spans="1:37">
      <c r="A198" s="643"/>
      <c r="B198" s="2539" t="s">
        <v>1833</v>
      </c>
      <c r="C198" s="2539"/>
      <c r="D198" s="2539"/>
      <c r="E198" s="2539"/>
      <c r="F198" s="2539"/>
      <c r="G198" s="2539"/>
      <c r="H198" s="2539"/>
      <c r="I198" s="2539"/>
      <c r="J198" s="2539"/>
      <c r="K198" s="2539"/>
      <c r="L198" s="2539"/>
      <c r="M198" s="2539"/>
      <c r="N198" s="2539"/>
      <c r="O198" s="2539"/>
      <c r="P198" s="2539"/>
      <c r="Q198" s="2539"/>
      <c r="R198" s="2539"/>
      <c r="S198" s="2539"/>
      <c r="T198" s="2539"/>
      <c r="U198" s="2539"/>
      <c r="V198" s="2539"/>
      <c r="W198" s="2539"/>
      <c r="X198" s="2539"/>
      <c r="Y198" s="2539"/>
      <c r="Z198" s="2539"/>
      <c r="AA198" s="2539"/>
      <c r="AB198" s="2539"/>
      <c r="AC198" s="574"/>
      <c r="AD198" s="2406">
        <f>AB249</f>
        <v>0</v>
      </c>
      <c r="AE198" s="2406"/>
      <c r="AF198" s="2406"/>
      <c r="AG198" s="2406"/>
      <c r="AH198" s="2406"/>
      <c r="AI198" s="2406"/>
      <c r="AJ198" s="2406"/>
      <c r="AK198" s="648"/>
    </row>
    <row r="199" spans="1:37">
      <c r="A199" s="643"/>
      <c r="B199" s="2537" t="s">
        <v>1796</v>
      </c>
      <c r="C199" s="2537"/>
      <c r="D199" s="2537"/>
      <c r="E199" s="2537"/>
      <c r="F199" s="2537"/>
      <c r="G199" s="2537"/>
      <c r="H199" s="2537"/>
      <c r="I199" s="2537"/>
      <c r="J199" s="2537"/>
      <c r="K199" s="2537"/>
      <c r="L199" s="2537"/>
      <c r="M199" s="2537"/>
      <c r="N199" s="2537"/>
      <c r="O199" s="2537"/>
      <c r="P199" s="2537"/>
      <c r="Q199" s="2537"/>
      <c r="R199" s="2537"/>
      <c r="S199" s="2537"/>
      <c r="T199" s="2537"/>
      <c r="U199" s="2537"/>
      <c r="V199" s="2537"/>
      <c r="W199" s="2537"/>
      <c r="X199" s="2537"/>
      <c r="Y199" s="2537"/>
      <c r="Z199" s="2537"/>
      <c r="AA199" s="2537"/>
      <c r="AB199" s="2537"/>
      <c r="AC199" s="885"/>
      <c r="AD199" s="2407">
        <f>'Sources and Uses Budget'!B15</f>
        <v>0</v>
      </c>
      <c r="AE199" s="2407"/>
      <c r="AF199" s="2407"/>
      <c r="AG199" s="2407"/>
      <c r="AH199" s="2407"/>
      <c r="AI199" s="2407"/>
      <c r="AJ199" s="2407"/>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12">
        <f>SUM(AD188:AJ198)-AD199</f>
        <v>15930009</v>
      </c>
      <c r="AE200" s="2412"/>
      <c r="AF200" s="2412"/>
      <c r="AG200" s="2412"/>
      <c r="AH200" s="2412"/>
      <c r="AI200" s="2412"/>
      <c r="AJ200" s="2412"/>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1801</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1832</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1803</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1804</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2492</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1805</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1806</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1844</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382" t="s">
        <v>1813</v>
      </c>
      <c r="J211" s="2382"/>
      <c r="K211" s="2382"/>
      <c r="L211" s="574"/>
      <c r="M211" s="574"/>
      <c r="N211" s="574"/>
      <c r="O211" s="574"/>
      <c r="P211" s="574"/>
      <c r="Q211" s="574"/>
      <c r="R211" s="574"/>
      <c r="S211" s="574"/>
      <c r="T211" s="2565" t="s">
        <v>1807</v>
      </c>
      <c r="U211" s="2565"/>
      <c r="V211" s="2565"/>
      <c r="W211" s="2565"/>
      <c r="X211" s="2565"/>
      <c r="Y211" s="2565"/>
      <c r="Z211" s="888"/>
      <c r="AA211" s="527"/>
      <c r="AB211" s="2377" t="s">
        <v>1808</v>
      </c>
      <c r="AC211" s="2377"/>
      <c r="AD211" s="2377"/>
      <c r="AE211" s="2377"/>
      <c r="AF211" s="2377"/>
      <c r="AG211" s="2377"/>
      <c r="AH211" s="866"/>
      <c r="AI211" s="866"/>
      <c r="AJ211" s="866"/>
      <c r="AK211" s="648"/>
    </row>
    <row r="212" spans="1:37">
      <c r="A212" s="643"/>
      <c r="B212" s="2380" t="s">
        <v>1793</v>
      </c>
      <c r="C212" s="2380"/>
      <c r="D212" s="2380"/>
      <c r="E212" s="2380"/>
      <c r="F212" s="2380"/>
      <c r="G212" s="2380"/>
      <c r="I212" s="2381" t="s">
        <v>1814</v>
      </c>
      <c r="J212" s="2381"/>
      <c r="K212" s="2381"/>
      <c r="L212" s="1048"/>
      <c r="N212" s="2387" t="s">
        <v>1809</v>
      </c>
      <c r="O212" s="2387"/>
      <c r="P212" s="2387"/>
      <c r="Q212" s="2387"/>
      <c r="R212" s="2387"/>
      <c r="T212" s="2387" t="s">
        <v>1810</v>
      </c>
      <c r="U212" s="2387"/>
      <c r="V212" s="2387"/>
      <c r="W212" s="2387"/>
      <c r="X212" s="2387"/>
      <c r="Y212" s="2387"/>
      <c r="Z212" s="889"/>
      <c r="AA212" s="527"/>
      <c r="AB212" s="2540" t="s">
        <v>1811</v>
      </c>
      <c r="AC212" s="2540"/>
      <c r="AD212" s="2540"/>
      <c r="AE212" s="2540"/>
      <c r="AF212" s="2540"/>
      <c r="AG212" s="2540"/>
      <c r="AH212" s="866"/>
      <c r="AI212" s="866"/>
      <c r="AJ212" s="866"/>
      <c r="AK212" s="648"/>
    </row>
    <row r="213" spans="1:37">
      <c r="A213" s="643"/>
      <c r="B213" s="2384" t="s">
        <v>1349</v>
      </c>
      <c r="C213" s="2384"/>
      <c r="D213" s="2384"/>
      <c r="E213" s="2384"/>
      <c r="F213" s="2384"/>
      <c r="G213" s="2384"/>
      <c r="H213" s="891"/>
      <c r="I213" s="2383"/>
      <c r="J213" s="2383"/>
      <c r="K213" s="2383"/>
      <c r="L213" s="1048"/>
      <c r="N213" s="2388"/>
      <c r="O213" s="2388"/>
      <c r="P213" s="2388"/>
      <c r="Q213" s="2388"/>
      <c r="R213" s="2388"/>
      <c r="T213" s="2538"/>
      <c r="U213" s="2538"/>
      <c r="V213" s="2538"/>
      <c r="W213" s="2538"/>
      <c r="X213" s="2538"/>
      <c r="Y213" s="2538"/>
      <c r="Z213" s="890"/>
      <c r="AA213" s="890"/>
      <c r="AB213" s="2385">
        <f t="shared" ref="AB213:AB222" si="0">MAX(($T213-$N213)*$I213*12,0)</f>
        <v>0</v>
      </c>
      <c r="AC213" s="2385"/>
      <c r="AD213" s="2385"/>
      <c r="AE213" s="2385"/>
      <c r="AF213" s="2385"/>
      <c r="AG213" s="2385"/>
      <c r="AH213" s="866"/>
      <c r="AI213" s="866"/>
      <c r="AJ213" s="866"/>
      <c r="AK213" s="648"/>
    </row>
    <row r="214" spans="1:37">
      <c r="A214" s="643"/>
      <c r="B214" s="2384" t="s">
        <v>1349</v>
      </c>
      <c r="C214" s="2384"/>
      <c r="D214" s="2384"/>
      <c r="E214" s="2384"/>
      <c r="F214" s="2384"/>
      <c r="G214" s="2384"/>
      <c r="I214" s="2383"/>
      <c r="J214" s="2383"/>
      <c r="K214" s="2383"/>
      <c r="L214" s="1048"/>
      <c r="N214" s="2388"/>
      <c r="O214" s="2388"/>
      <c r="P214" s="2388"/>
      <c r="Q214" s="2388"/>
      <c r="R214" s="2388"/>
      <c r="T214" s="2538"/>
      <c r="U214" s="2538"/>
      <c r="V214" s="2538"/>
      <c r="W214" s="2538"/>
      <c r="X214" s="2538"/>
      <c r="Y214" s="2538"/>
      <c r="Z214" s="890"/>
      <c r="AA214" s="890"/>
      <c r="AB214" s="2385">
        <f t="shared" si="0"/>
        <v>0</v>
      </c>
      <c r="AC214" s="2385"/>
      <c r="AD214" s="2385"/>
      <c r="AE214" s="2385"/>
      <c r="AF214" s="2385"/>
      <c r="AG214" s="2385"/>
      <c r="AH214" s="866"/>
      <c r="AI214" s="866"/>
      <c r="AJ214" s="866"/>
      <c r="AK214" s="648"/>
    </row>
    <row r="215" spans="1:37">
      <c r="A215" s="643"/>
      <c r="B215" s="2384" t="s">
        <v>1349</v>
      </c>
      <c r="C215" s="2384"/>
      <c r="D215" s="2384"/>
      <c r="E215" s="2384"/>
      <c r="F215" s="2384"/>
      <c r="G215" s="2384"/>
      <c r="I215" s="2383"/>
      <c r="J215" s="2383"/>
      <c r="K215" s="2383"/>
      <c r="L215" s="1048"/>
      <c r="N215" s="2388"/>
      <c r="O215" s="2388"/>
      <c r="P215" s="2388"/>
      <c r="Q215" s="2388"/>
      <c r="R215" s="2388"/>
      <c r="T215" s="2538"/>
      <c r="U215" s="2538"/>
      <c r="V215" s="2538"/>
      <c r="W215" s="2538"/>
      <c r="X215" s="2538"/>
      <c r="Y215" s="2538"/>
      <c r="Z215" s="890"/>
      <c r="AA215" s="890"/>
      <c r="AB215" s="2385">
        <f t="shared" si="0"/>
        <v>0</v>
      </c>
      <c r="AC215" s="2385"/>
      <c r="AD215" s="2385"/>
      <c r="AE215" s="2385"/>
      <c r="AF215" s="2385"/>
      <c r="AG215" s="2385"/>
      <c r="AH215" s="866"/>
      <c r="AI215" s="866"/>
      <c r="AJ215" s="866"/>
      <c r="AK215" s="648"/>
    </row>
    <row r="216" spans="1:37">
      <c r="A216" s="643"/>
      <c r="B216" s="2384" t="s">
        <v>1349</v>
      </c>
      <c r="C216" s="2384"/>
      <c r="D216" s="2384"/>
      <c r="E216" s="2384"/>
      <c r="F216" s="2384"/>
      <c r="G216" s="2384"/>
      <c r="I216" s="2383"/>
      <c r="J216" s="2383"/>
      <c r="K216" s="2383"/>
      <c r="L216" s="1048"/>
      <c r="N216" s="2388"/>
      <c r="O216" s="2388"/>
      <c r="P216" s="2388"/>
      <c r="Q216" s="2388"/>
      <c r="R216" s="2388"/>
      <c r="T216" s="2538"/>
      <c r="U216" s="2538"/>
      <c r="V216" s="2538"/>
      <c r="W216" s="2538"/>
      <c r="X216" s="2538"/>
      <c r="Y216" s="2538"/>
      <c r="Z216" s="890"/>
      <c r="AA216" s="890"/>
      <c r="AB216" s="2385">
        <f t="shared" si="0"/>
        <v>0</v>
      </c>
      <c r="AC216" s="2385"/>
      <c r="AD216" s="2385"/>
      <c r="AE216" s="2385"/>
      <c r="AF216" s="2385"/>
      <c r="AG216" s="2385"/>
      <c r="AH216" s="866"/>
      <c r="AI216" s="866"/>
      <c r="AJ216" s="866"/>
      <c r="AK216" s="648"/>
    </row>
    <row r="217" spans="1:37">
      <c r="A217" s="643"/>
      <c r="B217" s="2384" t="s">
        <v>1349</v>
      </c>
      <c r="C217" s="2384"/>
      <c r="D217" s="2384"/>
      <c r="E217" s="2384"/>
      <c r="F217" s="2384"/>
      <c r="G217" s="2384"/>
      <c r="I217" s="2383"/>
      <c r="J217" s="2383"/>
      <c r="K217" s="2383"/>
      <c r="L217" s="1055"/>
      <c r="N217" s="2388"/>
      <c r="O217" s="2388"/>
      <c r="P217" s="2388"/>
      <c r="Q217" s="2388"/>
      <c r="R217" s="2388"/>
      <c r="T217" s="2538"/>
      <c r="U217" s="2538"/>
      <c r="V217" s="2538"/>
      <c r="W217" s="2538"/>
      <c r="X217" s="2538"/>
      <c r="Y217" s="2538"/>
      <c r="Z217" s="890"/>
      <c r="AA217" s="890"/>
      <c r="AB217" s="2385">
        <f t="shared" si="0"/>
        <v>0</v>
      </c>
      <c r="AC217" s="2385"/>
      <c r="AD217" s="2385"/>
      <c r="AE217" s="2385"/>
      <c r="AF217" s="2385"/>
      <c r="AG217" s="2385"/>
      <c r="AH217" s="866"/>
      <c r="AI217" s="866"/>
      <c r="AJ217" s="866"/>
      <c r="AK217" s="648"/>
    </row>
    <row r="218" spans="1:37">
      <c r="A218" s="643"/>
      <c r="B218" s="2384" t="s">
        <v>1349</v>
      </c>
      <c r="C218" s="2384"/>
      <c r="D218" s="2384"/>
      <c r="E218" s="2384"/>
      <c r="F218" s="2384"/>
      <c r="G218" s="2384"/>
      <c r="I218" s="2383"/>
      <c r="J218" s="2383"/>
      <c r="K218" s="2383"/>
      <c r="L218" s="1055"/>
      <c r="N218" s="2388"/>
      <c r="O218" s="2388"/>
      <c r="P218" s="2388"/>
      <c r="Q218" s="2388"/>
      <c r="R218" s="2388"/>
      <c r="T218" s="2538"/>
      <c r="U218" s="2538"/>
      <c r="V218" s="2538"/>
      <c r="W218" s="2538"/>
      <c r="X218" s="2538"/>
      <c r="Y218" s="2538"/>
      <c r="Z218" s="890"/>
      <c r="AA218" s="890"/>
      <c r="AB218" s="2385">
        <f t="shared" si="0"/>
        <v>0</v>
      </c>
      <c r="AC218" s="2385"/>
      <c r="AD218" s="2385"/>
      <c r="AE218" s="2385"/>
      <c r="AF218" s="2385"/>
      <c r="AG218" s="2385"/>
      <c r="AH218" s="866"/>
      <c r="AI218" s="866"/>
      <c r="AJ218" s="866"/>
      <c r="AK218" s="648"/>
    </row>
    <row r="219" spans="1:37">
      <c r="A219" s="643"/>
      <c r="B219" s="2384" t="s">
        <v>1349</v>
      </c>
      <c r="C219" s="2384"/>
      <c r="D219" s="2384"/>
      <c r="E219" s="2384"/>
      <c r="F219" s="2384"/>
      <c r="G219" s="2384"/>
      <c r="I219" s="2383"/>
      <c r="J219" s="2383"/>
      <c r="K219" s="2383"/>
      <c r="L219" s="1055"/>
      <c r="N219" s="2388"/>
      <c r="O219" s="2388"/>
      <c r="P219" s="2388"/>
      <c r="Q219" s="2388"/>
      <c r="R219" s="2388"/>
      <c r="T219" s="2538"/>
      <c r="U219" s="2538"/>
      <c r="V219" s="2538"/>
      <c r="W219" s="2538"/>
      <c r="X219" s="2538"/>
      <c r="Y219" s="2538"/>
      <c r="Z219" s="890"/>
      <c r="AA219" s="890"/>
      <c r="AB219" s="2385">
        <f t="shared" si="0"/>
        <v>0</v>
      </c>
      <c r="AC219" s="2385"/>
      <c r="AD219" s="2385"/>
      <c r="AE219" s="2385"/>
      <c r="AF219" s="2385"/>
      <c r="AG219" s="2385"/>
      <c r="AH219" s="866"/>
      <c r="AI219" s="866"/>
      <c r="AJ219" s="866"/>
      <c r="AK219" s="648"/>
    </row>
    <row r="220" spans="1:37">
      <c r="A220" s="643"/>
      <c r="B220" s="2384" t="s">
        <v>1349</v>
      </c>
      <c r="C220" s="2384"/>
      <c r="D220" s="2384"/>
      <c r="E220" s="2384"/>
      <c r="F220" s="2384"/>
      <c r="G220" s="2384"/>
      <c r="I220" s="2383"/>
      <c r="J220" s="2383"/>
      <c r="K220" s="2383"/>
      <c r="L220" s="1055"/>
      <c r="N220" s="2388"/>
      <c r="O220" s="2388"/>
      <c r="P220" s="2388"/>
      <c r="Q220" s="2388"/>
      <c r="R220" s="2388"/>
      <c r="T220" s="2538"/>
      <c r="U220" s="2538"/>
      <c r="V220" s="2538"/>
      <c r="W220" s="2538"/>
      <c r="X220" s="2538"/>
      <c r="Y220" s="2538"/>
      <c r="Z220" s="890"/>
      <c r="AA220" s="890"/>
      <c r="AB220" s="2385">
        <f t="shared" si="0"/>
        <v>0</v>
      </c>
      <c r="AC220" s="2385"/>
      <c r="AD220" s="2385"/>
      <c r="AE220" s="2385"/>
      <c r="AF220" s="2385"/>
      <c r="AG220" s="2385"/>
      <c r="AH220" s="866"/>
      <c r="AI220" s="866"/>
      <c r="AJ220" s="866"/>
      <c r="AK220" s="648"/>
    </row>
    <row r="221" spans="1:37">
      <c r="A221" s="643"/>
      <c r="B221" s="2384" t="s">
        <v>1349</v>
      </c>
      <c r="C221" s="2384"/>
      <c r="D221" s="2384"/>
      <c r="E221" s="2384"/>
      <c r="F221" s="2384"/>
      <c r="G221" s="2384"/>
      <c r="I221" s="2383"/>
      <c r="J221" s="2383"/>
      <c r="K221" s="2383"/>
      <c r="L221" s="1055"/>
      <c r="N221" s="2388"/>
      <c r="O221" s="2388"/>
      <c r="P221" s="2388"/>
      <c r="Q221" s="2388"/>
      <c r="R221" s="2388"/>
      <c r="T221" s="2538"/>
      <c r="U221" s="2538"/>
      <c r="V221" s="2538"/>
      <c r="W221" s="2538"/>
      <c r="X221" s="2538"/>
      <c r="Y221" s="2538"/>
      <c r="Z221" s="890"/>
      <c r="AA221" s="890"/>
      <c r="AB221" s="2385">
        <f t="shared" si="0"/>
        <v>0</v>
      </c>
      <c r="AC221" s="2385"/>
      <c r="AD221" s="2385"/>
      <c r="AE221" s="2385"/>
      <c r="AF221" s="2385"/>
      <c r="AG221" s="2385"/>
      <c r="AH221" s="866"/>
      <c r="AI221" s="866"/>
      <c r="AJ221" s="866"/>
      <c r="AK221" s="648"/>
    </row>
    <row r="222" spans="1:37">
      <c r="A222" s="643"/>
      <c r="B222" s="2384" t="s">
        <v>1349</v>
      </c>
      <c r="C222" s="2384"/>
      <c r="D222" s="2384"/>
      <c r="E222" s="2384"/>
      <c r="F222" s="2384"/>
      <c r="G222" s="2384"/>
      <c r="I222" s="2386"/>
      <c r="J222" s="2386"/>
      <c r="K222" s="2386"/>
      <c r="L222" s="1055"/>
      <c r="N222" s="2388"/>
      <c r="O222" s="2388"/>
      <c r="P222" s="2388"/>
      <c r="Q222" s="2388"/>
      <c r="R222" s="2388"/>
      <c r="T222" s="2538"/>
      <c r="U222" s="2538"/>
      <c r="V222" s="2538"/>
      <c r="W222" s="2538"/>
      <c r="X222" s="2538"/>
      <c r="Y222" s="2538"/>
      <c r="Z222" s="890"/>
      <c r="AA222" s="890"/>
      <c r="AB222" s="2536">
        <f t="shared" si="0"/>
        <v>0</v>
      </c>
      <c r="AC222" s="2536"/>
      <c r="AD222" s="2536"/>
      <c r="AE222" s="2536"/>
      <c r="AF222" s="2536"/>
      <c r="AG222" s="2536"/>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1812</v>
      </c>
      <c r="AA223" s="892"/>
      <c r="AB223" s="2385">
        <f>SUM(AB213:AB222)</f>
        <v>0</v>
      </c>
      <c r="AC223" s="2385"/>
      <c r="AD223" s="2385"/>
      <c r="AE223" s="2385"/>
      <c r="AF223" s="2385"/>
      <c r="AG223" s="2385"/>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1802</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1830</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1828</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1822</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41"/>
      <c r="AC229" s="2541"/>
      <c r="AD229" s="2541"/>
      <c r="AE229" s="2541"/>
      <c r="AF229" s="2541"/>
      <c r="AG229" s="2541"/>
      <c r="AH229" s="648"/>
      <c r="AI229" s="648"/>
      <c r="AJ229" s="648"/>
      <c r="AK229" s="648"/>
    </row>
    <row r="230" spans="1:37">
      <c r="A230" s="643"/>
      <c r="B230" s="876" t="s">
        <v>1827</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1829</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1823</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41"/>
      <c r="AC232" s="2541"/>
      <c r="AD232" s="2541"/>
      <c r="AE232" s="2541"/>
      <c r="AF232" s="2541"/>
      <c r="AG232" s="2541"/>
      <c r="AH232" s="648"/>
      <c r="AI232" s="648"/>
      <c r="AJ232" s="648"/>
      <c r="AK232" s="648"/>
    </row>
    <row r="233" spans="1:37">
      <c r="A233" s="643"/>
      <c r="B233" s="877" t="s">
        <v>1824</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64"/>
      <c r="AC233" s="2564"/>
      <c r="AD233" s="2564"/>
      <c r="AE233" s="2564"/>
      <c r="AF233" s="2564"/>
      <c r="AG233" s="2564"/>
      <c r="AH233" s="648"/>
      <c r="AI233" s="648"/>
      <c r="AJ233" s="648"/>
      <c r="AK233" s="648"/>
    </row>
    <row r="234" spans="1:37">
      <c r="A234" s="643"/>
      <c r="B234" s="877" t="s">
        <v>1825</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47">
        <f>IFERROR(AB232/AB233,0)</f>
        <v>0</v>
      </c>
      <c r="AC234" s="2547"/>
      <c r="AD234" s="2547"/>
      <c r="AE234" s="2547"/>
      <c r="AF234" s="2547"/>
      <c r="AG234" s="2547"/>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1826</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36">
        <f>MAX(AB229,AB234)</f>
        <v>0</v>
      </c>
      <c r="AC236" s="2536"/>
      <c r="AD236" s="2536"/>
      <c r="AE236" s="2536"/>
      <c r="AF236" s="2536"/>
      <c r="AG236" s="2536"/>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1815</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85">
        <f>AB223+AB236</f>
        <v>0</v>
      </c>
      <c r="AC239" s="2385"/>
      <c r="AD239" s="2385"/>
      <c r="AE239" s="2385"/>
      <c r="AF239" s="2385"/>
      <c r="AG239" s="2385"/>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16">
        <v>0.05</v>
      </c>
      <c r="AC240" s="2416"/>
      <c r="AD240" s="2416"/>
      <c r="AE240" s="2416"/>
      <c r="AF240" s="2416"/>
      <c r="AG240" s="2416"/>
      <c r="AH240" s="648"/>
      <c r="AI240" s="648"/>
      <c r="AJ240" s="648"/>
      <c r="AK240" s="648"/>
    </row>
    <row r="241" spans="1:37">
      <c r="A241" s="643"/>
      <c r="B241" s="514" t="s">
        <v>1816</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17">
        <f>AB239-(AB239*AB240)</f>
        <v>0</v>
      </c>
      <c r="AC241" s="2417"/>
      <c r="AD241" s="2417"/>
      <c r="AE241" s="2417"/>
      <c r="AF241" s="2417"/>
      <c r="AG241" s="2417"/>
      <c r="AH241" s="648"/>
      <c r="AI241" s="648"/>
      <c r="AJ241" s="648"/>
      <c r="AK241" s="648"/>
    </row>
    <row r="242" spans="1:37">
      <c r="A242" s="643"/>
      <c r="B242" s="514" t="s">
        <v>1817</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1818</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85">
        <f>AB241/AB247</f>
        <v>0</v>
      </c>
      <c r="AC243" s="2385"/>
      <c r="AD243" s="2385"/>
      <c r="AE243" s="2385"/>
      <c r="AF243" s="2385"/>
      <c r="AG243" s="2385"/>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1819</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377">
        <v>15</v>
      </c>
      <c r="AC245" s="2377"/>
      <c r="AD245" s="2377"/>
      <c r="AE245" s="2377"/>
      <c r="AF245" s="2377"/>
      <c r="AG245" s="2377"/>
      <c r="AH245" s="648"/>
      <c r="AI245" s="648"/>
      <c r="AJ245" s="648"/>
      <c r="AK245" s="648"/>
    </row>
    <row r="246" spans="1:37">
      <c r="A246" s="643"/>
      <c r="B246" s="514" t="s">
        <v>1820</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18">
        <v>0.04</v>
      </c>
      <c r="AC246" s="2418"/>
      <c r="AD246" s="2418"/>
      <c r="AE246" s="2418"/>
      <c r="AF246" s="2418"/>
      <c r="AG246" s="2418"/>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389">
        <v>1.1499999999999999</v>
      </c>
      <c r="AC247" s="2389"/>
      <c r="AD247" s="2389"/>
      <c r="AE247" s="2389"/>
      <c r="AF247" s="2389"/>
      <c r="AG247" s="2389"/>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1821</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09">
        <f>PV(AB246/12,AB245*12,-AB243/12, ,0)</f>
        <v>0</v>
      </c>
      <c r="AC249" s="2410"/>
      <c r="AD249" s="2410"/>
      <c r="AE249" s="2410"/>
      <c r="AF249" s="2410"/>
      <c r="AG249" s="2411"/>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1797</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1800</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1799</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1798</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13">
        <f>IFERROR(('Sources and Uses Budget'!D105/'Sources and Uses Budget'!B105),0)</f>
        <v>0</v>
      </c>
      <c r="AC255" s="2414"/>
      <c r="AD255" s="2414"/>
      <c r="AE255" s="2414"/>
      <c r="AF255" s="2414"/>
      <c r="AG255" s="2415"/>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1570</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402">
        <f>AD200*(1-AB255)</f>
        <v>15930009</v>
      </c>
      <c r="AH257" s="2402"/>
      <c r="AI257" s="2402"/>
      <c r="AJ257" s="2402"/>
      <c r="AK257" s="2402"/>
    </row>
    <row r="258" spans="1:52">
      <c r="A258" s="660"/>
      <c r="B258" s="663" t="s">
        <v>1571</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402">
        <f>'Sources and Uses Budget'!C105</f>
        <v>48393257</v>
      </c>
      <c r="AH258" s="2402"/>
      <c r="AI258" s="2402"/>
      <c r="AJ258" s="2402"/>
      <c r="AK258" s="2402"/>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03">
        <f>ROUNDDOWN(IF(AND(C281="Yes",AK78=10),((AG257*2)/AG258),AG257/AG258),2)</f>
        <v>0.65</v>
      </c>
      <c r="AH259" s="2403"/>
      <c r="AI259" s="2403"/>
      <c r="AJ259" s="2403"/>
      <c r="AK259" s="2403"/>
    </row>
    <row r="260" spans="1:52">
      <c r="A260" s="660"/>
      <c r="B260" s="1018" t="s">
        <v>2057</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1572</v>
      </c>
      <c r="AK262" s="2404">
        <f>IFERROR(IF(AG259=0,0,IF((AG259*100)&gt;8,8,(AG259*100))),0)</f>
        <v>8</v>
      </c>
      <c r="AL262" s="2404"/>
      <c r="AM262" s="2405"/>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1573</v>
      </c>
      <c r="B265" s="576" t="s">
        <v>1574</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1511</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396" t="s">
        <v>571</v>
      </c>
      <c r="D267" s="2396"/>
      <c r="E267" s="585"/>
      <c r="F267" s="2550" t="s">
        <v>2493</v>
      </c>
      <c r="G267" s="2551"/>
      <c r="H267" s="2551"/>
      <c r="I267" s="2551"/>
      <c r="J267" s="2551"/>
      <c r="K267" s="2551"/>
      <c r="L267" s="2551"/>
      <c r="M267" s="2551"/>
      <c r="N267" s="2551"/>
      <c r="O267" s="2551"/>
      <c r="P267" s="2551"/>
      <c r="Q267" s="2551"/>
      <c r="R267" s="2551"/>
      <c r="S267" s="2551"/>
      <c r="T267" s="2551"/>
      <c r="U267" s="2551"/>
      <c r="V267" s="2551"/>
      <c r="W267" s="2551"/>
      <c r="X267" s="2551"/>
      <c r="Y267" s="2551"/>
      <c r="Z267" s="2551"/>
      <c r="AA267" s="2551"/>
      <c r="AB267" s="2551"/>
      <c r="AC267" s="2551"/>
      <c r="AD267" s="2552"/>
      <c r="AE267" s="588"/>
      <c r="AF267" s="673"/>
      <c r="AG267" s="2397" t="s">
        <v>1560</v>
      </c>
      <c r="AH267" s="2397"/>
      <c r="AI267" s="2397"/>
      <c r="AJ267" s="2397"/>
      <c r="AK267" s="588"/>
      <c r="AL267" s="588"/>
      <c r="AM267" s="588"/>
      <c r="AO267" s="588"/>
    </row>
    <row r="268" spans="1:52" ht="13.7" customHeight="1">
      <c r="A268" s="588"/>
      <c r="B268" s="634"/>
      <c r="C268" s="674"/>
      <c r="D268" s="588"/>
      <c r="E268" s="585"/>
      <c r="F268" s="2553"/>
      <c r="G268" s="2554"/>
      <c r="H268" s="2554"/>
      <c r="I268" s="2554"/>
      <c r="J268" s="2554"/>
      <c r="K268" s="2554"/>
      <c r="L268" s="2554"/>
      <c r="M268" s="2554"/>
      <c r="N268" s="2554"/>
      <c r="O268" s="2554"/>
      <c r="P268" s="2554"/>
      <c r="Q268" s="2554"/>
      <c r="R268" s="2554"/>
      <c r="S268" s="2554"/>
      <c r="T268" s="2554"/>
      <c r="U268" s="2554"/>
      <c r="V268" s="2554"/>
      <c r="W268" s="2554"/>
      <c r="X268" s="2554"/>
      <c r="Y268" s="2554"/>
      <c r="Z268" s="2554"/>
      <c r="AA268" s="2554"/>
      <c r="AB268" s="2554"/>
      <c r="AC268" s="2554"/>
      <c r="AD268" s="2555"/>
      <c r="AE268" s="588"/>
      <c r="AF268" s="673"/>
      <c r="AG268" s="673"/>
      <c r="AH268" s="673"/>
      <c r="AI268" s="673"/>
      <c r="AJ268" s="588"/>
      <c r="AK268" s="588"/>
      <c r="AL268" s="588"/>
      <c r="AM268" s="588"/>
      <c r="AO268" s="588"/>
    </row>
    <row r="269" spans="1:52">
      <c r="A269" s="588"/>
      <c r="B269" s="634"/>
      <c r="C269" s="674"/>
      <c r="D269" s="588"/>
      <c r="E269" s="585"/>
      <c r="F269" s="2553"/>
      <c r="G269" s="2554"/>
      <c r="H269" s="2554"/>
      <c r="I269" s="2554"/>
      <c r="J269" s="2554"/>
      <c r="K269" s="2554"/>
      <c r="L269" s="2554"/>
      <c r="M269" s="2554"/>
      <c r="N269" s="2554"/>
      <c r="O269" s="2554"/>
      <c r="P269" s="2554"/>
      <c r="Q269" s="2554"/>
      <c r="R269" s="2554"/>
      <c r="S269" s="2554"/>
      <c r="T269" s="2554"/>
      <c r="U269" s="2554"/>
      <c r="V269" s="2554"/>
      <c r="W269" s="2554"/>
      <c r="X269" s="2554"/>
      <c r="Y269" s="2554"/>
      <c r="Z269" s="2554"/>
      <c r="AA269" s="2554"/>
      <c r="AB269" s="2554"/>
      <c r="AC269" s="2554"/>
      <c r="AD269" s="2555"/>
      <c r="AE269" s="588"/>
      <c r="AF269" s="673"/>
      <c r="AG269" s="673"/>
      <c r="AH269" s="673"/>
      <c r="AI269" s="673"/>
      <c r="AJ269" s="588"/>
      <c r="AK269" s="588"/>
      <c r="AL269" s="588"/>
      <c r="AM269" s="588"/>
      <c r="AO269" s="588"/>
      <c r="AP269" s="675"/>
    </row>
    <row r="270" spans="1:52">
      <c r="A270" s="588"/>
      <c r="B270" s="634"/>
      <c r="C270" s="674"/>
      <c r="D270" s="588"/>
      <c r="E270" s="585"/>
      <c r="F270" s="2553"/>
      <c r="G270" s="2554"/>
      <c r="H270" s="2554"/>
      <c r="I270" s="2554"/>
      <c r="J270" s="2554"/>
      <c r="K270" s="2554"/>
      <c r="L270" s="2554"/>
      <c r="M270" s="2554"/>
      <c r="N270" s="2554"/>
      <c r="O270" s="2554"/>
      <c r="P270" s="2554"/>
      <c r="Q270" s="2554"/>
      <c r="R270" s="2554"/>
      <c r="S270" s="2554"/>
      <c r="T270" s="2554"/>
      <c r="U270" s="2554"/>
      <c r="V270" s="2554"/>
      <c r="W270" s="2554"/>
      <c r="X270" s="2554"/>
      <c r="Y270" s="2554"/>
      <c r="Z270" s="2554"/>
      <c r="AA270" s="2554"/>
      <c r="AB270" s="2554"/>
      <c r="AC270" s="2554"/>
      <c r="AD270" s="2555"/>
      <c r="AE270" s="588"/>
      <c r="AF270" s="673"/>
      <c r="AG270" s="673"/>
      <c r="AH270" s="673"/>
      <c r="AI270" s="673"/>
      <c r="AJ270" s="588"/>
      <c r="AK270" s="588"/>
      <c r="AL270" s="588"/>
      <c r="AM270" s="588"/>
      <c r="AO270" s="588"/>
      <c r="AP270" s="675"/>
    </row>
    <row r="271" spans="1:52" ht="13.7" customHeight="1">
      <c r="A271" s="588"/>
      <c r="B271" s="634"/>
      <c r="C271" s="2398"/>
      <c r="D271" s="2398"/>
      <c r="E271" s="585"/>
      <c r="F271" s="2556"/>
      <c r="G271" s="2557"/>
      <c r="H271" s="2557"/>
      <c r="I271" s="2557"/>
      <c r="J271" s="2557"/>
      <c r="K271" s="2557"/>
      <c r="L271" s="2557"/>
      <c r="M271" s="2557"/>
      <c r="N271" s="2557"/>
      <c r="O271" s="2557"/>
      <c r="P271" s="2557"/>
      <c r="Q271" s="2557"/>
      <c r="R271" s="2557"/>
      <c r="S271" s="2557"/>
      <c r="T271" s="2557"/>
      <c r="U271" s="2557"/>
      <c r="V271" s="2557"/>
      <c r="W271" s="2557"/>
      <c r="X271" s="2557"/>
      <c r="Y271" s="2557"/>
      <c r="Z271" s="2557"/>
      <c r="AA271" s="2557"/>
      <c r="AB271" s="2557"/>
      <c r="AC271" s="2557"/>
      <c r="AD271" s="2558"/>
      <c r="AE271" s="588"/>
      <c r="AF271" s="673"/>
      <c r="AG271" s="2397"/>
      <c r="AH271" s="2397"/>
      <c r="AI271" s="2397"/>
      <c r="AJ271" s="2397"/>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1576</v>
      </c>
      <c r="AK274" s="2404">
        <f>IF($C$267="yes",10,0)</f>
        <v>10</v>
      </c>
      <c r="AL274" s="2404"/>
      <c r="AM274" s="2405"/>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1577</v>
      </c>
      <c r="B277" s="576" t="s">
        <v>2172</v>
      </c>
      <c r="AH277" s="629" t="s">
        <v>1511</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56" t="s">
        <v>1579</v>
      </c>
      <c r="B281" s="1656"/>
      <c r="C281" s="2393" t="s">
        <v>571</v>
      </c>
      <c r="D281" s="2396"/>
      <c r="E281" s="585"/>
      <c r="F281" s="2425" t="s">
        <v>1580</v>
      </c>
      <c r="G281" s="2426"/>
      <c r="H281" s="2426"/>
      <c r="I281" s="2426"/>
      <c r="J281" s="2426"/>
      <c r="K281" s="2426"/>
      <c r="L281" s="2426"/>
      <c r="M281" s="2426"/>
      <c r="N281" s="2426"/>
      <c r="O281" s="2426"/>
      <c r="P281" s="2426"/>
      <c r="Q281" s="2426"/>
      <c r="R281" s="2426"/>
      <c r="S281" s="2426"/>
      <c r="T281" s="2426"/>
      <c r="U281" s="2426"/>
      <c r="V281" s="2426"/>
      <c r="W281" s="2426"/>
      <c r="X281" s="2426"/>
      <c r="Y281" s="2426"/>
      <c r="Z281" s="2426"/>
      <c r="AA281" s="2426"/>
      <c r="AB281" s="2426"/>
      <c r="AC281" s="2426"/>
      <c r="AD281" s="2427"/>
      <c r="AE281" s="680"/>
      <c r="AF281" s="588"/>
      <c r="AG281" s="2428" t="s">
        <v>2486</v>
      </c>
      <c r="AH281" s="2428"/>
      <c r="AI281" s="2428"/>
      <c r="AJ281" s="2428"/>
      <c r="AK281" s="2428"/>
      <c r="AL281" s="588"/>
      <c r="AM281" s="588"/>
      <c r="AN281" s="73"/>
      <c r="AO281" s="14"/>
      <c r="AP281" s="30"/>
      <c r="AS281" s="608"/>
      <c r="AT281" s="608"/>
      <c r="AU281" s="608"/>
      <c r="AV281" s="32"/>
      <c r="AW281" s="32"/>
    </row>
    <row r="282" spans="1:49">
      <c r="A282" s="678"/>
      <c r="B282" s="634"/>
      <c r="F282" s="2419"/>
      <c r="G282" s="2420"/>
      <c r="H282" s="2420"/>
      <c r="I282" s="2420"/>
      <c r="J282" s="2420"/>
      <c r="K282" s="2420"/>
      <c r="L282" s="2420"/>
      <c r="M282" s="2420"/>
      <c r="N282" s="2420"/>
      <c r="O282" s="2420"/>
      <c r="P282" s="2420"/>
      <c r="Q282" s="2420"/>
      <c r="R282" s="2420"/>
      <c r="S282" s="2420"/>
      <c r="T282" s="2420"/>
      <c r="U282" s="2420"/>
      <c r="V282" s="2420"/>
      <c r="W282" s="2420"/>
      <c r="X282" s="2420"/>
      <c r="Y282" s="2420"/>
      <c r="Z282" s="2420"/>
      <c r="AA282" s="2420"/>
      <c r="AB282" s="2420"/>
      <c r="AC282" s="2420"/>
      <c r="AD282" s="2421"/>
      <c r="AE282" s="680"/>
      <c r="AF282" s="589"/>
      <c r="AH282" s="589"/>
      <c r="AI282" s="589"/>
      <c r="AJ282" s="588"/>
      <c r="AK282" s="588"/>
      <c r="AL282" s="588"/>
      <c r="AM282" s="588"/>
      <c r="AN282" s="73"/>
      <c r="AO282" s="14"/>
      <c r="AP282" s="588">
        <f>IF($C$281="yes",10,IF(C281="50% Met",9,0))</f>
        <v>10</v>
      </c>
      <c r="AS282" s="608"/>
      <c r="AT282" s="608"/>
      <c r="AU282" s="608"/>
      <c r="AV282" s="32"/>
      <c r="AW282" s="32"/>
    </row>
    <row r="283" spans="1:49" ht="15" customHeight="1">
      <c r="A283" s="678"/>
      <c r="B283" s="634"/>
      <c r="F283" s="2419"/>
      <c r="G283" s="2420"/>
      <c r="H283" s="2420"/>
      <c r="I283" s="2420"/>
      <c r="J283" s="2420"/>
      <c r="K283" s="2420"/>
      <c r="L283" s="2420"/>
      <c r="M283" s="2420"/>
      <c r="N283" s="2420"/>
      <c r="O283" s="2420"/>
      <c r="P283" s="2420"/>
      <c r="Q283" s="2420"/>
      <c r="R283" s="2420"/>
      <c r="S283" s="2420"/>
      <c r="T283" s="2420"/>
      <c r="U283" s="2420"/>
      <c r="V283" s="2420"/>
      <c r="W283" s="2420"/>
      <c r="X283" s="2420"/>
      <c r="Y283" s="2420"/>
      <c r="Z283" s="2420"/>
      <c r="AA283" s="2420"/>
      <c r="AB283" s="2420"/>
      <c r="AC283" s="2420"/>
      <c r="AD283" s="2421"/>
      <c r="AE283" s="680"/>
      <c r="AF283" s="589"/>
      <c r="AH283" s="589"/>
      <c r="AI283" s="589"/>
      <c r="AJ283" s="588"/>
      <c r="AK283" s="588"/>
      <c r="AL283" s="588"/>
      <c r="AM283" s="588"/>
      <c r="AN283" s="73"/>
      <c r="AO283" s="14"/>
      <c r="AP283" s="588">
        <f>IF($C$291="yes",9,0)</f>
        <v>0</v>
      </c>
      <c r="AS283" s="608"/>
      <c r="AT283" s="608"/>
      <c r="AU283" s="608"/>
      <c r="AV283" s="32"/>
      <c r="AW283" s="32"/>
    </row>
    <row r="284" spans="1:49" ht="12.75" customHeight="1">
      <c r="A284" s="678"/>
      <c r="B284" s="634"/>
      <c r="F284" s="2419" t="s">
        <v>2494</v>
      </c>
      <c r="G284" s="2420"/>
      <c r="H284" s="2420"/>
      <c r="I284" s="2420"/>
      <c r="J284" s="2420"/>
      <c r="K284" s="2420"/>
      <c r="L284" s="2420"/>
      <c r="M284" s="2420"/>
      <c r="N284" s="2420"/>
      <c r="O284" s="2420"/>
      <c r="P284" s="2420"/>
      <c r="Q284" s="2420"/>
      <c r="R284" s="2420"/>
      <c r="S284" s="2420"/>
      <c r="T284" s="2420"/>
      <c r="U284" s="2420"/>
      <c r="V284" s="2420"/>
      <c r="W284" s="2420"/>
      <c r="X284" s="2420"/>
      <c r="Y284" s="2420"/>
      <c r="Z284" s="2420"/>
      <c r="AA284" s="2420"/>
      <c r="AB284" s="2420"/>
      <c r="AC284" s="2420"/>
      <c r="AD284" s="2421"/>
      <c r="AE284" s="680"/>
      <c r="AF284" s="589"/>
      <c r="AH284" s="589"/>
      <c r="AI284" s="589"/>
      <c r="AJ284" s="588"/>
      <c r="AK284" s="588"/>
      <c r="AL284" s="588"/>
      <c r="AM284" s="588"/>
      <c r="AN284" s="73"/>
      <c r="AO284" s="14"/>
      <c r="AP284" s="649">
        <f>MAX(AP282,AP283)</f>
        <v>10</v>
      </c>
      <c r="AQ284" s="612" t="s">
        <v>1513</v>
      </c>
      <c r="AS284" s="608"/>
      <c r="AT284" s="608"/>
      <c r="AU284" s="608"/>
      <c r="AV284" s="32"/>
      <c r="AW284" s="32"/>
    </row>
    <row r="285" spans="1:49">
      <c r="A285" s="678"/>
      <c r="B285" s="634"/>
      <c r="F285" s="2419"/>
      <c r="G285" s="2420"/>
      <c r="H285" s="2420"/>
      <c r="I285" s="2420"/>
      <c r="J285" s="2420"/>
      <c r="K285" s="2420"/>
      <c r="L285" s="2420"/>
      <c r="M285" s="2420"/>
      <c r="N285" s="2420"/>
      <c r="O285" s="2420"/>
      <c r="P285" s="2420"/>
      <c r="Q285" s="2420"/>
      <c r="R285" s="2420"/>
      <c r="S285" s="2420"/>
      <c r="T285" s="2420"/>
      <c r="U285" s="2420"/>
      <c r="V285" s="2420"/>
      <c r="W285" s="2420"/>
      <c r="X285" s="2420"/>
      <c r="Y285" s="2420"/>
      <c r="Z285" s="2420"/>
      <c r="AA285" s="2420"/>
      <c r="AB285" s="2420"/>
      <c r="AC285" s="2420"/>
      <c r="AD285" s="2421"/>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19" t="s">
        <v>1581</v>
      </c>
      <c r="G286" s="2420"/>
      <c r="H286" s="2420"/>
      <c r="I286" s="2420"/>
      <c r="J286" s="2420"/>
      <c r="K286" s="2420"/>
      <c r="L286" s="2420"/>
      <c r="M286" s="2420"/>
      <c r="N286" s="2420"/>
      <c r="O286" s="2420"/>
      <c r="P286" s="2420"/>
      <c r="Q286" s="2420"/>
      <c r="R286" s="2420"/>
      <c r="S286" s="2420"/>
      <c r="T286" s="2420"/>
      <c r="U286" s="2420"/>
      <c r="V286" s="2420"/>
      <c r="W286" s="2420"/>
      <c r="X286" s="2420"/>
      <c r="Y286" s="2420"/>
      <c r="Z286" s="2420"/>
      <c r="AA286" s="2420"/>
      <c r="AB286" s="2420"/>
      <c r="AC286" s="2420"/>
      <c r="AD286" s="2421"/>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19"/>
      <c r="G287" s="2420"/>
      <c r="H287" s="2420"/>
      <c r="I287" s="2420"/>
      <c r="J287" s="2420"/>
      <c r="K287" s="2420"/>
      <c r="L287" s="2420"/>
      <c r="M287" s="2420"/>
      <c r="N287" s="2420"/>
      <c r="O287" s="2420"/>
      <c r="P287" s="2420"/>
      <c r="Q287" s="2420"/>
      <c r="R287" s="2420"/>
      <c r="S287" s="2420"/>
      <c r="T287" s="2420"/>
      <c r="U287" s="2420"/>
      <c r="V287" s="2420"/>
      <c r="W287" s="2420"/>
      <c r="X287" s="2420"/>
      <c r="Y287" s="2420"/>
      <c r="Z287" s="2420"/>
      <c r="AA287" s="2420"/>
      <c r="AB287" s="2420"/>
      <c r="AC287" s="2420"/>
      <c r="AD287" s="2421"/>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19" t="s">
        <v>1582</v>
      </c>
      <c r="G288" s="2420"/>
      <c r="H288" s="2420"/>
      <c r="I288" s="2420"/>
      <c r="J288" s="2420"/>
      <c r="K288" s="2420"/>
      <c r="L288" s="2420"/>
      <c r="M288" s="2420"/>
      <c r="N288" s="2420"/>
      <c r="O288" s="2420"/>
      <c r="P288" s="2420"/>
      <c r="Q288" s="2420"/>
      <c r="R288" s="2420"/>
      <c r="S288" s="2420"/>
      <c r="T288" s="2420"/>
      <c r="U288" s="2420"/>
      <c r="V288" s="2420"/>
      <c r="W288" s="2420"/>
      <c r="X288" s="2420"/>
      <c r="Y288" s="2420"/>
      <c r="Z288" s="2420"/>
      <c r="AA288" s="2420"/>
      <c r="AB288" s="2420"/>
      <c r="AC288" s="2420"/>
      <c r="AD288" s="2421"/>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22"/>
      <c r="G289" s="2423"/>
      <c r="H289" s="2423"/>
      <c r="I289" s="2423"/>
      <c r="J289" s="2423"/>
      <c r="K289" s="2423"/>
      <c r="L289" s="2423"/>
      <c r="M289" s="2423"/>
      <c r="N289" s="2423"/>
      <c r="O289" s="2423"/>
      <c r="P289" s="2423"/>
      <c r="Q289" s="2423"/>
      <c r="R289" s="2423"/>
      <c r="S289" s="2423"/>
      <c r="T289" s="2423"/>
      <c r="U289" s="2423"/>
      <c r="V289" s="2423"/>
      <c r="W289" s="2423"/>
      <c r="X289" s="2423"/>
      <c r="Y289" s="2423"/>
      <c r="Z289" s="2423"/>
      <c r="AA289" s="2423"/>
      <c r="AB289" s="2423"/>
      <c r="AC289" s="2423"/>
      <c r="AD289" s="2424"/>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56" t="s">
        <v>1583</v>
      </c>
      <c r="B291" s="1656"/>
      <c r="C291" s="2396" t="s">
        <v>618</v>
      </c>
      <c r="D291" s="2396"/>
      <c r="E291" s="585"/>
      <c r="F291" s="682" t="s">
        <v>2487</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1585</v>
      </c>
      <c r="AH291" s="589"/>
      <c r="AI291" s="589"/>
      <c r="AJ291" s="588"/>
      <c r="AK291" s="588"/>
      <c r="AL291" s="588"/>
      <c r="AM291" s="588"/>
      <c r="AN291" s="685"/>
      <c r="AO291" s="14"/>
    </row>
    <row r="292" spans="1:49">
      <c r="A292" s="588"/>
      <c r="B292" s="589"/>
      <c r="C292" s="588"/>
      <c r="D292" s="589"/>
      <c r="E292" s="588"/>
      <c r="F292" s="2331" t="s">
        <v>2488</v>
      </c>
      <c r="G292" s="2332"/>
      <c r="H292" s="2332"/>
      <c r="I292" s="2332"/>
      <c r="J292" s="2332"/>
      <c r="K292" s="2332"/>
      <c r="L292" s="2332"/>
      <c r="M292" s="2332"/>
      <c r="N292" s="2332"/>
      <c r="O292" s="2332"/>
      <c r="P292" s="2332"/>
      <c r="Q292" s="2332"/>
      <c r="R292" s="2332"/>
      <c r="S292" s="2332"/>
      <c r="T292" s="2332"/>
      <c r="U292" s="2332"/>
      <c r="V292" s="2332"/>
      <c r="W292" s="2332"/>
      <c r="X292" s="2332"/>
      <c r="Y292" s="2332"/>
      <c r="Z292" s="2332"/>
      <c r="AA292" s="2332"/>
      <c r="AB292" s="2332"/>
      <c r="AC292" s="2332"/>
      <c r="AD292" s="2333"/>
      <c r="AE292" s="589"/>
      <c r="AF292" s="589"/>
      <c r="AG292" s="589"/>
      <c r="AH292" s="589"/>
      <c r="AI292" s="589"/>
      <c r="AJ292" s="588"/>
      <c r="AK292" s="588"/>
      <c r="AL292" s="588"/>
      <c r="AM292" s="588"/>
      <c r="AR292" s="686"/>
    </row>
    <row r="293" spans="1:49" ht="15" customHeight="1">
      <c r="A293" s="588"/>
      <c r="B293" s="589"/>
      <c r="C293" s="588"/>
      <c r="D293" s="589"/>
      <c r="E293" s="588"/>
      <c r="F293" s="2331"/>
      <c r="G293" s="2332"/>
      <c r="H293" s="2332"/>
      <c r="I293" s="2332"/>
      <c r="J293" s="2332"/>
      <c r="K293" s="2332"/>
      <c r="L293" s="2332"/>
      <c r="M293" s="2332"/>
      <c r="N293" s="2332"/>
      <c r="O293" s="2332"/>
      <c r="P293" s="2332"/>
      <c r="Q293" s="2332"/>
      <c r="R293" s="2332"/>
      <c r="S293" s="2332"/>
      <c r="T293" s="2332"/>
      <c r="U293" s="2332"/>
      <c r="V293" s="2332"/>
      <c r="W293" s="2332"/>
      <c r="X293" s="2332"/>
      <c r="Y293" s="2332"/>
      <c r="Z293" s="2332"/>
      <c r="AA293" s="2332"/>
      <c r="AB293" s="2332"/>
      <c r="AC293" s="2332"/>
      <c r="AD293" s="2333"/>
      <c r="AE293" s="589"/>
      <c r="AF293" s="589"/>
      <c r="AG293" s="589"/>
      <c r="AH293" s="589"/>
      <c r="AI293" s="589"/>
      <c r="AJ293" s="588"/>
      <c r="AK293" s="588"/>
      <c r="AL293" s="588"/>
      <c r="AM293" s="588"/>
      <c r="AR293" s="686"/>
    </row>
    <row r="294" spans="1:49">
      <c r="A294" s="588"/>
      <c r="B294" s="589"/>
      <c r="C294" s="588"/>
      <c r="D294" s="589"/>
      <c r="E294" s="588"/>
      <c r="F294" s="2331"/>
      <c r="G294" s="2332"/>
      <c r="H294" s="2332"/>
      <c r="I294" s="2332"/>
      <c r="J294" s="2332"/>
      <c r="K294" s="2332"/>
      <c r="L294" s="2332"/>
      <c r="M294" s="2332"/>
      <c r="N294" s="2332"/>
      <c r="O294" s="2332"/>
      <c r="P294" s="2332"/>
      <c r="Q294" s="2332"/>
      <c r="R294" s="2332"/>
      <c r="S294" s="2332"/>
      <c r="T294" s="2332"/>
      <c r="U294" s="2332"/>
      <c r="V294" s="2332"/>
      <c r="W294" s="2332"/>
      <c r="X294" s="2332"/>
      <c r="Y294" s="2332"/>
      <c r="Z294" s="2332"/>
      <c r="AA294" s="2332"/>
      <c r="AB294" s="2332"/>
      <c r="AC294" s="2332"/>
      <c r="AD294" s="2333"/>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28"/>
      <c r="G295" s="2329"/>
      <c r="H295" s="2329"/>
      <c r="I295" s="2329"/>
      <c r="J295" s="2329"/>
      <c r="K295" s="2329"/>
      <c r="L295" s="2329"/>
      <c r="M295" s="2329"/>
      <c r="N295" s="2329"/>
      <c r="O295" s="2329"/>
      <c r="P295" s="2329"/>
      <c r="Q295" s="2329"/>
      <c r="R295" s="2329"/>
      <c r="S295" s="2329"/>
      <c r="T295" s="2329"/>
      <c r="U295" s="2329"/>
      <c r="V295" s="2329"/>
      <c r="W295" s="2329"/>
      <c r="X295" s="2329"/>
      <c r="Y295" s="2329"/>
      <c r="Z295" s="2329"/>
      <c r="AA295" s="2329"/>
      <c r="AB295" s="2329"/>
      <c r="AC295" s="2329"/>
      <c r="AD295" s="2330"/>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56" t="s">
        <v>1586</v>
      </c>
      <c r="B299" s="1656"/>
      <c r="C299" s="2396" t="s">
        <v>618</v>
      </c>
      <c r="D299" s="2396"/>
      <c r="E299" s="585"/>
      <c r="F299" s="682" t="s">
        <v>1584</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1585</v>
      </c>
      <c r="AH299" s="589"/>
      <c r="AI299" s="589"/>
      <c r="AJ299" s="588"/>
      <c r="AK299" s="588"/>
      <c r="AL299" s="588"/>
      <c r="AM299" s="588"/>
      <c r="AN299" s="73"/>
      <c r="AO299" s="14"/>
    </row>
    <row r="300" spans="1:49" hidden="1">
      <c r="A300" s="89"/>
      <c r="B300" s="89"/>
      <c r="C300" s="768"/>
      <c r="D300" s="768"/>
      <c r="E300" s="585"/>
      <c r="F300" s="2419" t="s">
        <v>2495</v>
      </c>
      <c r="G300" s="2420"/>
      <c r="H300" s="2420"/>
      <c r="I300" s="2420"/>
      <c r="J300" s="2420"/>
      <c r="K300" s="2420"/>
      <c r="L300" s="2420"/>
      <c r="M300" s="2420"/>
      <c r="N300" s="2420"/>
      <c r="O300" s="2420"/>
      <c r="P300" s="2420"/>
      <c r="Q300" s="2420"/>
      <c r="R300" s="2420"/>
      <c r="S300" s="2420"/>
      <c r="T300" s="2420"/>
      <c r="U300" s="2420"/>
      <c r="V300" s="2420"/>
      <c r="W300" s="2420"/>
      <c r="X300" s="2420"/>
      <c r="Y300" s="2420"/>
      <c r="Z300" s="2420"/>
      <c r="AA300" s="2420"/>
      <c r="AB300" s="2420"/>
      <c r="AC300" s="2420"/>
      <c r="AD300" s="2421"/>
      <c r="AE300" s="589"/>
      <c r="AF300" s="589"/>
      <c r="AG300" s="577"/>
      <c r="AH300" s="589"/>
      <c r="AI300" s="589"/>
      <c r="AJ300" s="588"/>
      <c r="AK300" s="588"/>
      <c r="AL300" s="588"/>
      <c r="AM300" s="588"/>
      <c r="AN300" s="73"/>
      <c r="AO300" s="14"/>
      <c r="AP300" s="595" t="s">
        <v>1349</v>
      </c>
    </row>
    <row r="301" spans="1:49" hidden="1">
      <c r="F301" s="2419"/>
      <c r="G301" s="2420"/>
      <c r="H301" s="2420"/>
      <c r="I301" s="2420"/>
      <c r="J301" s="2420"/>
      <c r="K301" s="2420"/>
      <c r="L301" s="2420"/>
      <c r="M301" s="2420"/>
      <c r="N301" s="2420"/>
      <c r="O301" s="2420"/>
      <c r="P301" s="2420"/>
      <c r="Q301" s="2420"/>
      <c r="R301" s="2420"/>
      <c r="S301" s="2420"/>
      <c r="T301" s="2420"/>
      <c r="U301" s="2420"/>
      <c r="V301" s="2420"/>
      <c r="W301" s="2420"/>
      <c r="X301" s="2420"/>
      <c r="Y301" s="2420"/>
      <c r="Z301" s="2420"/>
      <c r="AA301" s="2420"/>
      <c r="AB301" s="2420"/>
      <c r="AC301" s="2420"/>
      <c r="AD301" s="2421"/>
      <c r="AE301" s="589"/>
      <c r="AF301" s="589"/>
      <c r="AH301" s="589"/>
      <c r="AI301" s="589"/>
      <c r="AJ301" s="588"/>
      <c r="AK301" s="588"/>
      <c r="AL301" s="588"/>
      <c r="AM301" s="588"/>
      <c r="AN301" s="73"/>
      <c r="AO301" s="14"/>
      <c r="AP301" s="595" t="s">
        <v>2046</v>
      </c>
    </row>
    <row r="302" spans="1:49" hidden="1">
      <c r="A302" s="588"/>
      <c r="B302" s="589"/>
      <c r="C302" s="768"/>
      <c r="D302" s="768"/>
      <c r="E302" s="585"/>
      <c r="F302" s="690" t="s">
        <v>1587</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2048</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2174</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29" t="s">
        <v>1349</v>
      </c>
      <c r="G305" s="2430"/>
      <c r="H305" s="2430"/>
      <c r="I305" s="2430"/>
      <c r="J305" s="2430"/>
      <c r="K305" s="2430"/>
      <c r="L305" s="2430"/>
      <c r="M305" s="2430"/>
      <c r="N305" s="2430"/>
      <c r="O305" s="2430"/>
      <c r="P305" s="2430"/>
      <c r="Q305" s="2430"/>
      <c r="R305" s="2430"/>
      <c r="S305" s="2430"/>
      <c r="T305" s="2430"/>
      <c r="U305" s="2430"/>
      <c r="V305" s="2430"/>
      <c r="W305" s="2430"/>
      <c r="X305" s="2430"/>
      <c r="Y305" s="2430"/>
      <c r="Z305" s="2430"/>
      <c r="AA305" s="2430"/>
      <c r="AB305" s="2430"/>
      <c r="AC305" s="2430"/>
      <c r="AD305" s="2431"/>
      <c r="AE305" s="680"/>
      <c r="AF305" s="680"/>
      <c r="AG305" s="680"/>
      <c r="AH305" s="680"/>
      <c r="AI305" s="680"/>
      <c r="AJ305" s="680"/>
      <c r="AK305" s="680"/>
      <c r="AL305" s="588"/>
      <c r="AM305" s="588"/>
      <c r="AN305" s="73"/>
      <c r="AO305" s="14"/>
      <c r="AP305" s="30"/>
    </row>
    <row r="306" spans="1:42" hidden="1">
      <c r="A306" s="588"/>
      <c r="B306" s="589"/>
      <c r="C306" s="768"/>
      <c r="D306" s="768"/>
      <c r="E306" s="585"/>
      <c r="F306" s="2429"/>
      <c r="G306" s="2430"/>
      <c r="H306" s="2430"/>
      <c r="I306" s="2430"/>
      <c r="J306" s="2430"/>
      <c r="K306" s="2430"/>
      <c r="L306" s="2430"/>
      <c r="M306" s="2430"/>
      <c r="N306" s="2430"/>
      <c r="O306" s="2430"/>
      <c r="P306" s="2430"/>
      <c r="Q306" s="2430"/>
      <c r="R306" s="2430"/>
      <c r="S306" s="2430"/>
      <c r="T306" s="2430"/>
      <c r="U306" s="2430"/>
      <c r="V306" s="2430"/>
      <c r="W306" s="2430"/>
      <c r="X306" s="2430"/>
      <c r="Y306" s="2430"/>
      <c r="Z306" s="2430"/>
      <c r="AA306" s="2430"/>
      <c r="AB306" s="2430"/>
      <c r="AC306" s="2430"/>
      <c r="AD306" s="2431"/>
      <c r="AE306" s="589"/>
      <c r="AF306" s="589"/>
      <c r="AG306" s="577"/>
      <c r="AH306" s="589"/>
      <c r="AI306" s="589"/>
      <c r="AJ306" s="588"/>
      <c r="AK306" s="588"/>
      <c r="AL306" s="588"/>
      <c r="AM306" s="588"/>
      <c r="AN306" s="73"/>
      <c r="AO306" s="14"/>
      <c r="AP306" s="30"/>
    </row>
    <row r="307" spans="1:42" hidden="1">
      <c r="A307" s="588"/>
      <c r="B307" s="589"/>
      <c r="C307" s="768"/>
      <c r="D307" s="768"/>
      <c r="E307" s="585"/>
      <c r="F307" s="2429"/>
      <c r="G307" s="2430"/>
      <c r="H307" s="2430"/>
      <c r="I307" s="2430"/>
      <c r="J307" s="2430"/>
      <c r="K307" s="2430"/>
      <c r="L307" s="2430"/>
      <c r="M307" s="2430"/>
      <c r="N307" s="2430"/>
      <c r="O307" s="2430"/>
      <c r="P307" s="2430"/>
      <c r="Q307" s="2430"/>
      <c r="R307" s="2430"/>
      <c r="S307" s="2430"/>
      <c r="T307" s="2430"/>
      <c r="U307" s="2430"/>
      <c r="V307" s="2430"/>
      <c r="W307" s="2430"/>
      <c r="X307" s="2430"/>
      <c r="Y307" s="2430"/>
      <c r="Z307" s="2430"/>
      <c r="AA307" s="2430"/>
      <c r="AB307" s="2430"/>
      <c r="AC307" s="2430"/>
      <c r="AD307" s="2431"/>
      <c r="AE307" s="589"/>
      <c r="AF307" s="589"/>
      <c r="AG307" s="577"/>
      <c r="AH307" s="589"/>
      <c r="AI307" s="589"/>
      <c r="AJ307" s="588"/>
      <c r="AK307" s="588"/>
      <c r="AL307" s="588"/>
      <c r="AM307" s="588"/>
      <c r="AN307" s="73"/>
      <c r="AO307" s="14"/>
      <c r="AP307" s="30"/>
    </row>
    <row r="308" spans="1:42" hidden="1">
      <c r="A308" s="588"/>
      <c r="B308" s="589"/>
      <c r="C308" s="768"/>
      <c r="D308" s="768"/>
      <c r="E308" s="585"/>
      <c r="F308" s="2429"/>
      <c r="G308" s="2430"/>
      <c r="H308" s="2430"/>
      <c r="I308" s="2430"/>
      <c r="J308" s="2430"/>
      <c r="K308" s="2430"/>
      <c r="L308" s="2430"/>
      <c r="M308" s="2430"/>
      <c r="N308" s="2430"/>
      <c r="O308" s="2430"/>
      <c r="P308" s="2430"/>
      <c r="Q308" s="2430"/>
      <c r="R308" s="2430"/>
      <c r="S308" s="2430"/>
      <c r="T308" s="2430"/>
      <c r="U308" s="2430"/>
      <c r="V308" s="2430"/>
      <c r="W308" s="2430"/>
      <c r="X308" s="2430"/>
      <c r="Y308" s="2430"/>
      <c r="Z308" s="2430"/>
      <c r="AA308" s="2430"/>
      <c r="AB308" s="2430"/>
      <c r="AC308" s="2430"/>
      <c r="AD308" s="2431"/>
      <c r="AE308" s="589"/>
      <c r="AF308" s="589"/>
      <c r="AG308" s="577"/>
      <c r="AH308" s="589"/>
      <c r="AI308" s="589"/>
      <c r="AJ308" s="588"/>
      <c r="AK308" s="588"/>
      <c r="AL308" s="588"/>
      <c r="AM308" s="588"/>
      <c r="AN308" s="73"/>
      <c r="AO308" s="14"/>
      <c r="AP308" s="30"/>
    </row>
    <row r="309" spans="1:42" hidden="1">
      <c r="A309" s="588"/>
      <c r="B309" s="589"/>
      <c r="C309" s="768"/>
      <c r="D309" s="768"/>
      <c r="E309" s="585"/>
      <c r="F309" s="2432"/>
      <c r="G309" s="2433"/>
      <c r="H309" s="2433"/>
      <c r="I309" s="2433"/>
      <c r="J309" s="2433"/>
      <c r="K309" s="2433"/>
      <c r="L309" s="2433"/>
      <c r="M309" s="2433"/>
      <c r="N309" s="2433"/>
      <c r="O309" s="2433"/>
      <c r="P309" s="2433"/>
      <c r="Q309" s="2433"/>
      <c r="R309" s="2433"/>
      <c r="S309" s="2433"/>
      <c r="T309" s="2433"/>
      <c r="U309" s="2433"/>
      <c r="V309" s="2433"/>
      <c r="W309" s="2433"/>
      <c r="X309" s="2433"/>
      <c r="Y309" s="2433"/>
      <c r="Z309" s="2433"/>
      <c r="AA309" s="2433"/>
      <c r="AB309" s="2433"/>
      <c r="AC309" s="2433"/>
      <c r="AD309" s="2434"/>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2047</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35" t="s">
        <v>1349</v>
      </c>
      <c r="J313" s="2435"/>
      <c r="K313" s="2435"/>
      <c r="L313" s="2435"/>
      <c r="M313" s="2435"/>
      <c r="N313" s="2435"/>
      <c r="O313" s="2435"/>
      <c r="P313" s="2435"/>
      <c r="Q313" s="2435"/>
      <c r="R313" s="2435"/>
      <c r="S313" s="2435"/>
      <c r="T313" s="2435"/>
      <c r="U313" s="2435"/>
      <c r="V313" s="2435"/>
      <c r="W313" s="2435"/>
      <c r="X313" s="2435"/>
      <c r="Y313" s="2435"/>
      <c r="Z313" s="2435"/>
      <c r="AA313" s="2435"/>
      <c r="AB313" s="2435"/>
      <c r="AC313" s="2435"/>
      <c r="AD313" s="2436"/>
      <c r="AE313" s="589"/>
      <c r="AF313" s="589"/>
      <c r="AG313" s="577"/>
      <c r="AH313" s="589"/>
      <c r="AI313" s="589"/>
      <c r="AJ313" s="588"/>
      <c r="AK313" s="588"/>
      <c r="AL313" s="588"/>
      <c r="AM313" s="588"/>
      <c r="AN313" s="73"/>
      <c r="AO313" s="14"/>
      <c r="AP313" s="595" t="s">
        <v>1846</v>
      </c>
    </row>
    <row r="314" spans="1:42" hidden="1">
      <c r="A314" s="588"/>
      <c r="B314" s="589"/>
      <c r="C314" s="768"/>
      <c r="D314" s="768"/>
      <c r="E314" s="585"/>
      <c r="F314" s="694"/>
      <c r="G314" s="613"/>
      <c r="H314" s="613"/>
      <c r="I314" s="2435"/>
      <c r="J314" s="2435"/>
      <c r="K314" s="2435"/>
      <c r="L314" s="2435"/>
      <c r="M314" s="2435"/>
      <c r="N314" s="2435"/>
      <c r="O314" s="2435"/>
      <c r="P314" s="2435"/>
      <c r="Q314" s="2435"/>
      <c r="R314" s="2435"/>
      <c r="S314" s="2435"/>
      <c r="T314" s="2435"/>
      <c r="U314" s="2435"/>
      <c r="V314" s="2435"/>
      <c r="W314" s="2435"/>
      <c r="X314" s="2435"/>
      <c r="Y314" s="2435"/>
      <c r="Z314" s="2435"/>
      <c r="AA314" s="2435"/>
      <c r="AB314" s="2435"/>
      <c r="AC314" s="2435"/>
      <c r="AD314" s="2436"/>
      <c r="AE314" s="589"/>
      <c r="AF314" s="589"/>
      <c r="AG314" s="577"/>
      <c r="AH314" s="589"/>
      <c r="AI314" s="589"/>
      <c r="AJ314" s="588"/>
      <c r="AK314" s="588"/>
      <c r="AL314" s="588"/>
      <c r="AM314" s="588"/>
      <c r="AN314" s="73"/>
      <c r="AO314" s="14"/>
      <c r="AP314" s="595" t="s">
        <v>2049</v>
      </c>
    </row>
    <row r="315" spans="1:42" hidden="1">
      <c r="A315" s="588"/>
      <c r="B315" s="589"/>
      <c r="C315" s="689"/>
      <c r="D315" s="689"/>
      <c r="E315" s="585"/>
      <c r="F315" s="694"/>
      <c r="G315" s="613"/>
      <c r="H315" s="613"/>
      <c r="I315" s="2435"/>
      <c r="J315" s="2435"/>
      <c r="K315" s="2435"/>
      <c r="L315" s="2435"/>
      <c r="M315" s="2435"/>
      <c r="N315" s="2435"/>
      <c r="O315" s="2435"/>
      <c r="P315" s="2435"/>
      <c r="Q315" s="2435"/>
      <c r="R315" s="2435"/>
      <c r="S315" s="2435"/>
      <c r="T315" s="2435"/>
      <c r="U315" s="2435"/>
      <c r="V315" s="2435"/>
      <c r="W315" s="2435"/>
      <c r="X315" s="2435"/>
      <c r="Y315" s="2435"/>
      <c r="Z315" s="2435"/>
      <c r="AA315" s="2435"/>
      <c r="AB315" s="2435"/>
      <c r="AC315" s="2435"/>
      <c r="AD315" s="2436"/>
      <c r="AE315" s="589"/>
      <c r="AF315" s="589"/>
      <c r="AG315" s="577"/>
      <c r="AH315" s="589"/>
      <c r="AI315" s="589"/>
      <c r="AJ315" s="588"/>
      <c r="AK315" s="588"/>
      <c r="AL315" s="588"/>
      <c r="AM315" s="588"/>
      <c r="AN315" s="73"/>
      <c r="AO315" s="14"/>
      <c r="AP315" s="595" t="s">
        <v>2051</v>
      </c>
    </row>
    <row r="316" spans="1:42" hidden="1">
      <c r="A316" s="588"/>
      <c r="B316" s="589"/>
      <c r="C316" s="689"/>
      <c r="D316" s="689"/>
      <c r="E316" s="585"/>
      <c r="F316" s="692"/>
      <c r="G316" s="589"/>
      <c r="H316" s="589"/>
      <c r="I316" s="2437"/>
      <c r="J316" s="2437"/>
      <c r="K316" s="2437"/>
      <c r="L316" s="2437"/>
      <c r="M316" s="2437"/>
      <c r="N316" s="2437"/>
      <c r="O316" s="2437"/>
      <c r="P316" s="2437"/>
      <c r="Q316" s="2437"/>
      <c r="R316" s="2437"/>
      <c r="S316" s="2437"/>
      <c r="T316" s="2437"/>
      <c r="U316" s="2437"/>
      <c r="V316" s="2437"/>
      <c r="W316" s="2437"/>
      <c r="X316" s="2437"/>
      <c r="Y316" s="2437"/>
      <c r="Z316" s="2437"/>
      <c r="AA316" s="2437"/>
      <c r="AB316" s="2437"/>
      <c r="AC316" s="2437"/>
      <c r="AD316" s="2438"/>
      <c r="AE316" s="589"/>
      <c r="AF316" s="589"/>
      <c r="AG316" s="577"/>
      <c r="AH316" s="589"/>
      <c r="AI316" s="589"/>
      <c r="AJ316" s="588"/>
      <c r="AK316" s="588"/>
      <c r="AL316" s="588"/>
      <c r="AM316" s="588"/>
      <c r="AN316" s="73"/>
      <c r="AO316" s="14"/>
      <c r="AP316" s="595" t="s">
        <v>2050</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35" t="s">
        <v>1349</v>
      </c>
      <c r="J318" s="2435"/>
      <c r="K318" s="2435"/>
      <c r="L318" s="2435"/>
      <c r="M318" s="2435"/>
      <c r="N318" s="2435"/>
      <c r="O318" s="2435"/>
      <c r="P318" s="2435"/>
      <c r="Q318" s="2435"/>
      <c r="R318" s="2435"/>
      <c r="S318" s="2435"/>
      <c r="T318" s="2435"/>
      <c r="U318" s="2435"/>
      <c r="V318" s="2435"/>
      <c r="W318" s="2435"/>
      <c r="X318" s="2435"/>
      <c r="Y318" s="2435"/>
      <c r="Z318" s="2435"/>
      <c r="AA318" s="2435"/>
      <c r="AB318" s="2435"/>
      <c r="AC318" s="2435"/>
      <c r="AD318" s="2436"/>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35"/>
      <c r="J319" s="2435"/>
      <c r="K319" s="2435"/>
      <c r="L319" s="2435"/>
      <c r="M319" s="2435"/>
      <c r="N319" s="2435"/>
      <c r="O319" s="2435"/>
      <c r="P319" s="2435"/>
      <c r="Q319" s="2435"/>
      <c r="R319" s="2435"/>
      <c r="S319" s="2435"/>
      <c r="T319" s="2435"/>
      <c r="U319" s="2435"/>
      <c r="V319" s="2435"/>
      <c r="W319" s="2435"/>
      <c r="X319" s="2435"/>
      <c r="Y319" s="2435"/>
      <c r="Z319" s="2435"/>
      <c r="AA319" s="2435"/>
      <c r="AB319" s="2435"/>
      <c r="AC319" s="2435"/>
      <c r="AD319" s="2436"/>
      <c r="AE319" s="589"/>
      <c r="AF319" s="589"/>
      <c r="AG319" s="577"/>
      <c r="AH319" s="589"/>
      <c r="AI319" s="589"/>
      <c r="AJ319" s="588"/>
      <c r="AK319" s="588"/>
      <c r="AL319" s="588"/>
      <c r="AM319" s="588"/>
      <c r="AN319" s="73"/>
      <c r="AO319" s="14"/>
      <c r="AP319" s="595" t="s">
        <v>1349</v>
      </c>
    </row>
    <row r="320" spans="1:42" hidden="1">
      <c r="A320" s="588"/>
      <c r="B320" s="589"/>
      <c r="C320" s="689"/>
      <c r="D320" s="689"/>
      <c r="E320" s="585"/>
      <c r="F320" s="695"/>
      <c r="G320" s="696"/>
      <c r="H320" s="696"/>
      <c r="I320" s="2437"/>
      <c r="J320" s="2437"/>
      <c r="K320" s="2437"/>
      <c r="L320" s="2437"/>
      <c r="M320" s="2437"/>
      <c r="N320" s="2437"/>
      <c r="O320" s="2437"/>
      <c r="P320" s="2437"/>
      <c r="Q320" s="2437"/>
      <c r="R320" s="2437"/>
      <c r="S320" s="2437"/>
      <c r="T320" s="2437"/>
      <c r="U320" s="2437"/>
      <c r="V320" s="2437"/>
      <c r="W320" s="2437"/>
      <c r="X320" s="2437"/>
      <c r="Y320" s="2437"/>
      <c r="Z320" s="2437"/>
      <c r="AA320" s="2437"/>
      <c r="AB320" s="2437"/>
      <c r="AC320" s="2437"/>
      <c r="AD320" s="2438"/>
      <c r="AE320" s="589"/>
      <c r="AF320" s="589"/>
      <c r="AG320" s="577"/>
      <c r="AH320" s="589"/>
      <c r="AI320" s="589"/>
      <c r="AJ320" s="588"/>
      <c r="AK320" s="588"/>
      <c r="AL320" s="588"/>
      <c r="AM320" s="588"/>
      <c r="AN320" s="73"/>
      <c r="AO320" s="14"/>
      <c r="AP320" s="595" t="s">
        <v>1588</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1847</v>
      </c>
    </row>
    <row r="322" spans="1:44" ht="12.75" hidden="1" customHeight="1">
      <c r="A322" s="1656" t="s">
        <v>1589</v>
      </c>
      <c r="B322" s="1656"/>
      <c r="C322" s="2396" t="s">
        <v>618</v>
      </c>
      <c r="D322" s="2396"/>
      <c r="E322" s="585"/>
      <c r="F322" s="2325" t="s">
        <v>2496</v>
      </c>
      <c r="G322" s="2326"/>
      <c r="H322" s="2326"/>
      <c r="I322" s="2326"/>
      <c r="J322" s="2326"/>
      <c r="K322" s="2326"/>
      <c r="L322" s="2326"/>
      <c r="M322" s="2326"/>
      <c r="N322" s="2326"/>
      <c r="O322" s="2326"/>
      <c r="P322" s="2326"/>
      <c r="Q322" s="2326"/>
      <c r="R322" s="2326"/>
      <c r="S322" s="2326"/>
      <c r="T322" s="2326"/>
      <c r="U322" s="2326"/>
      <c r="V322" s="2326"/>
      <c r="W322" s="2326"/>
      <c r="X322" s="2326"/>
      <c r="Y322" s="2326"/>
      <c r="Z322" s="2326"/>
      <c r="AA322" s="2326"/>
      <c r="AB322" s="2326"/>
      <c r="AC322" s="2326"/>
      <c r="AD322" s="2327"/>
      <c r="AE322" s="589"/>
      <c r="AF322" s="589"/>
      <c r="AG322" s="577" t="s">
        <v>1585</v>
      </c>
      <c r="AH322" s="589"/>
      <c r="AI322" s="589"/>
      <c r="AJ322" s="588"/>
      <c r="AK322" s="588"/>
      <c r="AL322" s="588"/>
      <c r="AM322" s="588"/>
      <c r="AN322" s="73"/>
      <c r="AO322" s="14"/>
    </row>
    <row r="323" spans="1:44" ht="15" hidden="1" customHeight="1">
      <c r="A323" s="588"/>
      <c r="B323" s="589"/>
      <c r="C323" s="589"/>
      <c r="D323" s="589"/>
      <c r="E323" s="589"/>
      <c r="F323" s="2331"/>
      <c r="G323" s="2332"/>
      <c r="H323" s="2332"/>
      <c r="I323" s="2332"/>
      <c r="J323" s="2332"/>
      <c r="K323" s="2332"/>
      <c r="L323" s="2332"/>
      <c r="M323" s="2332"/>
      <c r="N323" s="2332"/>
      <c r="O323" s="2332"/>
      <c r="P323" s="2332"/>
      <c r="Q323" s="2332"/>
      <c r="R323" s="2332"/>
      <c r="S323" s="2332"/>
      <c r="T323" s="2332"/>
      <c r="U323" s="2332"/>
      <c r="V323" s="2332"/>
      <c r="W323" s="2332"/>
      <c r="X323" s="2332"/>
      <c r="Y323" s="2332"/>
      <c r="Z323" s="2332"/>
      <c r="AA323" s="2332"/>
      <c r="AB323" s="2332"/>
      <c r="AC323" s="2332"/>
      <c r="AD323" s="2333"/>
      <c r="AE323" s="589"/>
      <c r="AF323" s="589"/>
      <c r="AG323" s="589"/>
      <c r="AH323" s="589"/>
      <c r="AI323" s="589"/>
      <c r="AJ323" s="588"/>
      <c r="AK323" s="588"/>
      <c r="AL323" s="588"/>
      <c r="AM323" s="588"/>
      <c r="AN323" s="73"/>
      <c r="AO323" s="14"/>
    </row>
    <row r="324" spans="1:44" ht="15" hidden="1" customHeight="1">
      <c r="A324" s="588"/>
      <c r="B324" s="589"/>
      <c r="C324" s="589"/>
      <c r="D324" s="589"/>
      <c r="E324" s="589"/>
      <c r="F324" s="2331"/>
      <c r="G324" s="2332"/>
      <c r="H324" s="2332"/>
      <c r="I324" s="2332"/>
      <c r="J324" s="2332"/>
      <c r="K324" s="2332"/>
      <c r="L324" s="2332"/>
      <c r="M324" s="2332"/>
      <c r="N324" s="2332"/>
      <c r="O324" s="2332"/>
      <c r="P324" s="2332"/>
      <c r="Q324" s="2332"/>
      <c r="R324" s="2332"/>
      <c r="S324" s="2332"/>
      <c r="T324" s="2332"/>
      <c r="U324" s="2332"/>
      <c r="V324" s="2332"/>
      <c r="W324" s="2332"/>
      <c r="X324" s="2332"/>
      <c r="Y324" s="2332"/>
      <c r="Z324" s="2332"/>
      <c r="AA324" s="2332"/>
      <c r="AB324" s="2332"/>
      <c r="AC324" s="2332"/>
      <c r="AD324" s="2333"/>
      <c r="AE324" s="589"/>
      <c r="AF324" s="589"/>
      <c r="AG324" s="589"/>
      <c r="AH324" s="589"/>
      <c r="AI324" s="589"/>
      <c r="AJ324" s="588"/>
      <c r="AK324" s="588"/>
      <c r="AL324" s="588"/>
      <c r="AM324" s="697"/>
      <c r="AN324" s="14"/>
      <c r="AO324" s="14"/>
    </row>
    <row r="325" spans="1:44" hidden="1">
      <c r="A325" s="588"/>
      <c r="B325" s="589"/>
      <c r="C325" s="588"/>
      <c r="D325" s="589"/>
      <c r="E325" s="588"/>
      <c r="F325" s="698" t="s">
        <v>1590</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1653</v>
      </c>
      <c r="AK327" s="2399">
        <f>AP284</f>
        <v>10</v>
      </c>
      <c r="AL327" s="2400"/>
      <c r="AM327" s="2401"/>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1654</v>
      </c>
      <c r="B330" s="577" t="s">
        <v>893</v>
      </c>
      <c r="C330" s="574"/>
      <c r="AC330" s="577"/>
      <c r="AE330" s="2334" t="s">
        <v>1511</v>
      </c>
      <c r="AF330" s="2334"/>
      <c r="AG330" s="2334"/>
      <c r="AH330" s="2334"/>
      <c r="AI330" s="2334"/>
      <c r="AJ330" s="2334"/>
      <c r="AK330" s="2334"/>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39" t="s">
        <v>1655</v>
      </c>
      <c r="D332" s="2439"/>
      <c r="E332" s="2439"/>
      <c r="F332" s="2439"/>
      <c r="G332" s="2439"/>
      <c r="H332" s="2439"/>
      <c r="I332" s="2439"/>
      <c r="J332" s="2439"/>
      <c r="K332" s="2439"/>
      <c r="L332" s="2439"/>
      <c r="M332" s="2439"/>
      <c r="N332" s="2439"/>
      <c r="O332" s="2439"/>
      <c r="P332" s="2439"/>
      <c r="Q332" s="2439"/>
      <c r="R332" s="2439"/>
      <c r="S332" s="2439"/>
      <c r="T332" s="2439"/>
      <c r="U332" s="2439"/>
      <c r="V332" s="2439"/>
      <c r="W332" s="2439"/>
      <c r="X332" s="2439"/>
      <c r="Y332" s="2439"/>
      <c r="Z332" s="2439"/>
      <c r="AA332" s="2439"/>
      <c r="AB332" s="2439"/>
      <c r="AC332" s="2439"/>
      <c r="AD332" s="2439"/>
      <c r="AE332" s="2439"/>
      <c r="AF332" s="2439"/>
      <c r="AG332" s="2439"/>
      <c r="AH332" s="2439"/>
      <c r="AI332" s="2439"/>
      <c r="AJ332" s="2439"/>
      <c r="AK332" s="641"/>
      <c r="AL332" s="641"/>
      <c r="AM332" s="641"/>
      <c r="AN332" s="635"/>
    </row>
    <row r="333" spans="1:44" s="588" customFormat="1" ht="12.75" customHeight="1">
      <c r="A333" s="641"/>
      <c r="B333" s="649"/>
      <c r="C333" s="2439"/>
      <c r="D333" s="2439"/>
      <c r="E333" s="2439"/>
      <c r="F333" s="2439"/>
      <c r="G333" s="2439"/>
      <c r="H333" s="2439"/>
      <c r="I333" s="2439"/>
      <c r="J333" s="2439"/>
      <c r="K333" s="2439"/>
      <c r="L333" s="2439"/>
      <c r="M333" s="2439"/>
      <c r="N333" s="2439"/>
      <c r="O333" s="2439"/>
      <c r="P333" s="2439"/>
      <c r="Q333" s="2439"/>
      <c r="R333" s="2439"/>
      <c r="S333" s="2439"/>
      <c r="T333" s="2439"/>
      <c r="U333" s="2439"/>
      <c r="V333" s="2439"/>
      <c r="W333" s="2439"/>
      <c r="X333" s="2439"/>
      <c r="Y333" s="2439"/>
      <c r="Z333" s="2439"/>
      <c r="AA333" s="2439"/>
      <c r="AB333" s="2439"/>
      <c r="AC333" s="2439"/>
      <c r="AD333" s="2439"/>
      <c r="AE333" s="2439"/>
      <c r="AF333" s="2439"/>
      <c r="AG333" s="2439"/>
      <c r="AH333" s="2439"/>
      <c r="AI333" s="2439"/>
      <c r="AJ333" s="2439"/>
      <c r="AK333" s="641"/>
      <c r="AL333" s="641"/>
      <c r="AM333" s="641"/>
      <c r="AN333" s="635"/>
    </row>
    <row r="334" spans="1:44" s="588" customFormat="1" ht="12.75" customHeight="1">
      <c r="A334" s="641"/>
      <c r="B334" s="649"/>
      <c r="C334" s="2439"/>
      <c r="D334" s="2439"/>
      <c r="E334" s="2439"/>
      <c r="F334" s="2439"/>
      <c r="G334" s="2439"/>
      <c r="H334" s="2439"/>
      <c r="I334" s="2439"/>
      <c r="J334" s="2439"/>
      <c r="K334" s="2439"/>
      <c r="L334" s="2439"/>
      <c r="M334" s="2439"/>
      <c r="N334" s="2439"/>
      <c r="O334" s="2439"/>
      <c r="P334" s="2439"/>
      <c r="Q334" s="2439"/>
      <c r="R334" s="2439"/>
      <c r="S334" s="2439"/>
      <c r="T334" s="2439"/>
      <c r="U334" s="2439"/>
      <c r="V334" s="2439"/>
      <c r="W334" s="2439"/>
      <c r="X334" s="2439"/>
      <c r="Y334" s="2439"/>
      <c r="Z334" s="2439"/>
      <c r="AA334" s="2439"/>
      <c r="AB334" s="2439"/>
      <c r="AC334" s="2439"/>
      <c r="AD334" s="2439"/>
      <c r="AE334" s="2439"/>
      <c r="AF334" s="2439"/>
      <c r="AG334" s="2439"/>
      <c r="AH334" s="2439"/>
      <c r="AI334" s="2439"/>
      <c r="AJ334" s="2439"/>
      <c r="AK334" s="641"/>
      <c r="AL334" s="641"/>
      <c r="AM334" s="641"/>
      <c r="AN334" s="635"/>
      <c r="AQ334" s="608"/>
    </row>
    <row r="335" spans="1:44" s="588" customFormat="1" ht="12.75" customHeight="1">
      <c r="A335" s="641"/>
      <c r="B335" s="649"/>
      <c r="C335" s="2439"/>
      <c r="D335" s="2439"/>
      <c r="E335" s="2439"/>
      <c r="F335" s="2439"/>
      <c r="G335" s="2439"/>
      <c r="H335" s="2439"/>
      <c r="I335" s="2439"/>
      <c r="J335" s="2439"/>
      <c r="K335" s="2439"/>
      <c r="L335" s="2439"/>
      <c r="M335" s="2439"/>
      <c r="N335" s="2439"/>
      <c r="O335" s="2439"/>
      <c r="P335" s="2439"/>
      <c r="Q335" s="2439"/>
      <c r="R335" s="2439"/>
      <c r="S335" s="2439"/>
      <c r="T335" s="2439"/>
      <c r="U335" s="2439"/>
      <c r="V335" s="2439"/>
      <c r="W335" s="2439"/>
      <c r="X335" s="2439"/>
      <c r="Y335" s="2439"/>
      <c r="Z335" s="2439"/>
      <c r="AA335" s="2439"/>
      <c r="AB335" s="2439"/>
      <c r="AC335" s="2439"/>
      <c r="AD335" s="2439"/>
      <c r="AE335" s="2439"/>
      <c r="AF335" s="2439"/>
      <c r="AG335" s="2439"/>
      <c r="AH335" s="2439"/>
      <c r="AI335" s="2439"/>
      <c r="AJ335" s="2439"/>
      <c r="AK335" s="641"/>
      <c r="AL335" s="641"/>
      <c r="AM335" s="641"/>
      <c r="AN335" s="635"/>
      <c r="AQ335" s="608"/>
    </row>
    <row r="336" spans="1:44" s="588" customFormat="1" ht="12.4" customHeight="1">
      <c r="A336" s="641"/>
      <c r="B336" s="649"/>
      <c r="C336" s="2439"/>
      <c r="D336" s="2439"/>
      <c r="E336" s="2439"/>
      <c r="F336" s="2439"/>
      <c r="G336" s="2439"/>
      <c r="H336" s="2439"/>
      <c r="I336" s="2439"/>
      <c r="J336" s="2439"/>
      <c r="K336" s="2439"/>
      <c r="L336" s="2439"/>
      <c r="M336" s="2439"/>
      <c r="N336" s="2439"/>
      <c r="O336" s="2439"/>
      <c r="P336" s="2439"/>
      <c r="Q336" s="2439"/>
      <c r="R336" s="2439"/>
      <c r="S336" s="2439"/>
      <c r="T336" s="2439"/>
      <c r="U336" s="2439"/>
      <c r="V336" s="2439"/>
      <c r="W336" s="2439"/>
      <c r="X336" s="2439"/>
      <c r="Y336" s="2439"/>
      <c r="Z336" s="2439"/>
      <c r="AA336" s="2439"/>
      <c r="AB336" s="2439"/>
      <c r="AC336" s="2439"/>
      <c r="AD336" s="2439"/>
      <c r="AE336" s="2439"/>
      <c r="AF336" s="2439"/>
      <c r="AG336" s="2439"/>
      <c r="AH336" s="2439"/>
      <c r="AI336" s="2439"/>
      <c r="AJ336" s="2439"/>
      <c r="AK336" s="641"/>
      <c r="AL336" s="641"/>
      <c r="AM336" s="641"/>
      <c r="AN336" s="635"/>
      <c r="AQ336" s="608"/>
      <c r="AR336" s="608"/>
    </row>
    <row r="337" spans="1:46" s="588" customFormat="1" ht="45.75" customHeight="1">
      <c r="A337" s="641"/>
      <c r="B337" s="649"/>
      <c r="C337" s="2439" t="s">
        <v>2592</v>
      </c>
      <c r="D337" s="2439"/>
      <c r="E337" s="2439"/>
      <c r="F337" s="2439"/>
      <c r="G337" s="2439"/>
      <c r="H337" s="2439"/>
      <c r="I337" s="2439"/>
      <c r="J337" s="2439"/>
      <c r="K337" s="2439"/>
      <c r="L337" s="2439"/>
      <c r="M337" s="2439"/>
      <c r="N337" s="2439"/>
      <c r="O337" s="2439"/>
      <c r="P337" s="2439"/>
      <c r="Q337" s="2439"/>
      <c r="R337" s="2439"/>
      <c r="S337" s="2439"/>
      <c r="T337" s="2439"/>
      <c r="U337" s="2439"/>
      <c r="V337" s="2439"/>
      <c r="W337" s="2439"/>
      <c r="X337" s="2439"/>
      <c r="Y337" s="2439"/>
      <c r="Z337" s="2439"/>
      <c r="AA337" s="2439"/>
      <c r="AB337" s="2439"/>
      <c r="AC337" s="2439"/>
      <c r="AD337" s="2439"/>
      <c r="AE337" s="2439"/>
      <c r="AF337" s="2439"/>
      <c r="AG337" s="2439"/>
      <c r="AH337" s="2439"/>
      <c r="AI337" s="2439"/>
      <c r="AJ337" s="2439"/>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39" t="s">
        <v>2183</v>
      </c>
      <c r="D339" s="2439"/>
      <c r="E339" s="2439"/>
      <c r="F339" s="2439"/>
      <c r="G339" s="2439"/>
      <c r="H339" s="2439"/>
      <c r="I339" s="2439"/>
      <c r="J339" s="2439"/>
      <c r="K339" s="2439"/>
      <c r="L339" s="2439"/>
      <c r="M339" s="2439"/>
      <c r="N339" s="2439"/>
      <c r="O339" s="2439"/>
      <c r="P339" s="2439"/>
      <c r="Q339" s="2439"/>
      <c r="R339" s="2439"/>
      <c r="S339" s="2439"/>
      <c r="T339" s="2439"/>
      <c r="U339" s="2439"/>
      <c r="V339" s="2439"/>
      <c r="W339" s="2439"/>
      <c r="X339" s="2439"/>
      <c r="Y339" s="2439"/>
      <c r="Z339" s="2439"/>
      <c r="AA339" s="2439"/>
      <c r="AB339" s="2439"/>
      <c r="AC339" s="2439"/>
      <c r="AD339" s="2439"/>
      <c r="AE339" s="2439"/>
      <c r="AF339" s="2439"/>
      <c r="AG339" s="2439"/>
      <c r="AH339" s="2439"/>
      <c r="AI339" s="2439"/>
      <c r="AJ339" s="2439"/>
      <c r="AK339" s="641"/>
      <c r="AL339" s="641"/>
      <c r="AM339" s="641"/>
      <c r="AN339" s="635"/>
      <c r="AQ339" s="608"/>
      <c r="AR339" s="608"/>
    </row>
    <row r="340" spans="1:46" s="588" customFormat="1" ht="30" customHeight="1">
      <c r="A340" s="641"/>
      <c r="B340" s="649"/>
      <c r="C340" s="2439"/>
      <c r="D340" s="2439"/>
      <c r="E340" s="2439"/>
      <c r="F340" s="2439"/>
      <c r="G340" s="2439"/>
      <c r="H340" s="2439"/>
      <c r="I340" s="2439"/>
      <c r="J340" s="2439"/>
      <c r="K340" s="2439"/>
      <c r="L340" s="2439"/>
      <c r="M340" s="2439"/>
      <c r="N340" s="2439"/>
      <c r="O340" s="2439"/>
      <c r="P340" s="2439"/>
      <c r="Q340" s="2439"/>
      <c r="R340" s="2439"/>
      <c r="S340" s="2439"/>
      <c r="T340" s="2439"/>
      <c r="U340" s="2439"/>
      <c r="V340" s="2439"/>
      <c r="W340" s="2439"/>
      <c r="X340" s="2439"/>
      <c r="Y340" s="2439"/>
      <c r="Z340" s="2439"/>
      <c r="AA340" s="2439"/>
      <c r="AB340" s="2439"/>
      <c r="AC340" s="2439"/>
      <c r="AD340" s="2439"/>
      <c r="AE340" s="2439"/>
      <c r="AF340" s="2439"/>
      <c r="AG340" s="2439"/>
      <c r="AH340" s="2439"/>
      <c r="AI340" s="2439"/>
      <c r="AJ340" s="2439"/>
      <c r="AK340" s="641"/>
      <c r="AL340" s="641"/>
      <c r="AM340" s="641"/>
      <c r="AN340" s="635"/>
      <c r="AR340" s="608"/>
    </row>
    <row r="341" spans="1:46" s="588" customFormat="1" ht="12.75" customHeight="1">
      <c r="A341" s="641"/>
      <c r="B341" s="649"/>
      <c r="C341" s="2439"/>
      <c r="D341" s="2439"/>
      <c r="E341" s="2439"/>
      <c r="F341" s="2439"/>
      <c r="G341" s="2439"/>
      <c r="H341" s="2439"/>
      <c r="I341" s="2439"/>
      <c r="J341" s="2439"/>
      <c r="K341" s="2439"/>
      <c r="L341" s="2439"/>
      <c r="M341" s="2439"/>
      <c r="N341" s="2439"/>
      <c r="O341" s="2439"/>
      <c r="P341" s="2439"/>
      <c r="Q341" s="2439"/>
      <c r="R341" s="2439"/>
      <c r="S341" s="2439"/>
      <c r="T341" s="2439"/>
      <c r="U341" s="2439"/>
      <c r="V341" s="2439"/>
      <c r="W341" s="2439"/>
      <c r="X341" s="2439"/>
      <c r="Y341" s="2439"/>
      <c r="Z341" s="2439"/>
      <c r="AA341" s="2439"/>
      <c r="AB341" s="2439"/>
      <c r="AC341" s="2439"/>
      <c r="AD341" s="2439"/>
      <c r="AE341" s="2439"/>
      <c r="AF341" s="2439"/>
      <c r="AG341" s="2439"/>
      <c r="AH341" s="2439"/>
      <c r="AI341" s="2439"/>
      <c r="AJ341" s="2439"/>
      <c r="AK341" s="641"/>
      <c r="AL341" s="641"/>
      <c r="AM341" s="641"/>
      <c r="AN341" s="635"/>
      <c r="AR341" s="608"/>
    </row>
    <row r="342" spans="1:46" s="588" customFormat="1" ht="12.75" customHeight="1">
      <c r="A342" s="641"/>
      <c r="B342" s="649"/>
      <c r="C342" s="2439" t="s">
        <v>1656</v>
      </c>
      <c r="D342" s="2439"/>
      <c r="E342" s="2439"/>
      <c r="F342" s="2439"/>
      <c r="G342" s="2439"/>
      <c r="H342" s="2439"/>
      <c r="I342" s="2439"/>
      <c r="J342" s="2439"/>
      <c r="K342" s="2439"/>
      <c r="L342" s="2439"/>
      <c r="M342" s="2439"/>
      <c r="N342" s="2439"/>
      <c r="O342" s="2439"/>
      <c r="P342" s="2439"/>
      <c r="Q342" s="2439"/>
      <c r="R342" s="2439"/>
      <c r="S342" s="2439"/>
      <c r="T342" s="2439"/>
      <c r="U342" s="2439"/>
      <c r="V342" s="2439"/>
      <c r="W342" s="2439"/>
      <c r="X342" s="2439"/>
      <c r="Y342" s="2439"/>
      <c r="Z342" s="2439"/>
      <c r="AA342" s="2439"/>
      <c r="AB342" s="2439"/>
      <c r="AC342" s="2439"/>
      <c r="AD342" s="2439"/>
      <c r="AE342" s="2439"/>
      <c r="AF342" s="2439"/>
      <c r="AG342" s="2439"/>
      <c r="AH342" s="2439"/>
      <c r="AI342" s="2439"/>
      <c r="AJ342" s="2439"/>
      <c r="AK342" s="641"/>
      <c r="AL342" s="641"/>
      <c r="AM342" s="641"/>
      <c r="AN342" s="635"/>
      <c r="AQ342" s="608"/>
      <c r="AR342" s="608"/>
    </row>
    <row r="343" spans="1:46" s="588" customFormat="1" ht="12.75" customHeight="1">
      <c r="A343" s="641"/>
      <c r="B343" s="649"/>
      <c r="C343" s="2439"/>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41"/>
      <c r="AL343" s="641"/>
      <c r="AM343" s="641"/>
      <c r="AN343" s="635"/>
      <c r="AQ343" s="608"/>
      <c r="AR343" s="608"/>
    </row>
    <row r="344" spans="1:46" s="588" customFormat="1" ht="13.15" customHeight="1">
      <c r="A344" s="641"/>
      <c r="B344" s="649"/>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41"/>
      <c r="AL344" s="641"/>
      <c r="AM344" s="641"/>
      <c r="AN344" s="635"/>
      <c r="AQ344" s="608"/>
      <c r="AR344" s="608"/>
    </row>
    <row r="345" spans="1:46" s="588" customFormat="1" ht="12.75" customHeight="1">
      <c r="A345" s="641"/>
      <c r="B345" s="649"/>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41"/>
      <c r="AL345" s="641"/>
      <c r="AM345" s="641"/>
      <c r="AN345" s="635"/>
      <c r="AO345" s="732"/>
      <c r="AP345" s="732"/>
      <c r="AQ345" s="608"/>
    </row>
    <row r="346" spans="1:46" s="588" customFormat="1" ht="11.85" customHeight="1">
      <c r="A346" s="641"/>
      <c r="B346" s="649"/>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41"/>
      <c r="AL346" s="641"/>
      <c r="AM346" s="641"/>
      <c r="AN346" s="635"/>
      <c r="AO346" s="733" t="s">
        <v>117</v>
      </c>
      <c r="AP346" s="734">
        <f>IF(C370="Yes",5,0)</f>
        <v>0</v>
      </c>
      <c r="AS346" s="577" t="s">
        <v>1657</v>
      </c>
    </row>
    <row r="347" spans="1:46" s="588" customFormat="1" ht="12.75" customHeight="1">
      <c r="A347" s="641"/>
      <c r="B347" s="649"/>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41"/>
      <c r="AL347" s="641"/>
      <c r="AM347" s="641"/>
      <c r="AN347" s="635"/>
      <c r="AO347" s="733" t="s">
        <v>118</v>
      </c>
      <c r="AP347" s="734">
        <f>IF(C378="Yes",5,0)</f>
        <v>0</v>
      </c>
      <c r="AS347" s="2456">
        <f>IF(Application!D210="Non-Targeted",(SUM(AQ355+AQ364)),AS351)</f>
        <v>10</v>
      </c>
      <c r="AT347" s="2456"/>
    </row>
    <row r="348" spans="1:46" s="588" customFormat="1" ht="12.75" customHeight="1">
      <c r="A348" s="641"/>
      <c r="B348" s="649"/>
      <c r="C348" s="2439"/>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41"/>
      <c r="AL348" s="641"/>
      <c r="AM348" s="641"/>
      <c r="AN348" s="635"/>
      <c r="AO348" s="733" t="s">
        <v>124</v>
      </c>
      <c r="AP348" s="734">
        <f>IF(C386="Yes",7,0)</f>
        <v>0</v>
      </c>
      <c r="AS348" s="577" t="s">
        <v>1658</v>
      </c>
    </row>
    <row r="349" spans="1:46" s="588" customFormat="1" ht="12.75" customHeight="1">
      <c r="A349" s="641"/>
      <c r="B349" s="649"/>
      <c r="C349" s="2439"/>
      <c r="D349" s="2439"/>
      <c r="E349" s="2439"/>
      <c r="F349" s="2439"/>
      <c r="G349" s="2439"/>
      <c r="H349" s="2439"/>
      <c r="I349" s="2439"/>
      <c r="J349" s="2439"/>
      <c r="K349" s="2439"/>
      <c r="L349" s="2439"/>
      <c r="M349" s="2439"/>
      <c r="N349" s="2439"/>
      <c r="O349" s="2439"/>
      <c r="P349" s="2439"/>
      <c r="Q349" s="2439"/>
      <c r="R349" s="2439"/>
      <c r="S349" s="2439"/>
      <c r="T349" s="2439"/>
      <c r="U349" s="2439"/>
      <c r="V349" s="2439"/>
      <c r="W349" s="2439"/>
      <c r="X349" s="2439"/>
      <c r="Y349" s="2439"/>
      <c r="Z349" s="2439"/>
      <c r="AA349" s="2439"/>
      <c r="AB349" s="2439"/>
      <c r="AC349" s="2439"/>
      <c r="AD349" s="2439"/>
      <c r="AE349" s="2439"/>
      <c r="AF349" s="2439"/>
      <c r="AG349" s="2439"/>
      <c r="AH349" s="2439"/>
      <c r="AI349" s="2439"/>
      <c r="AJ349" s="2439"/>
      <c r="AK349" s="641"/>
      <c r="AL349" s="641"/>
      <c r="AM349" s="641"/>
      <c r="AN349" s="635"/>
      <c r="AO349" s="635"/>
      <c r="AP349" s="734">
        <f>IF(C388="Yes",5,0)</f>
        <v>5</v>
      </c>
      <c r="AS349" s="2456">
        <f>IF(AND(AQ355&gt;0,AQ364&gt;0),(AQ355+AQ364)/2,0)</f>
        <v>0</v>
      </c>
      <c r="AT349" s="2456"/>
    </row>
    <row r="350" spans="1:46" s="588" customFormat="1" ht="12.75" customHeight="1">
      <c r="A350" s="641"/>
      <c r="B350" s="649"/>
      <c r="C350" s="2439"/>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41"/>
      <c r="AL350" s="641"/>
      <c r="AM350" s="641"/>
      <c r="AN350" s="635"/>
      <c r="AO350" s="733" t="s">
        <v>608</v>
      </c>
      <c r="AP350" s="734">
        <f>IF(C396="Yes",5,0)</f>
        <v>0</v>
      </c>
      <c r="AS350" s="577" t="s">
        <v>2201</v>
      </c>
    </row>
    <row r="351" spans="1:46" s="588" customFormat="1" ht="12.75" customHeight="1">
      <c r="A351" s="641"/>
      <c r="B351" s="649"/>
      <c r="C351" s="2457" t="s">
        <v>1659</v>
      </c>
      <c r="D351" s="2457"/>
      <c r="E351" s="2457"/>
      <c r="F351" s="2457"/>
      <c r="G351" s="2457"/>
      <c r="H351" s="2457"/>
      <c r="I351" s="2457"/>
      <c r="J351" s="2457"/>
      <c r="K351" s="2457"/>
      <c r="L351" s="2457"/>
      <c r="M351" s="2457"/>
      <c r="N351" s="2457"/>
      <c r="O351" s="2457"/>
      <c r="P351" s="2457"/>
      <c r="Q351" s="2457"/>
      <c r="R351" s="2457"/>
      <c r="S351" s="2457"/>
      <c r="T351" s="2457"/>
      <c r="U351" s="2457"/>
      <c r="V351" s="2457"/>
      <c r="W351" s="2457"/>
      <c r="X351" s="2457"/>
      <c r="Y351" s="2457"/>
      <c r="Z351" s="2457"/>
      <c r="AA351" s="2457"/>
      <c r="AB351" s="2457"/>
      <c r="AC351" s="2457"/>
      <c r="AD351" s="2457"/>
      <c r="AE351" s="2457"/>
      <c r="AF351" s="2457"/>
      <c r="AG351" s="2457"/>
      <c r="AH351" s="2457"/>
      <c r="AI351" s="2457"/>
      <c r="AJ351" s="2457"/>
      <c r="AK351" s="641"/>
      <c r="AL351" s="641"/>
      <c r="AM351" s="641"/>
      <c r="AN351" s="635"/>
      <c r="AO351" s="635"/>
      <c r="AP351" s="734">
        <f>IF(C398="Yes",3,0)</f>
        <v>0</v>
      </c>
      <c r="AS351" s="2456">
        <f>IF(AQ355=0,AQ364,AQ355)</f>
        <v>10</v>
      </c>
      <c r="AT351" s="2456"/>
    </row>
    <row r="352" spans="1:46" s="588" customFormat="1" ht="12.75" customHeight="1">
      <c r="A352" s="641"/>
      <c r="B352" s="649"/>
      <c r="C352" s="2457"/>
      <c r="D352" s="2457"/>
      <c r="E352" s="2457"/>
      <c r="F352" s="2457"/>
      <c r="G352" s="2457"/>
      <c r="H352" s="2457"/>
      <c r="I352" s="2457"/>
      <c r="J352" s="2457"/>
      <c r="K352" s="2457"/>
      <c r="L352" s="2457"/>
      <c r="M352" s="2457"/>
      <c r="N352" s="2457"/>
      <c r="O352" s="2457"/>
      <c r="P352" s="2457"/>
      <c r="Q352" s="2457"/>
      <c r="R352" s="2457"/>
      <c r="S352" s="2457"/>
      <c r="T352" s="2457"/>
      <c r="U352" s="2457"/>
      <c r="V352" s="2457"/>
      <c r="W352" s="2457"/>
      <c r="X352" s="2457"/>
      <c r="Y352" s="2457"/>
      <c r="Z352" s="2457"/>
      <c r="AA352" s="2457"/>
      <c r="AB352" s="2457"/>
      <c r="AC352" s="2457"/>
      <c r="AD352" s="2457"/>
      <c r="AE352" s="2457"/>
      <c r="AF352" s="2457"/>
      <c r="AG352" s="2457"/>
      <c r="AH352" s="2457"/>
      <c r="AI352" s="2457"/>
      <c r="AJ352" s="2457"/>
      <c r="AK352" s="641"/>
      <c r="AL352" s="641"/>
      <c r="AM352" s="641"/>
      <c r="AN352" s="635"/>
      <c r="AO352" s="733" t="s">
        <v>806</v>
      </c>
      <c r="AP352" s="734">
        <f>IF(C401="Yes",5,0)</f>
        <v>5</v>
      </c>
    </row>
    <row r="353" spans="1:81" s="588" customFormat="1" ht="12.75" customHeight="1">
      <c r="A353" s="641"/>
      <c r="B353" s="649"/>
      <c r="C353" s="2457"/>
      <c r="D353" s="2457"/>
      <c r="E353" s="2457"/>
      <c r="F353" s="2457"/>
      <c r="G353" s="2457"/>
      <c r="H353" s="2457"/>
      <c r="I353" s="2457"/>
      <c r="J353" s="2457"/>
      <c r="K353" s="2457"/>
      <c r="L353" s="2457"/>
      <c r="M353" s="2457"/>
      <c r="N353" s="2457"/>
      <c r="O353" s="2457"/>
      <c r="P353" s="2457"/>
      <c r="Q353" s="2457"/>
      <c r="R353" s="2457"/>
      <c r="S353" s="2457"/>
      <c r="T353" s="2457"/>
      <c r="U353" s="2457"/>
      <c r="V353" s="2457"/>
      <c r="W353" s="2457"/>
      <c r="X353" s="2457"/>
      <c r="Y353" s="2457"/>
      <c r="Z353" s="2457"/>
      <c r="AA353" s="2457"/>
      <c r="AB353" s="2457"/>
      <c r="AC353" s="2457"/>
      <c r="AD353" s="2457"/>
      <c r="AE353" s="2457"/>
      <c r="AF353" s="2457"/>
      <c r="AG353" s="2457"/>
      <c r="AH353" s="2457"/>
      <c r="AI353" s="2457"/>
      <c r="AJ353" s="2457"/>
      <c r="AK353" s="641"/>
      <c r="AL353" s="641"/>
      <c r="AM353" s="641"/>
      <c r="AN353" s="635"/>
      <c r="AO353" s="733" t="s">
        <v>611</v>
      </c>
      <c r="AP353" s="734">
        <f>IF(C410="Yes",5,0)</f>
        <v>0</v>
      </c>
    </row>
    <row r="354" spans="1:81" s="588" customFormat="1" ht="11.85" customHeight="1">
      <c r="A354" s="641"/>
      <c r="B354" s="649"/>
      <c r="C354" s="2457"/>
      <c r="D354" s="2457"/>
      <c r="E354" s="2457"/>
      <c r="F354" s="2457"/>
      <c r="G354" s="2457"/>
      <c r="H354" s="2457"/>
      <c r="I354" s="2457"/>
      <c r="J354" s="2457"/>
      <c r="K354" s="2457"/>
      <c r="L354" s="2457"/>
      <c r="M354" s="2457"/>
      <c r="N354" s="2457"/>
      <c r="O354" s="2457"/>
      <c r="P354" s="2457"/>
      <c r="Q354" s="2457"/>
      <c r="R354" s="2457"/>
      <c r="S354" s="2457"/>
      <c r="T354" s="2457"/>
      <c r="U354" s="2457"/>
      <c r="V354" s="2457"/>
      <c r="W354" s="2457"/>
      <c r="X354" s="2457"/>
      <c r="Y354" s="2457"/>
      <c r="Z354" s="2457"/>
      <c r="AA354" s="2457"/>
      <c r="AB354" s="2457"/>
      <c r="AC354" s="2457"/>
      <c r="AD354" s="2457"/>
      <c r="AE354" s="2457"/>
      <c r="AF354" s="2457"/>
      <c r="AG354" s="2457"/>
      <c r="AH354" s="2457"/>
      <c r="AI354" s="2457"/>
      <c r="AJ354" s="2457"/>
      <c r="AK354" s="641"/>
      <c r="AL354" s="641"/>
      <c r="AM354" s="641"/>
      <c r="AN354" s="635"/>
      <c r="AO354" s="735"/>
      <c r="AP354" s="736">
        <f>IF(C412="Yes",3,0)</f>
        <v>0</v>
      </c>
    </row>
    <row r="355" spans="1:81" s="588" customFormat="1" ht="12.4" customHeight="1">
      <c r="A355" s="641"/>
      <c r="B355" s="649"/>
      <c r="C355" s="2457"/>
      <c r="D355" s="2457"/>
      <c r="E355" s="2457"/>
      <c r="F355" s="2457"/>
      <c r="G355" s="2457"/>
      <c r="H355" s="2457"/>
      <c r="I355" s="2457"/>
      <c r="J355" s="2457"/>
      <c r="K355" s="2457"/>
      <c r="L355" s="2457"/>
      <c r="M355" s="2457"/>
      <c r="N355" s="2457"/>
      <c r="O355" s="2457"/>
      <c r="P355" s="2457"/>
      <c r="Q355" s="2457"/>
      <c r="R355" s="2457"/>
      <c r="S355" s="2457"/>
      <c r="T355" s="2457"/>
      <c r="U355" s="2457"/>
      <c r="V355" s="2457"/>
      <c r="W355" s="2457"/>
      <c r="X355" s="2457"/>
      <c r="Y355" s="2457"/>
      <c r="Z355" s="2457"/>
      <c r="AA355" s="2457"/>
      <c r="AB355" s="2457"/>
      <c r="AC355" s="2457"/>
      <c r="AD355" s="2457"/>
      <c r="AE355" s="2457"/>
      <c r="AF355" s="2457"/>
      <c r="AG355" s="2457"/>
      <c r="AH355" s="2457"/>
      <c r="AI355" s="2457"/>
      <c r="AJ355" s="2457"/>
      <c r="AK355" s="641"/>
      <c r="AL355" s="641"/>
      <c r="AM355" s="641"/>
      <c r="AN355" s="635"/>
      <c r="AO355" s="737" t="s">
        <v>233</v>
      </c>
      <c r="AP355" s="738">
        <f>SUM(AP346:AP354)</f>
        <v>10</v>
      </c>
      <c r="AQ355" s="2458">
        <f>IF(AP355&gt;0,AP355,0)</f>
        <v>10</v>
      </c>
      <c r="AR355" s="2458"/>
    </row>
    <row r="356" spans="1:81" s="588" customFormat="1" ht="12.75" customHeight="1">
      <c r="A356" s="641"/>
      <c r="B356" s="649"/>
      <c r="C356" s="2457"/>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439" t="s">
        <v>1660</v>
      </c>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41"/>
      <c r="AL358" s="641"/>
      <c r="AM358" s="641"/>
      <c r="AN358" s="635"/>
      <c r="AO358" s="733" t="s">
        <v>482</v>
      </c>
      <c r="AP358" s="734">
        <f>IF(C431="Yes",5,0)</f>
        <v>0</v>
      </c>
    </row>
    <row r="359" spans="1:81" s="588" customFormat="1" ht="12.75" customHeight="1">
      <c r="A359" s="641"/>
      <c r="B359" s="649"/>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41"/>
      <c r="AL359" s="641"/>
      <c r="AM359" s="641"/>
      <c r="AN359" s="635"/>
      <c r="AO359" s="733" t="s">
        <v>487</v>
      </c>
      <c r="AP359" s="734">
        <f>IF(C438="Yes",5,0)</f>
        <v>0</v>
      </c>
    </row>
    <row r="360" spans="1:81" s="588" customFormat="1" ht="68.099999999999994" customHeight="1">
      <c r="A360" s="641"/>
      <c r="B360" s="649"/>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41"/>
      <c r="AL360" s="641"/>
      <c r="AM360" s="641"/>
      <c r="AN360" s="635"/>
      <c r="AO360" s="733" t="s">
        <v>673</v>
      </c>
      <c r="AP360" s="739">
        <f>IF(C442="Yes",5,0)</f>
        <v>0</v>
      </c>
    </row>
    <row r="361" spans="1:81" s="588" customFormat="1" ht="12.4" customHeight="1">
      <c r="A361" s="641"/>
      <c r="B361" s="649"/>
      <c r="C361" s="588" t="s">
        <v>1661</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1662</v>
      </c>
      <c r="D362" s="741"/>
      <c r="E362" s="741"/>
      <c r="F362" s="741"/>
      <c r="G362" s="741"/>
      <c r="H362" s="741"/>
      <c r="I362" s="741"/>
      <c r="J362" s="741"/>
      <c r="K362" s="741"/>
      <c r="L362" s="741"/>
      <c r="M362" s="705"/>
      <c r="N362" s="705"/>
      <c r="O362" s="742"/>
      <c r="P362" s="741"/>
      <c r="Q362" s="741"/>
      <c r="R362" s="705"/>
      <c r="S362" s="705"/>
      <c r="T362" s="741"/>
      <c r="U362" s="2544">
        <f>Application!CS663-U363</f>
        <v>192</v>
      </c>
      <c r="V362" s="2544"/>
      <c r="W362" s="2544"/>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1663</v>
      </c>
      <c r="D363" s="732"/>
      <c r="E363" s="732"/>
      <c r="F363" s="732"/>
      <c r="G363" s="732"/>
      <c r="H363" s="732"/>
      <c r="I363" s="732"/>
      <c r="J363" s="732"/>
      <c r="K363" s="732"/>
      <c r="L363" s="732"/>
      <c r="M363" s="732"/>
      <c r="N363" s="732"/>
      <c r="O363" s="732"/>
      <c r="P363" s="732"/>
      <c r="Q363" s="732"/>
      <c r="R363" s="732"/>
      <c r="S363" s="732"/>
      <c r="T363" s="732"/>
      <c r="U363" s="2545">
        <f>Application!AG756</f>
        <v>0</v>
      </c>
      <c r="V363" s="2545"/>
      <c r="W363" s="2545"/>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458">
        <f>IF(AP364&gt;0,AP364,0)</f>
        <v>0</v>
      </c>
      <c r="AR364" s="2458"/>
    </row>
    <row r="365" spans="1:81" s="588" customFormat="1" ht="12.75" customHeight="1">
      <c r="A365" s="641"/>
      <c r="B365" s="14"/>
      <c r="C365" s="750" t="s">
        <v>1664</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1512</v>
      </c>
      <c r="F366" s="2443" t="s">
        <v>1665</v>
      </c>
      <c r="G366" s="2443"/>
      <c r="H366" s="2443"/>
      <c r="I366" s="2443"/>
      <c r="J366" s="2443"/>
      <c r="K366" s="2443"/>
      <c r="L366" s="2443"/>
      <c r="M366" s="2443"/>
      <c r="N366" s="2443"/>
      <c r="O366" s="2443"/>
      <c r="P366" s="2443"/>
      <c r="Q366" s="2443"/>
      <c r="R366" s="2443"/>
      <c r="S366" s="2443"/>
      <c r="T366" s="2443"/>
      <c r="U366" s="2443"/>
      <c r="V366" s="2443"/>
      <c r="W366" s="2443"/>
      <c r="X366" s="2443"/>
      <c r="Y366" s="2443"/>
      <c r="Z366" s="2443"/>
      <c r="AA366" s="2443"/>
      <c r="AB366" s="2443"/>
      <c r="AC366" s="2443"/>
      <c r="AD366" s="2443"/>
      <c r="AE366" s="2443"/>
      <c r="AF366" s="2443"/>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44"/>
      <c r="G367" s="2444"/>
      <c r="H367" s="2444"/>
      <c r="I367" s="2444"/>
      <c r="J367" s="2444"/>
      <c r="K367" s="2444"/>
      <c r="L367" s="2444"/>
      <c r="M367" s="2444"/>
      <c r="N367" s="2444"/>
      <c r="O367" s="2444"/>
      <c r="P367" s="2444"/>
      <c r="Q367" s="2444"/>
      <c r="R367" s="2444"/>
      <c r="S367" s="2444"/>
      <c r="T367" s="2444"/>
      <c r="U367" s="2444"/>
      <c r="V367" s="2444"/>
      <c r="W367" s="2444"/>
      <c r="X367" s="2444"/>
      <c r="Y367" s="2444"/>
      <c r="Z367" s="2444"/>
      <c r="AA367" s="2444"/>
      <c r="AB367" s="2444"/>
      <c r="AC367" s="2444"/>
      <c r="AD367" s="2444"/>
      <c r="AE367" s="2444"/>
      <c r="AF367" s="2444"/>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44"/>
      <c r="G368" s="2444"/>
      <c r="H368" s="2444"/>
      <c r="I368" s="2444"/>
      <c r="J368" s="2444"/>
      <c r="K368" s="2444"/>
      <c r="L368" s="2444"/>
      <c r="M368" s="2444"/>
      <c r="N368" s="2444"/>
      <c r="O368" s="2444"/>
      <c r="P368" s="2444"/>
      <c r="Q368" s="2444"/>
      <c r="R368" s="2444"/>
      <c r="S368" s="2444"/>
      <c r="T368" s="2444"/>
      <c r="U368" s="2444"/>
      <c r="V368" s="2444"/>
      <c r="W368" s="2444"/>
      <c r="X368" s="2444"/>
      <c r="Y368" s="2444"/>
      <c r="Z368" s="2444"/>
      <c r="AA368" s="2444"/>
      <c r="AB368" s="2444"/>
      <c r="AC368" s="2444"/>
      <c r="AD368" s="2444"/>
      <c r="AE368" s="2444"/>
      <c r="AF368" s="2444"/>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44"/>
      <c r="G369" s="2444"/>
      <c r="H369" s="2444"/>
      <c r="I369" s="2444"/>
      <c r="J369" s="2444"/>
      <c r="K369" s="2444"/>
      <c r="L369" s="2444"/>
      <c r="M369" s="2444"/>
      <c r="N369" s="2444"/>
      <c r="O369" s="2444"/>
      <c r="P369" s="2444"/>
      <c r="Q369" s="2444"/>
      <c r="R369" s="2444"/>
      <c r="S369" s="2444"/>
      <c r="T369" s="2444"/>
      <c r="U369" s="2444"/>
      <c r="V369" s="2444"/>
      <c r="W369" s="2444"/>
      <c r="X369" s="2444"/>
      <c r="Y369" s="2444"/>
      <c r="Z369" s="2444"/>
      <c r="AA369" s="2444"/>
      <c r="AB369" s="2444"/>
      <c r="AC369" s="2444"/>
      <c r="AD369" s="2444"/>
      <c r="AE369" s="2444"/>
      <c r="AF369" s="2444"/>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40" t="s">
        <v>618</v>
      </c>
      <c r="D370" s="2396"/>
      <c r="E370" s="757"/>
      <c r="F370" s="759" t="s">
        <v>1666</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41" t="s">
        <v>1667</v>
      </c>
      <c r="AG370" s="2441"/>
      <c r="AH370" s="2441"/>
      <c r="AI370" s="2441"/>
      <c r="AJ370" s="2441"/>
      <c r="AK370" s="2441"/>
      <c r="AL370" s="2442"/>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1514</v>
      </c>
      <c r="F373" s="2443" t="s">
        <v>1668</v>
      </c>
      <c r="G373" s="2443"/>
      <c r="H373" s="2443"/>
      <c r="I373" s="2443"/>
      <c r="J373" s="2443"/>
      <c r="K373" s="2443"/>
      <c r="L373" s="2443"/>
      <c r="M373" s="2443"/>
      <c r="N373" s="2443"/>
      <c r="O373" s="2443"/>
      <c r="P373" s="2443"/>
      <c r="Q373" s="2443"/>
      <c r="R373" s="2443"/>
      <c r="S373" s="2443"/>
      <c r="T373" s="2443"/>
      <c r="U373" s="2443"/>
      <c r="V373" s="2443"/>
      <c r="W373" s="2443"/>
      <c r="X373" s="2443"/>
      <c r="Y373" s="2443"/>
      <c r="Z373" s="2443"/>
      <c r="AA373" s="2443"/>
      <c r="AB373" s="2443"/>
      <c r="AC373" s="2443"/>
      <c r="AD373" s="2443"/>
      <c r="AE373" s="2443"/>
      <c r="AF373" s="2443"/>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44"/>
      <c r="G374" s="2444"/>
      <c r="H374" s="2444"/>
      <c r="I374" s="2444"/>
      <c r="J374" s="2444"/>
      <c r="K374" s="2444"/>
      <c r="L374" s="2444"/>
      <c r="M374" s="2444"/>
      <c r="N374" s="2444"/>
      <c r="O374" s="2444"/>
      <c r="P374" s="2444"/>
      <c r="Q374" s="2444"/>
      <c r="R374" s="2444"/>
      <c r="S374" s="2444"/>
      <c r="T374" s="2444"/>
      <c r="U374" s="2444"/>
      <c r="V374" s="2444"/>
      <c r="W374" s="2444"/>
      <c r="X374" s="2444"/>
      <c r="Y374" s="2444"/>
      <c r="Z374" s="2444"/>
      <c r="AA374" s="2444"/>
      <c r="AB374" s="2444"/>
      <c r="AC374" s="2444"/>
      <c r="AD374" s="2444"/>
      <c r="AE374" s="2444"/>
      <c r="AF374" s="2444"/>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44"/>
      <c r="G375" s="2444"/>
      <c r="H375" s="2444"/>
      <c r="I375" s="2444"/>
      <c r="J375" s="2444"/>
      <c r="K375" s="2444"/>
      <c r="L375" s="2444"/>
      <c r="M375" s="2444"/>
      <c r="N375" s="2444"/>
      <c r="O375" s="2444"/>
      <c r="P375" s="2444"/>
      <c r="Q375" s="2444"/>
      <c r="R375" s="2444"/>
      <c r="S375" s="2444"/>
      <c r="T375" s="2444"/>
      <c r="U375" s="2444"/>
      <c r="V375" s="2444"/>
      <c r="W375" s="2444"/>
      <c r="X375" s="2444"/>
      <c r="Y375" s="2444"/>
      <c r="Z375" s="2444"/>
      <c r="AA375" s="2444"/>
      <c r="AB375" s="2444"/>
      <c r="AC375" s="2444"/>
      <c r="AD375" s="2444"/>
      <c r="AE375" s="2444"/>
      <c r="AF375" s="2444"/>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44"/>
      <c r="G376" s="2444"/>
      <c r="H376" s="2444"/>
      <c r="I376" s="2444"/>
      <c r="J376" s="2444"/>
      <c r="K376" s="2444"/>
      <c r="L376" s="2444"/>
      <c r="M376" s="2444"/>
      <c r="N376" s="2444"/>
      <c r="O376" s="2444"/>
      <c r="P376" s="2444"/>
      <c r="Q376" s="2444"/>
      <c r="R376" s="2444"/>
      <c r="S376" s="2444"/>
      <c r="T376" s="2444"/>
      <c r="U376" s="2444"/>
      <c r="V376" s="2444"/>
      <c r="W376" s="2444"/>
      <c r="X376" s="2444"/>
      <c r="Y376" s="2444"/>
      <c r="Z376" s="2444"/>
      <c r="AA376" s="2444"/>
      <c r="AB376" s="2444"/>
      <c r="AC376" s="2444"/>
      <c r="AD376" s="2444"/>
      <c r="AE376" s="2444"/>
      <c r="AF376" s="2444"/>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44"/>
      <c r="G377" s="2444"/>
      <c r="H377" s="2444"/>
      <c r="I377" s="2444"/>
      <c r="J377" s="2444"/>
      <c r="K377" s="2444"/>
      <c r="L377" s="2444"/>
      <c r="M377" s="2444"/>
      <c r="N377" s="2444"/>
      <c r="O377" s="2444"/>
      <c r="P377" s="2444"/>
      <c r="Q377" s="2444"/>
      <c r="R377" s="2444"/>
      <c r="S377" s="2444"/>
      <c r="T377" s="2444"/>
      <c r="U377" s="2444"/>
      <c r="V377" s="2444"/>
      <c r="W377" s="2444"/>
      <c r="X377" s="2444"/>
      <c r="Y377" s="2444"/>
      <c r="Z377" s="2444"/>
      <c r="AA377" s="2444"/>
      <c r="AB377" s="2444"/>
      <c r="AC377" s="2444"/>
      <c r="AD377" s="2444"/>
      <c r="AE377" s="2444"/>
      <c r="AF377" s="2444"/>
      <c r="AL377" s="770"/>
      <c r="AN377" s="635"/>
      <c r="BS377" s="30"/>
      <c r="BT377" s="30"/>
      <c r="BU377" s="14"/>
      <c r="BV377" s="14"/>
      <c r="BW377" s="14"/>
      <c r="BX377" s="14"/>
      <c r="BY377" s="14"/>
      <c r="BZ377" s="14"/>
      <c r="CA377" s="14"/>
      <c r="CB377" s="14"/>
      <c r="CC377" s="14"/>
    </row>
    <row r="378" spans="1:81" s="588" customFormat="1" ht="12.75" customHeight="1">
      <c r="A378" s="574"/>
      <c r="B378" s="14"/>
      <c r="C378" s="2440" t="s">
        <v>618</v>
      </c>
      <c r="D378" s="2396"/>
      <c r="E378" s="729"/>
      <c r="F378" s="759" t="s">
        <v>1669</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41" t="s">
        <v>1667</v>
      </c>
      <c r="AG378" s="2441"/>
      <c r="AH378" s="2441"/>
      <c r="AI378" s="2441"/>
      <c r="AJ378" s="2441"/>
      <c r="AK378" s="2441"/>
      <c r="AL378" s="2442"/>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1517</v>
      </c>
      <c r="F381" s="2443" t="s">
        <v>1670</v>
      </c>
      <c r="G381" s="2443"/>
      <c r="H381" s="2443"/>
      <c r="I381" s="2443"/>
      <c r="J381" s="2443"/>
      <c r="K381" s="2443"/>
      <c r="L381" s="2443"/>
      <c r="M381" s="2443"/>
      <c r="N381" s="2443"/>
      <c r="O381" s="2443"/>
      <c r="P381" s="2443"/>
      <c r="Q381" s="2443"/>
      <c r="R381" s="2443"/>
      <c r="S381" s="2443"/>
      <c r="T381" s="2443"/>
      <c r="U381" s="2443"/>
      <c r="V381" s="2443"/>
      <c r="W381" s="2443"/>
      <c r="X381" s="2443"/>
      <c r="Y381" s="2443"/>
      <c r="Z381" s="2443"/>
      <c r="AA381" s="2443"/>
      <c r="AB381" s="2443"/>
      <c r="AC381" s="2443"/>
      <c r="AD381" s="2443"/>
      <c r="AE381" s="2443"/>
      <c r="AF381" s="2443"/>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44"/>
      <c r="G382" s="2444"/>
      <c r="H382" s="2444"/>
      <c r="I382" s="2444"/>
      <c r="J382" s="2444"/>
      <c r="K382" s="2444"/>
      <c r="L382" s="2444"/>
      <c r="M382" s="2444"/>
      <c r="N382" s="2444"/>
      <c r="O382" s="2444"/>
      <c r="P382" s="2444"/>
      <c r="Q382" s="2444"/>
      <c r="R382" s="2444"/>
      <c r="S382" s="2444"/>
      <c r="T382" s="2444"/>
      <c r="U382" s="2444"/>
      <c r="V382" s="2444"/>
      <c r="W382" s="2444"/>
      <c r="X382" s="2444"/>
      <c r="Y382" s="2444"/>
      <c r="Z382" s="2444"/>
      <c r="AA382" s="2444"/>
      <c r="AB382" s="2444"/>
      <c r="AC382" s="2444"/>
      <c r="AD382" s="2444"/>
      <c r="AE382" s="2444"/>
      <c r="AF382" s="2444"/>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44"/>
      <c r="G383" s="2444"/>
      <c r="H383" s="2444"/>
      <c r="I383" s="2444"/>
      <c r="J383" s="2444"/>
      <c r="K383" s="2444"/>
      <c r="L383" s="2444"/>
      <c r="M383" s="2444"/>
      <c r="N383" s="2444"/>
      <c r="O383" s="2444"/>
      <c r="P383" s="2444"/>
      <c r="Q383" s="2444"/>
      <c r="R383" s="2444"/>
      <c r="S383" s="2444"/>
      <c r="T383" s="2444"/>
      <c r="U383" s="2444"/>
      <c r="V383" s="2444"/>
      <c r="W383" s="2444"/>
      <c r="X383" s="2444"/>
      <c r="Y383" s="2444"/>
      <c r="Z383" s="2444"/>
      <c r="AA383" s="2444"/>
      <c r="AB383" s="2444"/>
      <c r="AC383" s="2444"/>
      <c r="AD383" s="2444"/>
      <c r="AE383" s="2444"/>
      <c r="AF383" s="2444"/>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44"/>
      <c r="G384" s="2444"/>
      <c r="H384" s="2444"/>
      <c r="I384" s="2444"/>
      <c r="J384" s="2444"/>
      <c r="K384" s="2444"/>
      <c r="L384" s="2444"/>
      <c r="M384" s="2444"/>
      <c r="N384" s="2444"/>
      <c r="O384" s="2444"/>
      <c r="P384" s="2444"/>
      <c r="Q384" s="2444"/>
      <c r="R384" s="2444"/>
      <c r="S384" s="2444"/>
      <c r="T384" s="2444"/>
      <c r="U384" s="2444"/>
      <c r="V384" s="2444"/>
      <c r="W384" s="2444"/>
      <c r="X384" s="2444"/>
      <c r="Y384" s="2444"/>
      <c r="Z384" s="2444"/>
      <c r="AA384" s="2444"/>
      <c r="AB384" s="2444"/>
      <c r="AC384" s="2444"/>
      <c r="AD384" s="2444"/>
      <c r="AE384" s="2444"/>
      <c r="AF384" s="2444"/>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44"/>
      <c r="G385" s="2444"/>
      <c r="H385" s="2444"/>
      <c r="I385" s="2444"/>
      <c r="J385" s="2444"/>
      <c r="K385" s="2444"/>
      <c r="L385" s="2444"/>
      <c r="M385" s="2444"/>
      <c r="N385" s="2444"/>
      <c r="O385" s="2444"/>
      <c r="P385" s="2444"/>
      <c r="Q385" s="2444"/>
      <c r="R385" s="2444"/>
      <c r="S385" s="2444"/>
      <c r="T385" s="2444"/>
      <c r="U385" s="2444"/>
      <c r="V385" s="2444"/>
      <c r="W385" s="2444"/>
      <c r="X385" s="2444"/>
      <c r="Y385" s="2444"/>
      <c r="Z385" s="2444"/>
      <c r="AA385" s="2444"/>
      <c r="AB385" s="2444"/>
      <c r="AC385" s="2444"/>
      <c r="AD385" s="2444"/>
      <c r="AE385" s="2444"/>
      <c r="AF385" s="2444"/>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40" t="s">
        <v>618</v>
      </c>
      <c r="D386" s="2396"/>
      <c r="E386" s="729"/>
      <c r="F386" s="759" t="s">
        <v>1671</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41" t="s">
        <v>1672</v>
      </c>
      <c r="AG386" s="2441"/>
      <c r="AH386" s="2441"/>
      <c r="AI386" s="2441"/>
      <c r="AJ386" s="2441"/>
      <c r="AK386" s="2441"/>
      <c r="AL386" s="2442"/>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40" t="s">
        <v>571</v>
      </c>
      <c r="D388" s="2396"/>
      <c r="E388" s="729"/>
      <c r="F388" s="776" t="s">
        <v>1673</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41" t="s">
        <v>1667</v>
      </c>
      <c r="AG388" s="2441"/>
      <c r="AH388" s="2441"/>
      <c r="AI388" s="2441"/>
      <c r="AJ388" s="2441"/>
      <c r="AK388" s="2441"/>
      <c r="AL388" s="2442"/>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1674</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1675</v>
      </c>
      <c r="F392" s="2443" t="s">
        <v>1676</v>
      </c>
      <c r="G392" s="2443"/>
      <c r="H392" s="2443"/>
      <c r="I392" s="2443"/>
      <c r="J392" s="2443"/>
      <c r="K392" s="2443"/>
      <c r="L392" s="2443"/>
      <c r="M392" s="2443"/>
      <c r="N392" s="2443"/>
      <c r="O392" s="2443"/>
      <c r="P392" s="2443"/>
      <c r="Q392" s="2443"/>
      <c r="R392" s="2443"/>
      <c r="S392" s="2443"/>
      <c r="T392" s="2443"/>
      <c r="U392" s="2443"/>
      <c r="V392" s="2443"/>
      <c r="W392" s="2443"/>
      <c r="X392" s="2443"/>
      <c r="Y392" s="2443"/>
      <c r="Z392" s="2443"/>
      <c r="AA392" s="2443"/>
      <c r="AB392" s="2443"/>
      <c r="AC392" s="2443"/>
      <c r="AD392" s="2443"/>
      <c r="AE392" s="2443"/>
      <c r="AF392" s="2443"/>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44"/>
      <c r="G393" s="2444"/>
      <c r="H393" s="2444"/>
      <c r="I393" s="2444"/>
      <c r="J393" s="2444"/>
      <c r="K393" s="2444"/>
      <c r="L393" s="2444"/>
      <c r="M393" s="2444"/>
      <c r="N393" s="2444"/>
      <c r="O393" s="2444"/>
      <c r="P393" s="2444"/>
      <c r="Q393" s="2444"/>
      <c r="R393" s="2444"/>
      <c r="S393" s="2444"/>
      <c r="T393" s="2444"/>
      <c r="U393" s="2444"/>
      <c r="V393" s="2444"/>
      <c r="W393" s="2444"/>
      <c r="X393" s="2444"/>
      <c r="Y393" s="2444"/>
      <c r="Z393" s="2444"/>
      <c r="AA393" s="2444"/>
      <c r="AB393" s="2444"/>
      <c r="AC393" s="2444"/>
      <c r="AD393" s="2444"/>
      <c r="AE393" s="2444"/>
      <c r="AF393" s="2444"/>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444"/>
      <c r="G394" s="2444"/>
      <c r="H394" s="2444"/>
      <c r="I394" s="2444"/>
      <c r="J394" s="2444"/>
      <c r="K394" s="2444"/>
      <c r="L394" s="2444"/>
      <c r="M394" s="2444"/>
      <c r="N394" s="2444"/>
      <c r="O394" s="2444"/>
      <c r="P394" s="2444"/>
      <c r="Q394" s="2444"/>
      <c r="R394" s="2444"/>
      <c r="S394" s="2444"/>
      <c r="T394" s="2444"/>
      <c r="U394" s="2444"/>
      <c r="V394" s="2444"/>
      <c r="W394" s="2444"/>
      <c r="X394" s="2444"/>
      <c r="Y394" s="2444"/>
      <c r="Z394" s="2444"/>
      <c r="AA394" s="2444"/>
      <c r="AB394" s="2444"/>
      <c r="AC394" s="2444"/>
      <c r="AD394" s="2444"/>
      <c r="AE394" s="2444"/>
      <c r="AF394" s="2444"/>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44"/>
      <c r="G395" s="2444"/>
      <c r="H395" s="2444"/>
      <c r="I395" s="2444"/>
      <c r="J395" s="2444"/>
      <c r="K395" s="2444"/>
      <c r="L395" s="2444"/>
      <c r="M395" s="2444"/>
      <c r="N395" s="2444"/>
      <c r="O395" s="2444"/>
      <c r="P395" s="2444"/>
      <c r="Q395" s="2444"/>
      <c r="R395" s="2444"/>
      <c r="S395" s="2444"/>
      <c r="T395" s="2444"/>
      <c r="U395" s="2444"/>
      <c r="V395" s="2444"/>
      <c r="W395" s="2444"/>
      <c r="X395" s="2444"/>
      <c r="Y395" s="2444"/>
      <c r="Z395" s="2444"/>
      <c r="AA395" s="2444"/>
      <c r="AB395" s="2444"/>
      <c r="AC395" s="2444"/>
      <c r="AD395" s="2444"/>
      <c r="AE395" s="2444"/>
      <c r="AF395" s="2444"/>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40" t="s">
        <v>618</v>
      </c>
      <c r="D396" s="2396"/>
      <c r="E396" s="729"/>
      <c r="F396" s="759" t="s">
        <v>1677</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41" t="s">
        <v>1667</v>
      </c>
      <c r="AG396" s="2441"/>
      <c r="AH396" s="2441"/>
      <c r="AI396" s="2441"/>
      <c r="AJ396" s="2441"/>
      <c r="AK396" s="2441"/>
      <c r="AL396" s="2442"/>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40" t="s">
        <v>618</v>
      </c>
      <c r="D398" s="2396"/>
      <c r="E398" s="757"/>
      <c r="F398" s="759" t="s">
        <v>1678</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41" t="s">
        <v>1679</v>
      </c>
      <c r="AG398" s="2441"/>
      <c r="AH398" s="2441"/>
      <c r="AI398" s="2441"/>
      <c r="AJ398" s="2441"/>
      <c r="AK398" s="2441"/>
      <c r="AL398" s="2442"/>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40" t="s">
        <v>571</v>
      </c>
      <c r="D401" s="2396"/>
      <c r="E401" s="753" t="s">
        <v>1680</v>
      </c>
      <c r="F401" s="2443" t="s">
        <v>1681</v>
      </c>
      <c r="G401" s="2443"/>
      <c r="H401" s="2443"/>
      <c r="I401" s="2443"/>
      <c r="J401" s="2443"/>
      <c r="K401" s="2443"/>
      <c r="L401" s="2443"/>
      <c r="M401" s="2443"/>
      <c r="N401" s="2443"/>
      <c r="O401" s="2443"/>
      <c r="P401" s="2443"/>
      <c r="Q401" s="2443"/>
      <c r="R401" s="2443"/>
      <c r="S401" s="2443"/>
      <c r="T401" s="2443"/>
      <c r="U401" s="2443"/>
      <c r="V401" s="2443"/>
      <c r="W401" s="2443"/>
      <c r="X401" s="2443"/>
      <c r="Y401" s="2443"/>
      <c r="Z401" s="2443"/>
      <c r="AA401" s="2443"/>
      <c r="AB401" s="2443"/>
      <c r="AC401" s="2443"/>
      <c r="AD401" s="2443"/>
      <c r="AE401" s="2443"/>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44"/>
      <c r="G402" s="2444"/>
      <c r="H402" s="2444"/>
      <c r="I402" s="2444"/>
      <c r="J402" s="2444"/>
      <c r="K402" s="2444"/>
      <c r="L402" s="2444"/>
      <c r="M402" s="2444"/>
      <c r="N402" s="2444"/>
      <c r="O402" s="2444"/>
      <c r="P402" s="2444"/>
      <c r="Q402" s="2444"/>
      <c r="R402" s="2444"/>
      <c r="S402" s="2444"/>
      <c r="T402" s="2444"/>
      <c r="U402" s="2444"/>
      <c r="V402" s="2444"/>
      <c r="W402" s="2444"/>
      <c r="X402" s="2444"/>
      <c r="Y402" s="2444"/>
      <c r="Z402" s="2444"/>
      <c r="AA402" s="2444"/>
      <c r="AB402" s="2444"/>
      <c r="AC402" s="2444"/>
      <c r="AD402" s="2444"/>
      <c r="AE402" s="2444"/>
      <c r="AF402" s="2366" t="s">
        <v>1667</v>
      </c>
      <c r="AG402" s="2366"/>
      <c r="AH402" s="2366"/>
      <c r="AI402" s="2366"/>
      <c r="AJ402" s="2366"/>
      <c r="AK402" s="2366"/>
      <c r="AL402" s="2445"/>
      <c r="AM402" s="608"/>
      <c r="AN402" s="635"/>
      <c r="BS402" s="608"/>
      <c r="BT402" s="608"/>
      <c r="BY402" s="608"/>
      <c r="BZ402" s="608"/>
      <c r="CA402" s="608"/>
      <c r="CB402" s="608"/>
      <c r="CC402" s="608"/>
    </row>
    <row r="403" spans="1:81" s="588" customFormat="1" ht="12.75" customHeight="1">
      <c r="A403" s="574"/>
      <c r="B403" s="14"/>
      <c r="C403" s="769"/>
      <c r="D403" s="14"/>
      <c r="E403" s="729"/>
      <c r="F403" s="2444"/>
      <c r="G403" s="2444"/>
      <c r="H403" s="2444"/>
      <c r="I403" s="2444"/>
      <c r="J403" s="2444"/>
      <c r="K403" s="2444"/>
      <c r="L403" s="2444"/>
      <c r="M403" s="2444"/>
      <c r="N403" s="2444"/>
      <c r="O403" s="2444"/>
      <c r="P403" s="2444"/>
      <c r="Q403" s="2444"/>
      <c r="R403" s="2444"/>
      <c r="S403" s="2444"/>
      <c r="T403" s="2444"/>
      <c r="U403" s="2444"/>
      <c r="V403" s="2444"/>
      <c r="W403" s="2444"/>
      <c r="X403" s="2444"/>
      <c r="Y403" s="2444"/>
      <c r="Z403" s="2444"/>
      <c r="AA403" s="2444"/>
      <c r="AB403" s="2444"/>
      <c r="AC403" s="2444"/>
      <c r="AD403" s="2444"/>
      <c r="AE403" s="2444"/>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59"/>
      <c r="G404" s="2459"/>
      <c r="H404" s="2459"/>
      <c r="I404" s="2459"/>
      <c r="J404" s="2459"/>
      <c r="K404" s="2459"/>
      <c r="L404" s="2459"/>
      <c r="M404" s="2459"/>
      <c r="N404" s="2459"/>
      <c r="O404" s="2459"/>
      <c r="P404" s="2459"/>
      <c r="Q404" s="2459"/>
      <c r="R404" s="2459"/>
      <c r="S404" s="2459"/>
      <c r="T404" s="2459"/>
      <c r="U404" s="2459"/>
      <c r="V404" s="2459"/>
      <c r="W404" s="2459"/>
      <c r="X404" s="2459"/>
      <c r="Y404" s="2459"/>
      <c r="Z404" s="2459"/>
      <c r="AA404" s="2459"/>
      <c r="AB404" s="2459"/>
      <c r="AC404" s="2459"/>
      <c r="AD404" s="2459"/>
      <c r="AE404" s="2459"/>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1682</v>
      </c>
      <c r="F406" s="2443" t="s">
        <v>1683</v>
      </c>
      <c r="G406" s="2443"/>
      <c r="H406" s="2443"/>
      <c r="I406" s="2443"/>
      <c r="J406" s="2443"/>
      <c r="K406" s="2443"/>
      <c r="L406" s="2443"/>
      <c r="M406" s="2443"/>
      <c r="N406" s="2443"/>
      <c r="O406" s="2443"/>
      <c r="P406" s="2443"/>
      <c r="Q406" s="2443"/>
      <c r="R406" s="2443"/>
      <c r="S406" s="2443"/>
      <c r="T406" s="2443"/>
      <c r="U406" s="2443"/>
      <c r="V406" s="2443"/>
      <c r="W406" s="2443"/>
      <c r="X406" s="2443"/>
      <c r="Y406" s="2443"/>
      <c r="Z406" s="2443"/>
      <c r="AA406" s="2443"/>
      <c r="AB406" s="2443"/>
      <c r="AC406" s="2443"/>
      <c r="AD406" s="2443"/>
      <c r="AE406" s="2443"/>
      <c r="AF406" s="785"/>
      <c r="AG406" s="785"/>
      <c r="AH406" s="785"/>
      <c r="AI406" s="785"/>
      <c r="AJ406" s="785"/>
      <c r="AK406" s="785"/>
      <c r="AL406" s="786"/>
      <c r="AM406" s="608"/>
    </row>
    <row r="407" spans="1:81">
      <c r="A407" s="574"/>
      <c r="C407" s="769"/>
      <c r="E407" s="729"/>
      <c r="F407" s="2444"/>
      <c r="G407" s="2444"/>
      <c r="H407" s="2444"/>
      <c r="I407" s="2444"/>
      <c r="J407" s="2444"/>
      <c r="K407" s="2444"/>
      <c r="L407" s="2444"/>
      <c r="M407" s="2444"/>
      <c r="N407" s="2444"/>
      <c r="O407" s="2444"/>
      <c r="P407" s="2444"/>
      <c r="Q407" s="2444"/>
      <c r="R407" s="2444"/>
      <c r="S407" s="2444"/>
      <c r="T407" s="2444"/>
      <c r="U407" s="2444"/>
      <c r="V407" s="2444"/>
      <c r="W407" s="2444"/>
      <c r="X407" s="2444"/>
      <c r="Y407" s="2444"/>
      <c r="Z407" s="2444"/>
      <c r="AA407" s="2444"/>
      <c r="AB407" s="2444"/>
      <c r="AC407" s="2444"/>
      <c r="AD407" s="2444"/>
      <c r="AE407" s="2444"/>
      <c r="AF407" s="577"/>
      <c r="AG407" s="574"/>
      <c r="AH407" s="588"/>
      <c r="AI407" s="588"/>
      <c r="AJ407" s="588"/>
      <c r="AK407" s="588"/>
      <c r="AL407" s="770"/>
      <c r="AM407" s="608"/>
    </row>
    <row r="408" spans="1:81" s="588" customFormat="1" ht="12.75" customHeight="1">
      <c r="A408" s="574"/>
      <c r="B408" s="14"/>
      <c r="C408" s="769"/>
      <c r="D408" s="14"/>
      <c r="E408" s="729"/>
      <c r="F408" s="2444"/>
      <c r="G408" s="2444"/>
      <c r="H408" s="2444"/>
      <c r="I408" s="2444"/>
      <c r="J408" s="2444"/>
      <c r="K408" s="2444"/>
      <c r="L408" s="2444"/>
      <c r="M408" s="2444"/>
      <c r="N408" s="2444"/>
      <c r="O408" s="2444"/>
      <c r="P408" s="2444"/>
      <c r="Q408" s="2444"/>
      <c r="R408" s="2444"/>
      <c r="S408" s="2444"/>
      <c r="T408" s="2444"/>
      <c r="U408" s="2444"/>
      <c r="V408" s="2444"/>
      <c r="W408" s="2444"/>
      <c r="X408" s="2444"/>
      <c r="Y408" s="2444"/>
      <c r="Z408" s="2444"/>
      <c r="AA408" s="2444"/>
      <c r="AB408" s="2444"/>
      <c r="AC408" s="2444"/>
      <c r="AD408" s="2444"/>
      <c r="AE408" s="2444"/>
      <c r="AL408" s="770"/>
      <c r="AM408" s="608"/>
      <c r="AN408" s="635"/>
    </row>
    <row r="409" spans="1:81" s="588" customFormat="1" ht="12.75" customHeight="1">
      <c r="A409" s="574"/>
      <c r="B409" s="14"/>
      <c r="C409" s="777"/>
      <c r="F409" s="2444"/>
      <c r="G409" s="2444"/>
      <c r="H409" s="2444"/>
      <c r="I409" s="2444"/>
      <c r="J409" s="2444"/>
      <c r="K409" s="2444"/>
      <c r="L409" s="2444"/>
      <c r="M409" s="2444"/>
      <c r="N409" s="2444"/>
      <c r="O409" s="2444"/>
      <c r="P409" s="2444"/>
      <c r="Q409" s="2444"/>
      <c r="R409" s="2444"/>
      <c r="S409" s="2444"/>
      <c r="T409" s="2444"/>
      <c r="U409" s="2444"/>
      <c r="V409" s="2444"/>
      <c r="W409" s="2444"/>
      <c r="X409" s="2444"/>
      <c r="Y409" s="2444"/>
      <c r="Z409" s="2444"/>
      <c r="AA409" s="2444"/>
      <c r="AB409" s="2444"/>
      <c r="AC409" s="2444"/>
      <c r="AD409" s="2444"/>
      <c r="AE409" s="2444"/>
      <c r="AL409" s="770"/>
      <c r="AM409" s="608"/>
      <c r="AN409" s="635"/>
    </row>
    <row r="410" spans="1:81" s="588" customFormat="1" ht="12.75" customHeight="1">
      <c r="A410" s="574"/>
      <c r="B410" s="14"/>
      <c r="C410" s="2440" t="s">
        <v>618</v>
      </c>
      <c r="D410" s="2396"/>
      <c r="E410" s="729"/>
      <c r="F410" s="759" t="s">
        <v>1684</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66" t="s">
        <v>1667</v>
      </c>
      <c r="AG410" s="2366"/>
      <c r="AH410" s="2366"/>
      <c r="AI410" s="2366"/>
      <c r="AJ410" s="2366"/>
      <c r="AK410" s="2366"/>
      <c r="AL410" s="2445"/>
      <c r="AM410" s="608"/>
      <c r="AN410" s="635"/>
    </row>
    <row r="411" spans="1:81" s="588" customFormat="1" ht="12.75" customHeight="1">
      <c r="A411" s="574"/>
      <c r="B411" s="14"/>
      <c r="C411" s="777"/>
      <c r="AL411" s="770"/>
      <c r="AM411" s="608"/>
      <c r="AN411" s="635"/>
    </row>
    <row r="412" spans="1:81" s="588" customFormat="1" ht="12.75" customHeight="1">
      <c r="A412" s="574"/>
      <c r="B412" s="14"/>
      <c r="C412" s="2440" t="s">
        <v>618</v>
      </c>
      <c r="D412" s="2396"/>
      <c r="E412" s="757"/>
      <c r="F412" s="759" t="s">
        <v>1685</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66" t="s">
        <v>1679</v>
      </c>
      <c r="AG412" s="2366"/>
      <c r="AH412" s="2366"/>
      <c r="AI412" s="2366"/>
      <c r="AJ412" s="2366"/>
      <c r="AK412" s="2366"/>
      <c r="AL412" s="2445"/>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1686</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1687</v>
      </c>
      <c r="F416" s="2443" t="s">
        <v>1688</v>
      </c>
      <c r="G416" s="2443"/>
      <c r="H416" s="2443"/>
      <c r="I416" s="2443"/>
      <c r="J416" s="2443"/>
      <c r="K416" s="2443"/>
      <c r="L416" s="2443"/>
      <c r="M416" s="2443"/>
      <c r="N416" s="2443"/>
      <c r="O416" s="2443"/>
      <c r="P416" s="2443"/>
      <c r="Q416" s="2443"/>
      <c r="R416" s="2443"/>
      <c r="S416" s="2443"/>
      <c r="T416" s="2443"/>
      <c r="U416" s="2443"/>
      <c r="V416" s="2443"/>
      <c r="W416" s="2443"/>
      <c r="X416" s="2443"/>
      <c r="Y416" s="2443"/>
      <c r="Z416" s="2443"/>
      <c r="AA416" s="2443"/>
      <c r="AB416" s="2443"/>
      <c r="AC416" s="2443"/>
      <c r="AD416" s="2443"/>
      <c r="AE416" s="2443"/>
      <c r="AF416" s="752"/>
      <c r="AG416" s="752"/>
      <c r="AH416" s="752"/>
      <c r="AI416" s="752"/>
      <c r="AJ416" s="752"/>
      <c r="AK416" s="752"/>
      <c r="AL416" s="783"/>
      <c r="AM416" s="608"/>
      <c r="AN416" s="635"/>
    </row>
    <row r="417" spans="1:60" s="588" customFormat="1" ht="12.75" customHeight="1">
      <c r="A417" s="574"/>
      <c r="B417" s="14"/>
      <c r="C417" s="769"/>
      <c r="D417" s="14"/>
      <c r="E417" s="729"/>
      <c r="F417" s="2444"/>
      <c r="G417" s="2444"/>
      <c r="H417" s="2444"/>
      <c r="I417" s="2444"/>
      <c r="J417" s="2444"/>
      <c r="K417" s="2444"/>
      <c r="L417" s="2444"/>
      <c r="M417" s="2444"/>
      <c r="N417" s="2444"/>
      <c r="O417" s="2444"/>
      <c r="P417" s="2444"/>
      <c r="Q417" s="2444"/>
      <c r="R417" s="2444"/>
      <c r="S417" s="2444"/>
      <c r="T417" s="2444"/>
      <c r="U417" s="2444"/>
      <c r="V417" s="2444"/>
      <c r="W417" s="2444"/>
      <c r="X417" s="2444"/>
      <c r="Y417" s="2444"/>
      <c r="Z417" s="2444"/>
      <c r="AA417" s="2444"/>
      <c r="AB417" s="2444"/>
      <c r="AC417" s="2444"/>
      <c r="AD417" s="2444"/>
      <c r="AE417" s="2444"/>
      <c r="AF417" s="577"/>
      <c r="AG417" s="574"/>
      <c r="AL417" s="770"/>
      <c r="AM417" s="608"/>
      <c r="AN417" s="635"/>
    </row>
    <row r="418" spans="1:60" s="588" customFormat="1" ht="12.4" customHeight="1">
      <c r="A418" s="574"/>
      <c r="B418" s="14"/>
      <c r="C418" s="769"/>
      <c r="D418" s="14"/>
      <c r="E418" s="729"/>
      <c r="F418" s="2444"/>
      <c r="G418" s="2444"/>
      <c r="H418" s="2444"/>
      <c r="I418" s="2444"/>
      <c r="J418" s="2444"/>
      <c r="K418" s="2444"/>
      <c r="L418" s="2444"/>
      <c r="M418" s="2444"/>
      <c r="N418" s="2444"/>
      <c r="O418" s="2444"/>
      <c r="P418" s="2444"/>
      <c r="Q418" s="2444"/>
      <c r="R418" s="2444"/>
      <c r="S418" s="2444"/>
      <c r="T418" s="2444"/>
      <c r="U418" s="2444"/>
      <c r="V418" s="2444"/>
      <c r="W418" s="2444"/>
      <c r="X418" s="2444"/>
      <c r="Y418" s="2444"/>
      <c r="Z418" s="2444"/>
      <c r="AA418" s="2444"/>
      <c r="AB418" s="2444"/>
      <c r="AC418" s="2444"/>
      <c r="AD418" s="2444"/>
      <c r="AE418" s="2444"/>
      <c r="AL418" s="770"/>
      <c r="AM418" s="608"/>
      <c r="AN418" s="635"/>
    </row>
    <row r="419" spans="1:60" s="588" customFormat="1" ht="12.75" customHeight="1">
      <c r="A419" s="574"/>
      <c r="B419" s="14"/>
      <c r="C419" s="2440" t="s">
        <v>618</v>
      </c>
      <c r="D419" s="2396"/>
      <c r="E419" s="729"/>
      <c r="F419" s="759" t="s">
        <v>1689</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66" t="s">
        <v>1667</v>
      </c>
      <c r="AG419" s="2366"/>
      <c r="AH419" s="2366"/>
      <c r="AI419" s="2366"/>
      <c r="AJ419" s="2366"/>
      <c r="AK419" s="2366"/>
      <c r="AL419" s="2445"/>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1690</v>
      </c>
      <c r="F422" s="2443" t="s">
        <v>1691</v>
      </c>
      <c r="G422" s="2443"/>
      <c r="H422" s="2443"/>
      <c r="I422" s="2443"/>
      <c r="J422" s="2443"/>
      <c r="K422" s="2443"/>
      <c r="L422" s="2443"/>
      <c r="M422" s="2443"/>
      <c r="N422" s="2443"/>
      <c r="O422" s="2443"/>
      <c r="P422" s="2443"/>
      <c r="Q422" s="2443"/>
      <c r="R422" s="2443"/>
      <c r="S422" s="2443"/>
      <c r="T422" s="2443"/>
      <c r="U422" s="2443"/>
      <c r="V422" s="2443"/>
      <c r="W422" s="2443"/>
      <c r="X422" s="2443"/>
      <c r="Y422" s="2443"/>
      <c r="Z422" s="2443"/>
      <c r="AA422" s="2443"/>
      <c r="AB422" s="2443"/>
      <c r="AC422" s="2443"/>
      <c r="AD422" s="2443"/>
      <c r="AE422" s="2443"/>
      <c r="AF422" s="785"/>
      <c r="AG422" s="785"/>
      <c r="AH422" s="785"/>
      <c r="AI422" s="785"/>
      <c r="AJ422" s="785"/>
      <c r="AK422" s="785"/>
      <c r="AL422" s="786"/>
      <c r="AM422" s="608"/>
      <c r="AO422" s="588"/>
      <c r="AP422" s="588"/>
      <c r="BD422" s="14"/>
      <c r="BE422" s="14"/>
      <c r="BF422" s="14"/>
      <c r="BG422" s="14"/>
      <c r="BH422" s="14"/>
    </row>
    <row r="423" spans="1:60">
      <c r="A423" s="574"/>
      <c r="C423" s="769"/>
      <c r="E423" s="729"/>
      <c r="F423" s="2444"/>
      <c r="G423" s="2444"/>
      <c r="H423" s="2444"/>
      <c r="I423" s="2444"/>
      <c r="J423" s="2444"/>
      <c r="K423" s="2444"/>
      <c r="L423" s="2444"/>
      <c r="M423" s="2444"/>
      <c r="N423" s="2444"/>
      <c r="O423" s="2444"/>
      <c r="P423" s="2444"/>
      <c r="Q423" s="2444"/>
      <c r="R423" s="2444"/>
      <c r="S423" s="2444"/>
      <c r="T423" s="2444"/>
      <c r="U423" s="2444"/>
      <c r="V423" s="2444"/>
      <c r="W423" s="2444"/>
      <c r="X423" s="2444"/>
      <c r="Y423" s="2444"/>
      <c r="Z423" s="2444"/>
      <c r="AA423" s="2444"/>
      <c r="AB423" s="2444"/>
      <c r="AC423" s="2444"/>
      <c r="AD423" s="2444"/>
      <c r="AE423" s="2444"/>
      <c r="AF423" s="632"/>
      <c r="AG423" s="632"/>
      <c r="AH423" s="632"/>
      <c r="AI423" s="632"/>
      <c r="AJ423" s="632"/>
      <c r="AK423" s="632"/>
      <c r="AL423" s="789"/>
      <c r="AM423" s="608"/>
      <c r="AO423" s="588"/>
      <c r="AP423" s="588"/>
    </row>
    <row r="424" spans="1:60" s="588" customFormat="1" ht="12.75" customHeight="1">
      <c r="A424" s="574"/>
      <c r="B424" s="14"/>
      <c r="C424" s="769"/>
      <c r="D424" s="14"/>
      <c r="E424" s="729"/>
      <c r="F424" s="2444"/>
      <c r="G424" s="2444"/>
      <c r="H424" s="2444"/>
      <c r="I424" s="2444"/>
      <c r="J424" s="2444"/>
      <c r="K424" s="2444"/>
      <c r="L424" s="2444"/>
      <c r="M424" s="2444"/>
      <c r="N424" s="2444"/>
      <c r="O424" s="2444"/>
      <c r="P424" s="2444"/>
      <c r="Q424" s="2444"/>
      <c r="R424" s="2444"/>
      <c r="S424" s="2444"/>
      <c r="T424" s="2444"/>
      <c r="U424" s="2444"/>
      <c r="V424" s="2444"/>
      <c r="W424" s="2444"/>
      <c r="X424" s="2444"/>
      <c r="Y424" s="2444"/>
      <c r="Z424" s="2444"/>
      <c r="AA424" s="2444"/>
      <c r="AB424" s="2444"/>
      <c r="AC424" s="2444"/>
      <c r="AD424" s="2444"/>
      <c r="AE424" s="2444"/>
      <c r="AF424" s="632"/>
      <c r="AG424" s="632"/>
      <c r="AH424" s="632"/>
      <c r="AI424" s="632"/>
      <c r="AJ424" s="632"/>
      <c r="AK424" s="632"/>
      <c r="AL424" s="789"/>
      <c r="AM424" s="608"/>
      <c r="AN424" s="635"/>
    </row>
    <row r="425" spans="1:60" s="588" customFormat="1" ht="12.75" customHeight="1">
      <c r="A425" s="574"/>
      <c r="B425" s="14"/>
      <c r="C425" s="790"/>
      <c r="D425" s="768"/>
      <c r="E425" s="757"/>
      <c r="F425" s="2444"/>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44"/>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632"/>
      <c r="AG426" s="632"/>
      <c r="AH426" s="632"/>
      <c r="AI426" s="632"/>
      <c r="AJ426" s="632"/>
      <c r="AK426" s="632"/>
      <c r="AL426" s="789"/>
      <c r="AM426" s="608"/>
      <c r="AN426" s="635"/>
    </row>
    <row r="427" spans="1:60" s="588" customFormat="1" ht="12.75" customHeight="1">
      <c r="A427" s="574"/>
      <c r="B427" s="14"/>
      <c r="C427" s="790"/>
      <c r="D427" s="768"/>
      <c r="E427" s="757"/>
      <c r="F427" s="2444"/>
      <c r="G427" s="2444"/>
      <c r="H427" s="2444"/>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44"/>
      <c r="AD427" s="2444"/>
      <c r="AE427" s="2444"/>
      <c r="AF427" s="632"/>
      <c r="AG427" s="632"/>
      <c r="AH427" s="632"/>
      <c r="AI427" s="632"/>
      <c r="AJ427" s="632"/>
      <c r="AK427" s="632"/>
      <c r="AL427" s="789"/>
      <c r="AM427" s="608"/>
      <c r="AN427" s="635"/>
    </row>
    <row r="428" spans="1:60" s="588" customFormat="1" ht="12.75" customHeight="1">
      <c r="A428" s="574"/>
      <c r="B428" s="14"/>
      <c r="C428" s="790"/>
      <c r="D428" s="768"/>
      <c r="E428" s="757"/>
      <c r="F428" s="2444"/>
      <c r="G428" s="2444"/>
      <c r="H428" s="2444"/>
      <c r="I428" s="2444"/>
      <c r="J428" s="2444"/>
      <c r="K428" s="2444"/>
      <c r="L428" s="2444"/>
      <c r="M428" s="2444"/>
      <c r="N428" s="2444"/>
      <c r="O428" s="2444"/>
      <c r="P428" s="2444"/>
      <c r="Q428" s="2444"/>
      <c r="R428" s="2444"/>
      <c r="S428" s="2444"/>
      <c r="T428" s="2444"/>
      <c r="U428" s="2444"/>
      <c r="V428" s="2444"/>
      <c r="W428" s="2444"/>
      <c r="X428" s="2444"/>
      <c r="Y428" s="2444"/>
      <c r="Z428" s="2444"/>
      <c r="AA428" s="2444"/>
      <c r="AB428" s="2444"/>
      <c r="AC428" s="2444"/>
      <c r="AD428" s="2444"/>
      <c r="AE428" s="2444"/>
      <c r="AF428" s="632"/>
      <c r="AG428" s="632"/>
      <c r="AH428" s="632"/>
      <c r="AI428" s="632"/>
      <c r="AJ428" s="632"/>
      <c r="AK428" s="632"/>
      <c r="AL428" s="789"/>
      <c r="AM428" s="608"/>
      <c r="AN428" s="635"/>
    </row>
    <row r="429" spans="1:60" s="588" customFormat="1" ht="12.75" customHeight="1">
      <c r="A429" s="574"/>
      <c r="B429" s="14"/>
      <c r="C429" s="790"/>
      <c r="D429" s="768"/>
      <c r="E429" s="757"/>
      <c r="F429" s="2444"/>
      <c r="G429" s="2444"/>
      <c r="H429" s="2444"/>
      <c r="I429" s="2444"/>
      <c r="J429" s="2444"/>
      <c r="K429" s="2444"/>
      <c r="L429" s="2444"/>
      <c r="M429" s="2444"/>
      <c r="N429" s="2444"/>
      <c r="O429" s="2444"/>
      <c r="P429" s="2444"/>
      <c r="Q429" s="2444"/>
      <c r="R429" s="2444"/>
      <c r="S429" s="2444"/>
      <c r="T429" s="2444"/>
      <c r="U429" s="2444"/>
      <c r="V429" s="2444"/>
      <c r="W429" s="2444"/>
      <c r="X429" s="2444"/>
      <c r="Y429" s="2444"/>
      <c r="Z429" s="2444"/>
      <c r="AA429" s="2444"/>
      <c r="AB429" s="2444"/>
      <c r="AC429" s="2444"/>
      <c r="AD429" s="2444"/>
      <c r="AE429" s="2444"/>
      <c r="AF429" s="632"/>
      <c r="AG429" s="632"/>
      <c r="AH429" s="632"/>
      <c r="AI429" s="632"/>
      <c r="AJ429" s="632"/>
      <c r="AK429" s="632"/>
      <c r="AL429" s="789"/>
      <c r="AM429" s="608"/>
      <c r="AN429" s="635"/>
    </row>
    <row r="430" spans="1:60" s="588" customFormat="1" ht="17.25" customHeight="1">
      <c r="A430" s="574"/>
      <c r="B430" s="14"/>
      <c r="C430" s="790"/>
      <c r="D430" s="768"/>
      <c r="E430" s="757"/>
      <c r="F430" s="2444"/>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L430" s="770"/>
      <c r="AM430" s="608"/>
      <c r="AN430" s="635"/>
    </row>
    <row r="431" spans="1:60" s="588" customFormat="1" ht="12.75" customHeight="1">
      <c r="A431" s="574"/>
      <c r="B431" s="14"/>
      <c r="C431" s="2440" t="s">
        <v>618</v>
      </c>
      <c r="D431" s="2396"/>
      <c r="E431" s="757"/>
      <c r="F431" s="634" t="s">
        <v>1692</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66" t="s">
        <v>1667</v>
      </c>
      <c r="AG431" s="2366"/>
      <c r="AH431" s="2366"/>
      <c r="AI431" s="2366"/>
      <c r="AJ431" s="2366"/>
      <c r="AK431" s="2366"/>
      <c r="AL431" s="2445"/>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1693</v>
      </c>
      <c r="F434" s="2443" t="s">
        <v>1694</v>
      </c>
      <c r="G434" s="2443"/>
      <c r="H434" s="2443"/>
      <c r="I434" s="2443"/>
      <c r="J434" s="2443"/>
      <c r="K434" s="2443"/>
      <c r="L434" s="2443"/>
      <c r="M434" s="2443"/>
      <c r="N434" s="2443"/>
      <c r="O434" s="2443"/>
      <c r="P434" s="2443"/>
      <c r="Q434" s="2443"/>
      <c r="R434" s="2443"/>
      <c r="S434" s="2443"/>
      <c r="T434" s="2443"/>
      <c r="U434" s="2443"/>
      <c r="V434" s="2443"/>
      <c r="W434" s="2443"/>
      <c r="X434" s="2443"/>
      <c r="Y434" s="2443"/>
      <c r="Z434" s="2443"/>
      <c r="AA434" s="2443"/>
      <c r="AB434" s="2443"/>
      <c r="AC434" s="2443"/>
      <c r="AD434" s="2443"/>
      <c r="AE434" s="2443"/>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444"/>
      <c r="G435" s="2444"/>
      <c r="H435" s="2444"/>
      <c r="I435" s="2444"/>
      <c r="J435" s="2444"/>
      <c r="K435" s="2444"/>
      <c r="L435" s="2444"/>
      <c r="M435" s="2444"/>
      <c r="N435" s="2444"/>
      <c r="O435" s="2444"/>
      <c r="P435" s="2444"/>
      <c r="Q435" s="2444"/>
      <c r="R435" s="2444"/>
      <c r="S435" s="2444"/>
      <c r="T435" s="2444"/>
      <c r="U435" s="2444"/>
      <c r="V435" s="2444"/>
      <c r="W435" s="2444"/>
      <c r="X435" s="2444"/>
      <c r="Y435" s="2444"/>
      <c r="Z435" s="2444"/>
      <c r="AA435" s="2444"/>
      <c r="AB435" s="2444"/>
      <c r="AC435" s="2444"/>
      <c r="AD435" s="2444"/>
      <c r="AE435" s="2444"/>
      <c r="AF435" s="629"/>
      <c r="AG435" s="629"/>
      <c r="AH435" s="629"/>
      <c r="AI435" s="629"/>
      <c r="AJ435" s="629"/>
      <c r="AK435" s="629"/>
      <c r="AL435" s="758"/>
      <c r="AM435" s="608"/>
      <c r="AN435" s="635"/>
      <c r="AO435" s="588" t="s">
        <v>1695</v>
      </c>
      <c r="AP435" s="588">
        <v>5</v>
      </c>
      <c r="AQ435" s="791"/>
    </row>
    <row r="436" spans="1:54" s="588" customFormat="1" ht="12.75" customHeight="1">
      <c r="A436" s="574"/>
      <c r="B436" s="14"/>
      <c r="C436" s="790"/>
      <c r="D436" s="768"/>
      <c r="E436" s="757"/>
      <c r="F436" s="2444"/>
      <c r="G436" s="2444"/>
      <c r="H436" s="2444"/>
      <c r="I436" s="2444"/>
      <c r="J436" s="2444"/>
      <c r="K436" s="2444"/>
      <c r="L436" s="2444"/>
      <c r="M436" s="2444"/>
      <c r="N436" s="2444"/>
      <c r="O436" s="2444"/>
      <c r="P436" s="2444"/>
      <c r="Q436" s="2444"/>
      <c r="R436" s="2444"/>
      <c r="S436" s="2444"/>
      <c r="T436" s="2444"/>
      <c r="U436" s="2444"/>
      <c r="V436" s="2444"/>
      <c r="W436" s="2444"/>
      <c r="X436" s="2444"/>
      <c r="Y436" s="2444"/>
      <c r="Z436" s="2444"/>
      <c r="AA436" s="2444"/>
      <c r="AB436" s="2444"/>
      <c r="AC436" s="2444"/>
      <c r="AD436" s="2444"/>
      <c r="AE436" s="2444"/>
      <c r="AF436" s="629"/>
      <c r="AG436" s="629"/>
      <c r="AH436" s="629"/>
      <c r="AI436" s="629"/>
      <c r="AJ436" s="629"/>
      <c r="AK436" s="629"/>
      <c r="AL436" s="758"/>
      <c r="AM436" s="608"/>
      <c r="AN436" s="635"/>
      <c r="AO436" s="588" t="s">
        <v>1696</v>
      </c>
      <c r="AP436" s="588">
        <v>5</v>
      </c>
      <c r="AQ436" s="791"/>
    </row>
    <row r="437" spans="1:54" s="588" customFormat="1" ht="12.75" customHeight="1">
      <c r="A437" s="574"/>
      <c r="B437" s="14"/>
      <c r="C437" s="790"/>
      <c r="D437" s="768"/>
      <c r="E437" s="757"/>
      <c r="F437" s="2444"/>
      <c r="G437" s="2444"/>
      <c r="H437" s="2444"/>
      <c r="I437" s="2444"/>
      <c r="J437" s="2444"/>
      <c r="K437" s="2444"/>
      <c r="L437" s="2444"/>
      <c r="M437" s="2444"/>
      <c r="N437" s="2444"/>
      <c r="O437" s="2444"/>
      <c r="P437" s="2444"/>
      <c r="Q437" s="2444"/>
      <c r="R437" s="2444"/>
      <c r="S437" s="2444"/>
      <c r="T437" s="2444"/>
      <c r="U437" s="2444"/>
      <c r="V437" s="2444"/>
      <c r="W437" s="2444"/>
      <c r="X437" s="2444"/>
      <c r="Y437" s="2444"/>
      <c r="Z437" s="2444"/>
      <c r="AA437" s="2444"/>
      <c r="AB437" s="2444"/>
      <c r="AC437" s="2444"/>
      <c r="AD437" s="2444"/>
      <c r="AE437" s="2444"/>
      <c r="AL437" s="770"/>
      <c r="AM437" s="608"/>
      <c r="AN437" s="635"/>
      <c r="AO437" s="588" t="s">
        <v>1697</v>
      </c>
      <c r="AP437" s="588">
        <v>5</v>
      </c>
      <c r="AQ437" s="574"/>
    </row>
    <row r="438" spans="1:54" s="588" customFormat="1" ht="12.75" customHeight="1">
      <c r="A438" s="574"/>
      <c r="B438" s="14"/>
      <c r="C438" s="2440" t="s">
        <v>618</v>
      </c>
      <c r="D438" s="2396"/>
      <c r="E438" s="757"/>
      <c r="F438" s="759" t="s">
        <v>1698</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66" t="s">
        <v>1667</v>
      </c>
      <c r="AG438" s="2366"/>
      <c r="AH438" s="2366"/>
      <c r="AI438" s="2366"/>
      <c r="AJ438" s="2366"/>
      <c r="AK438" s="2366"/>
      <c r="AL438" s="2445"/>
      <c r="AM438" s="608"/>
      <c r="AN438" s="792"/>
      <c r="AO438" s="588" t="s">
        <v>1699</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1700</v>
      </c>
      <c r="AP439" s="588">
        <v>5</v>
      </c>
    </row>
    <row r="440" spans="1:54" s="588" customFormat="1" ht="12.75" customHeight="1">
      <c r="A440" s="574"/>
      <c r="B440" s="14"/>
      <c r="C440" s="778"/>
      <c r="D440" s="771"/>
      <c r="E440" s="772"/>
      <c r="F440" s="765" t="s">
        <v>1674</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1701</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1702</v>
      </c>
      <c r="AP441" s="588">
        <v>5</v>
      </c>
    </row>
    <row r="442" spans="1:54" s="588" customFormat="1" ht="12.75" customHeight="1">
      <c r="A442" s="574"/>
      <c r="B442" s="14"/>
      <c r="C442" s="2446" t="s">
        <v>618</v>
      </c>
      <c r="D442" s="2447"/>
      <c r="E442" s="753" t="s">
        <v>1703</v>
      </c>
      <c r="F442" s="2443" t="s">
        <v>1704</v>
      </c>
      <c r="G442" s="2443"/>
      <c r="H442" s="2443"/>
      <c r="I442" s="2443"/>
      <c r="J442" s="2443"/>
      <c r="K442" s="2443"/>
      <c r="L442" s="2443"/>
      <c r="M442" s="2443"/>
      <c r="N442" s="2443"/>
      <c r="O442" s="2443"/>
      <c r="P442" s="2443"/>
      <c r="Q442" s="2443"/>
      <c r="R442" s="2443"/>
      <c r="S442" s="2443"/>
      <c r="T442" s="2443"/>
      <c r="U442" s="2443"/>
      <c r="V442" s="2443"/>
      <c r="W442" s="2443"/>
      <c r="X442" s="2443"/>
      <c r="Y442" s="2443"/>
      <c r="Z442" s="2443"/>
      <c r="AA442" s="2443"/>
      <c r="AB442" s="2443"/>
      <c r="AC442" s="2443"/>
      <c r="AD442" s="2443"/>
      <c r="AE442" s="2443"/>
      <c r="AF442" s="2460" t="s">
        <v>1667</v>
      </c>
      <c r="AG442" s="2460"/>
      <c r="AH442" s="2460"/>
      <c r="AI442" s="2460"/>
      <c r="AJ442" s="2460"/>
      <c r="AK442" s="2460"/>
      <c r="AL442" s="2461"/>
      <c r="AM442" s="608"/>
      <c r="AN442" s="792"/>
      <c r="AO442" s="588" t="s">
        <v>1705</v>
      </c>
      <c r="AP442" s="588">
        <v>1</v>
      </c>
    </row>
    <row r="443" spans="1:54" s="588" customFormat="1" ht="12.75" customHeight="1">
      <c r="A443" s="574"/>
      <c r="B443" s="14"/>
      <c r="C443" s="790"/>
      <c r="D443" s="768"/>
      <c r="E443" s="757"/>
      <c r="F443" s="2444"/>
      <c r="G443" s="2444"/>
      <c r="H443" s="2444"/>
      <c r="I443" s="2444"/>
      <c r="J443" s="2444"/>
      <c r="K443" s="2444"/>
      <c r="L443" s="2444"/>
      <c r="M443" s="2444"/>
      <c r="N443" s="2444"/>
      <c r="O443" s="2444"/>
      <c r="P443" s="2444"/>
      <c r="Q443" s="2444"/>
      <c r="R443" s="2444"/>
      <c r="S443" s="2444"/>
      <c r="T443" s="2444"/>
      <c r="U443" s="2444"/>
      <c r="V443" s="2444"/>
      <c r="W443" s="2444"/>
      <c r="X443" s="2444"/>
      <c r="Y443" s="2444"/>
      <c r="Z443" s="2444"/>
      <c r="AA443" s="2444"/>
      <c r="AB443" s="2444"/>
      <c r="AC443" s="2444"/>
      <c r="AD443" s="2444"/>
      <c r="AE443" s="2444"/>
      <c r="AF443" s="629"/>
      <c r="AG443" s="629"/>
      <c r="AH443" s="629"/>
      <c r="AI443" s="629"/>
      <c r="AJ443" s="629"/>
      <c r="AK443" s="629"/>
      <c r="AL443" s="758"/>
      <c r="AM443" s="608"/>
      <c r="AN443" s="793"/>
      <c r="AS443" s="794"/>
      <c r="AW443" s="794" t="s">
        <v>1706</v>
      </c>
      <c r="BA443" s="794" t="s">
        <v>1707</v>
      </c>
    </row>
    <row r="444" spans="1:54" s="588" customFormat="1" ht="17.649999999999999" customHeight="1">
      <c r="A444" s="574"/>
      <c r="B444" s="14"/>
      <c r="C444" s="795"/>
      <c r="D444" s="761"/>
      <c r="E444" s="762"/>
      <c r="F444" s="2459"/>
      <c r="G444" s="2459"/>
      <c r="H444" s="2459"/>
      <c r="I444" s="2459"/>
      <c r="J444" s="2459"/>
      <c r="K444" s="2459"/>
      <c r="L444" s="2459"/>
      <c r="M444" s="2459"/>
      <c r="N444" s="2459"/>
      <c r="O444" s="2459"/>
      <c r="P444" s="2459"/>
      <c r="Q444" s="2459"/>
      <c r="R444" s="2459"/>
      <c r="S444" s="2459"/>
      <c r="T444" s="2459"/>
      <c r="U444" s="2459"/>
      <c r="V444" s="2459"/>
      <c r="W444" s="2459"/>
      <c r="X444" s="2459"/>
      <c r="Y444" s="2459"/>
      <c r="Z444" s="2459"/>
      <c r="AA444" s="2459"/>
      <c r="AB444" s="2459"/>
      <c r="AC444" s="2459"/>
      <c r="AD444" s="2459"/>
      <c r="AE444" s="2459"/>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1708</v>
      </c>
      <c r="AS445" s="675">
        <v>3</v>
      </c>
      <c r="AT445" s="631"/>
      <c r="AW445" s="797">
        <v>0.4</v>
      </c>
      <c r="AX445" s="631">
        <v>3</v>
      </c>
      <c r="BA445" s="797">
        <v>0.4</v>
      </c>
      <c r="BB445" s="631">
        <v>4</v>
      </c>
    </row>
    <row r="446" spans="1:54" s="588" customFormat="1" ht="12.75" customHeight="1">
      <c r="A446" s="574"/>
      <c r="B446" s="14"/>
      <c r="C446" s="2440" t="s">
        <v>618</v>
      </c>
      <c r="D446" s="2396"/>
      <c r="E446" s="753" t="s">
        <v>1709</v>
      </c>
      <c r="F446" s="2443" t="s">
        <v>1710</v>
      </c>
      <c r="G446" s="2443"/>
      <c r="H446" s="2443"/>
      <c r="I446" s="2443"/>
      <c r="J446" s="2443"/>
      <c r="K446" s="2443"/>
      <c r="L446" s="2443"/>
      <c r="M446" s="2443"/>
      <c r="N446" s="2443"/>
      <c r="O446" s="2443"/>
      <c r="P446" s="2443"/>
      <c r="Q446" s="2443"/>
      <c r="R446" s="2443"/>
      <c r="S446" s="2443"/>
      <c r="T446" s="2443"/>
      <c r="U446" s="2443"/>
      <c r="V446" s="2443"/>
      <c r="W446" s="2443"/>
      <c r="X446" s="2443"/>
      <c r="Y446" s="2443"/>
      <c r="Z446" s="2443"/>
      <c r="AA446" s="2443"/>
      <c r="AB446" s="2443"/>
      <c r="AC446" s="2443"/>
      <c r="AD446" s="2443"/>
      <c r="AE446" s="2443"/>
      <c r="AF446" s="2460" t="s">
        <v>1667</v>
      </c>
      <c r="AG446" s="2460"/>
      <c r="AH446" s="2460"/>
      <c r="AI446" s="2460"/>
      <c r="AJ446" s="2460"/>
      <c r="AK446" s="2460"/>
      <c r="AL446" s="2461"/>
      <c r="AM446" s="608"/>
      <c r="AN446" s="573"/>
      <c r="AO446" s="797">
        <v>0.12</v>
      </c>
      <c r="AP446" s="675">
        <v>5</v>
      </c>
      <c r="AR446" s="588" t="s">
        <v>1711</v>
      </c>
      <c r="AS446" s="675">
        <v>5</v>
      </c>
      <c r="AT446" s="631"/>
      <c r="AW446" s="797">
        <v>0.6</v>
      </c>
      <c r="AX446" s="631">
        <v>4</v>
      </c>
      <c r="BA446" s="797">
        <v>0.6</v>
      </c>
      <c r="BB446" s="631">
        <v>5</v>
      </c>
    </row>
    <row r="447" spans="1:54" s="588" customFormat="1" ht="12.75" customHeight="1">
      <c r="A447" s="574"/>
      <c r="B447" s="14"/>
      <c r="C447" s="769"/>
      <c r="D447" s="14"/>
      <c r="E447" s="729"/>
      <c r="F447" s="2444"/>
      <c r="G447" s="2444"/>
      <c r="H447" s="2444"/>
      <c r="I447" s="2444"/>
      <c r="J447" s="2444"/>
      <c r="K447" s="2444"/>
      <c r="L447" s="2444"/>
      <c r="M447" s="2444"/>
      <c r="N447" s="2444"/>
      <c r="O447" s="2444"/>
      <c r="P447" s="2444"/>
      <c r="Q447" s="2444"/>
      <c r="R447" s="2444"/>
      <c r="S447" s="2444"/>
      <c r="T447" s="2444"/>
      <c r="U447" s="2444"/>
      <c r="V447" s="2444"/>
      <c r="W447" s="2444"/>
      <c r="X447" s="2444"/>
      <c r="Y447" s="2444"/>
      <c r="Z447" s="2444"/>
      <c r="AA447" s="2444"/>
      <c r="AB447" s="2444"/>
      <c r="AC447" s="2444"/>
      <c r="AD447" s="2444"/>
      <c r="AE447" s="2444"/>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44"/>
      <c r="G448" s="2444"/>
      <c r="H448" s="2444"/>
      <c r="I448" s="2444"/>
      <c r="J448" s="2444"/>
      <c r="K448" s="2444"/>
      <c r="L448" s="2444"/>
      <c r="M448" s="2444"/>
      <c r="N448" s="2444"/>
      <c r="O448" s="2444"/>
      <c r="P448" s="2444"/>
      <c r="Q448" s="2444"/>
      <c r="R448" s="2444"/>
      <c r="S448" s="2444"/>
      <c r="T448" s="2444"/>
      <c r="U448" s="2444"/>
      <c r="V448" s="2444"/>
      <c r="W448" s="2444"/>
      <c r="X448" s="2444"/>
      <c r="Y448" s="2444"/>
      <c r="Z448" s="2444"/>
      <c r="AA448" s="2444"/>
      <c r="AB448" s="2444"/>
      <c r="AC448" s="2444"/>
      <c r="AD448" s="2444"/>
      <c r="AE448" s="2444"/>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59"/>
      <c r="G449" s="2459"/>
      <c r="H449" s="2459"/>
      <c r="I449" s="2459"/>
      <c r="J449" s="2459"/>
      <c r="K449" s="2459"/>
      <c r="L449" s="2459"/>
      <c r="M449" s="2459"/>
      <c r="N449" s="2459"/>
      <c r="O449" s="2459"/>
      <c r="P449" s="2459"/>
      <c r="Q449" s="2459"/>
      <c r="R449" s="2459"/>
      <c r="S449" s="2459"/>
      <c r="T449" s="2459"/>
      <c r="U449" s="2459"/>
      <c r="V449" s="2459"/>
      <c r="W449" s="2459"/>
      <c r="X449" s="2459"/>
      <c r="Y449" s="2459"/>
      <c r="Z449" s="2459"/>
      <c r="AA449" s="2459"/>
      <c r="AB449" s="2459"/>
      <c r="AC449" s="2459"/>
      <c r="AD449" s="2459"/>
      <c r="AE449" s="2459"/>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1712</v>
      </c>
      <c r="F451" s="2443" t="s">
        <v>1713</v>
      </c>
      <c r="G451" s="2443"/>
      <c r="H451" s="2443"/>
      <c r="I451" s="2443"/>
      <c r="J451" s="2443"/>
      <c r="K451" s="2443"/>
      <c r="L451" s="2443"/>
      <c r="M451" s="2443"/>
      <c r="N451" s="2443"/>
      <c r="O451" s="2443"/>
      <c r="P451" s="2443"/>
      <c r="Q451" s="2443"/>
      <c r="R451" s="2443"/>
      <c r="S451" s="2443"/>
      <c r="T451" s="2443"/>
      <c r="U451" s="2443"/>
      <c r="V451" s="2443"/>
      <c r="W451" s="2443"/>
      <c r="X451" s="2443"/>
      <c r="Y451" s="2443"/>
      <c r="Z451" s="2443"/>
      <c r="AA451" s="2443"/>
      <c r="AB451" s="2443"/>
      <c r="AC451" s="2443"/>
      <c r="AD451" s="2443"/>
      <c r="AE451" s="2443"/>
      <c r="AF451" s="2443"/>
      <c r="AG451" s="782"/>
      <c r="AH451" s="752"/>
      <c r="AI451" s="752"/>
      <c r="AJ451" s="752"/>
      <c r="AK451" s="752"/>
      <c r="AL451" s="783"/>
      <c r="AM451" s="608"/>
      <c r="AN451" s="635"/>
    </row>
    <row r="452" spans="1:49" s="588" customFormat="1" ht="12.75" customHeight="1">
      <c r="A452" s="574"/>
      <c r="B452" s="14"/>
      <c r="C452" s="769"/>
      <c r="D452" s="14"/>
      <c r="E452" s="729"/>
      <c r="F452" s="2444"/>
      <c r="G452" s="2444"/>
      <c r="H452" s="2444"/>
      <c r="I452" s="2444"/>
      <c r="J452" s="2444"/>
      <c r="K452" s="2444"/>
      <c r="L452" s="2444"/>
      <c r="M452" s="2444"/>
      <c r="N452" s="2444"/>
      <c r="O452" s="2444"/>
      <c r="P452" s="2444"/>
      <c r="Q452" s="2444"/>
      <c r="R452" s="2444"/>
      <c r="S452" s="2444"/>
      <c r="T452" s="2444"/>
      <c r="U452" s="2444"/>
      <c r="V452" s="2444"/>
      <c r="W452" s="2444"/>
      <c r="X452" s="2444"/>
      <c r="Y452" s="2444"/>
      <c r="Z452" s="2444"/>
      <c r="AA452" s="2444"/>
      <c r="AB452" s="2444"/>
      <c r="AC452" s="2444"/>
      <c r="AD452" s="2444"/>
      <c r="AE452" s="2444"/>
      <c r="AF452" s="2444"/>
      <c r="AL452" s="770"/>
      <c r="AM452" s="608"/>
      <c r="AN452" s="635"/>
    </row>
    <row r="453" spans="1:49" s="588" customFormat="1" ht="12.75" customHeight="1">
      <c r="A453" s="574"/>
      <c r="B453" s="14"/>
      <c r="C453" s="777"/>
      <c r="F453" s="2444"/>
      <c r="G453" s="2444"/>
      <c r="H453" s="2444"/>
      <c r="I453" s="2444"/>
      <c r="J453" s="2444"/>
      <c r="K453" s="2444"/>
      <c r="L453" s="2444"/>
      <c r="M453" s="2444"/>
      <c r="N453" s="2444"/>
      <c r="O453" s="2444"/>
      <c r="P453" s="2444"/>
      <c r="Q453" s="2444"/>
      <c r="R453" s="2444"/>
      <c r="S453" s="2444"/>
      <c r="T453" s="2444"/>
      <c r="U453" s="2444"/>
      <c r="V453" s="2444"/>
      <c r="W453" s="2444"/>
      <c r="X453" s="2444"/>
      <c r="Y453" s="2444"/>
      <c r="Z453" s="2444"/>
      <c r="AA453" s="2444"/>
      <c r="AB453" s="2444"/>
      <c r="AC453" s="2444"/>
      <c r="AD453" s="2444"/>
      <c r="AE453" s="2444"/>
      <c r="AF453" s="2444"/>
      <c r="AL453" s="770"/>
      <c r="AM453" s="608"/>
      <c r="AN453" s="635"/>
    </row>
    <row r="454" spans="1:49" s="588" customFormat="1" ht="12.75" customHeight="1">
      <c r="A454" s="574"/>
      <c r="B454" s="14"/>
      <c r="C454" s="777"/>
      <c r="F454" s="2444"/>
      <c r="G454" s="2444"/>
      <c r="H454" s="2444"/>
      <c r="I454" s="2444"/>
      <c r="J454" s="2444"/>
      <c r="K454" s="2444"/>
      <c r="L454" s="2444"/>
      <c r="M454" s="2444"/>
      <c r="N454" s="2444"/>
      <c r="O454" s="2444"/>
      <c r="P454" s="2444"/>
      <c r="Q454" s="2444"/>
      <c r="R454" s="2444"/>
      <c r="S454" s="2444"/>
      <c r="T454" s="2444"/>
      <c r="U454" s="2444"/>
      <c r="V454" s="2444"/>
      <c r="W454" s="2444"/>
      <c r="X454" s="2444"/>
      <c r="Y454" s="2444"/>
      <c r="Z454" s="2444"/>
      <c r="AA454" s="2444"/>
      <c r="AB454" s="2444"/>
      <c r="AC454" s="2444"/>
      <c r="AD454" s="2444"/>
      <c r="AE454" s="2444"/>
      <c r="AF454" s="2444"/>
      <c r="AL454" s="770"/>
      <c r="AM454" s="608"/>
      <c r="AN454" s="635"/>
    </row>
    <row r="455" spans="1:49" s="588" customFormat="1" ht="12.75" customHeight="1">
      <c r="A455" s="574"/>
      <c r="B455" s="14"/>
      <c r="C455" s="2440" t="s">
        <v>618</v>
      </c>
      <c r="D455" s="2396"/>
      <c r="E455" s="757"/>
      <c r="F455" s="759" t="s">
        <v>1684</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41" t="s">
        <v>1667</v>
      </c>
      <c r="AG455" s="2441"/>
      <c r="AH455" s="2441"/>
      <c r="AI455" s="2441"/>
      <c r="AJ455" s="2441"/>
      <c r="AK455" s="2441"/>
      <c r="AL455" s="2442"/>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1714</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1715</v>
      </c>
      <c r="AK458" s="2399">
        <f>IF(Application!D213="N/A",AS347,AS349)</f>
        <v>10</v>
      </c>
      <c r="AL458" s="2400"/>
      <c r="AM458" s="2401"/>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1716</v>
      </c>
      <c r="C461" s="577"/>
      <c r="E461" s="634"/>
      <c r="AE461" s="2441" t="s">
        <v>1717</v>
      </c>
      <c r="AF461" s="2441"/>
      <c r="AG461" s="2441"/>
      <c r="AH461" s="2441"/>
      <c r="AI461" s="2441"/>
      <c r="AJ461" s="2441"/>
      <c r="AK461" s="2441"/>
      <c r="AL461" s="629"/>
      <c r="AN461" s="635"/>
      <c r="AO461" s="588" t="s">
        <v>1695</v>
      </c>
      <c r="AP461" s="588">
        <v>5</v>
      </c>
    </row>
    <row r="462" spans="1:49" s="588" customFormat="1" ht="12.75" hidden="1" customHeight="1">
      <c r="A462" s="577"/>
      <c r="B462" s="574" t="s">
        <v>1718</v>
      </c>
      <c r="C462" s="577"/>
      <c r="E462" s="634"/>
      <c r="AE462" s="629"/>
      <c r="AF462" s="629"/>
      <c r="AG462" s="629"/>
      <c r="AH462" s="629"/>
      <c r="AI462" s="629"/>
      <c r="AJ462" s="629"/>
      <c r="AK462" s="629"/>
      <c r="AL462" s="629"/>
      <c r="AN462" s="635"/>
      <c r="AO462" s="588" t="s">
        <v>1719</v>
      </c>
      <c r="AP462" s="588">
        <v>5</v>
      </c>
    </row>
    <row r="463" spans="1:49" s="588" customFormat="1" ht="12.75" hidden="1" customHeight="1">
      <c r="A463" s="577"/>
      <c r="B463" s="577" t="s">
        <v>1720</v>
      </c>
      <c r="C463" s="577"/>
      <c r="E463" s="634"/>
      <c r="AE463" s="629"/>
      <c r="AF463" s="629"/>
      <c r="AG463" s="629"/>
      <c r="AH463" s="629"/>
      <c r="AI463" s="629"/>
      <c r="AJ463" s="629"/>
      <c r="AK463" s="629"/>
      <c r="AL463" s="629"/>
      <c r="AN463" s="635"/>
      <c r="AO463" s="588" t="s">
        <v>1697</v>
      </c>
      <c r="AP463" s="588">
        <v>5</v>
      </c>
      <c r="AQ463" s="577"/>
      <c r="AR463" s="577"/>
      <c r="AS463" s="794"/>
      <c r="AW463" s="794"/>
    </row>
    <row r="464" spans="1:49" s="588" customFormat="1" ht="12.75" hidden="1" customHeight="1">
      <c r="A464" s="577"/>
      <c r="B464" s="577" t="s">
        <v>1721</v>
      </c>
      <c r="C464" s="577"/>
      <c r="E464" s="634"/>
      <c r="AE464" s="629"/>
      <c r="AF464" s="629"/>
      <c r="AG464" s="629"/>
      <c r="AH464" s="629"/>
      <c r="AI464" s="629"/>
      <c r="AJ464" s="629"/>
      <c r="AK464" s="629"/>
      <c r="AL464" s="629"/>
      <c r="AN464" s="635"/>
      <c r="AO464" s="588" t="s">
        <v>1699</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1700</v>
      </c>
      <c r="AP465" s="588">
        <v>5</v>
      </c>
      <c r="AQ465" s="577"/>
      <c r="AR465" s="577"/>
      <c r="AW465" s="717"/>
    </row>
    <row r="466" spans="1:50" s="588" customFormat="1" ht="12.75" hidden="1" customHeight="1">
      <c r="A466" s="577"/>
      <c r="C466" s="750" t="s">
        <v>1722</v>
      </c>
      <c r="D466" s="608"/>
      <c r="AE466" s="629"/>
      <c r="AF466" s="629"/>
      <c r="AG466" s="634"/>
      <c r="AH466" s="634"/>
      <c r="AI466" s="634"/>
      <c r="AJ466" s="634"/>
      <c r="AK466" s="634"/>
      <c r="AL466" s="634"/>
      <c r="AN466" s="635"/>
      <c r="AO466" s="588" t="s">
        <v>1701</v>
      </c>
      <c r="AP466" s="588">
        <v>5</v>
      </c>
      <c r="AW466" s="717"/>
    </row>
    <row r="467" spans="1:50" s="588" customFormat="1" ht="12.75" hidden="1" customHeight="1">
      <c r="A467" s="577"/>
      <c r="C467" s="2462" t="s">
        <v>618</v>
      </c>
      <c r="D467" s="2463"/>
      <c r="E467" s="800" t="s">
        <v>533</v>
      </c>
      <c r="F467" s="2464" t="s">
        <v>1723</v>
      </c>
      <c r="G467" s="2464"/>
      <c r="H467" s="2464"/>
      <c r="I467" s="2464"/>
      <c r="J467" s="2464"/>
      <c r="K467" s="2464"/>
      <c r="L467" s="2464"/>
      <c r="M467" s="2464"/>
      <c r="N467" s="2464"/>
      <c r="O467" s="2464"/>
      <c r="P467" s="2464"/>
      <c r="Q467" s="2464"/>
      <c r="R467" s="2464"/>
      <c r="S467" s="2464"/>
      <c r="T467" s="2464"/>
      <c r="U467" s="2464"/>
      <c r="V467" s="2464"/>
      <c r="W467" s="2464"/>
      <c r="X467" s="2464"/>
      <c r="Y467" s="2464"/>
      <c r="Z467" s="2464"/>
      <c r="AA467" s="2464"/>
      <c r="AB467" s="2464"/>
      <c r="AC467" s="2464"/>
      <c r="AD467" s="2464"/>
      <c r="AE467" s="2464"/>
      <c r="AF467" s="752"/>
      <c r="AG467" s="752"/>
      <c r="AH467" s="752"/>
      <c r="AI467" s="752"/>
      <c r="AJ467" s="752"/>
      <c r="AK467" s="783"/>
      <c r="AN467" s="635"/>
      <c r="AO467" s="588" t="s">
        <v>1724</v>
      </c>
      <c r="AP467" s="588">
        <v>5</v>
      </c>
      <c r="AS467" s="797"/>
      <c r="AT467" s="631"/>
      <c r="AW467" s="717"/>
      <c r="AX467" s="675"/>
    </row>
    <row r="468" spans="1:50" s="588" customFormat="1" ht="12.75" hidden="1" customHeight="1">
      <c r="C468" s="801"/>
      <c r="E468" s="802"/>
      <c r="F468" s="2465"/>
      <c r="G468" s="2465"/>
      <c r="H468" s="2465"/>
      <c r="I468" s="2465"/>
      <c r="J468" s="2465"/>
      <c r="K468" s="2465"/>
      <c r="L468" s="2465"/>
      <c r="M468" s="2465"/>
      <c r="N468" s="2465"/>
      <c r="O468" s="2465"/>
      <c r="P468" s="2465"/>
      <c r="Q468" s="2465"/>
      <c r="R468" s="2465"/>
      <c r="S468" s="2465"/>
      <c r="T468" s="2465"/>
      <c r="U468" s="2465"/>
      <c r="V468" s="2465"/>
      <c r="W468" s="2465"/>
      <c r="X468" s="2465"/>
      <c r="Y468" s="2465"/>
      <c r="Z468" s="2465"/>
      <c r="AA468" s="2465"/>
      <c r="AB468" s="2465"/>
      <c r="AC468" s="2465"/>
      <c r="AD468" s="2465"/>
      <c r="AE468" s="2465"/>
      <c r="AG468" s="589"/>
      <c r="AH468" s="589"/>
      <c r="AI468" s="589"/>
      <c r="AJ468" s="589"/>
      <c r="AK468" s="770"/>
      <c r="AN468" s="635"/>
      <c r="AO468" s="588" t="s">
        <v>1705</v>
      </c>
      <c r="AP468" s="588">
        <v>1</v>
      </c>
    </row>
    <row r="469" spans="1:50" s="588" customFormat="1" ht="12.75" hidden="1" customHeight="1">
      <c r="C469" s="803"/>
      <c r="D469" s="765"/>
      <c r="E469" s="804"/>
      <c r="F469" s="2466" t="s">
        <v>618</v>
      </c>
      <c r="G469" s="2466"/>
      <c r="H469" s="2466"/>
      <c r="I469" s="2466"/>
      <c r="J469" s="2466"/>
      <c r="K469" s="2466"/>
      <c r="L469" s="2466"/>
      <c r="M469" s="2466"/>
      <c r="N469" s="2466"/>
      <c r="O469" s="2466"/>
      <c r="P469" s="2466"/>
      <c r="Q469" s="2466"/>
      <c r="R469" s="2466"/>
      <c r="S469" s="2466"/>
      <c r="T469" s="2466"/>
      <c r="U469" s="2466"/>
      <c r="V469" s="2466"/>
      <c r="W469" s="2466"/>
      <c r="X469" s="2466"/>
      <c r="Y469" s="2466"/>
      <c r="Z469" s="2466"/>
      <c r="AA469" s="805"/>
      <c r="AB469" s="696"/>
      <c r="AC469" s="696"/>
      <c r="AD469" s="765"/>
      <c r="AE469" s="765"/>
      <c r="AF469" s="765"/>
      <c r="AG469" s="806">
        <f>IF($C$467="Yes",(VLOOKUP($F$469,$AO$434:$AP$442,2,FALSE)),0)</f>
        <v>0</v>
      </c>
      <c r="AH469" s="807" t="s">
        <v>1525</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67" t="s">
        <v>571</v>
      </c>
      <c r="D471" s="2468"/>
      <c r="E471" s="800" t="s">
        <v>788</v>
      </c>
      <c r="F471" s="808" t="s">
        <v>1725</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1726</v>
      </c>
      <c r="F472" s="810" t="s">
        <v>1727</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1728</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1729</v>
      </c>
      <c r="G474" s="588"/>
      <c r="H474" s="588"/>
      <c r="I474" s="810"/>
      <c r="J474" s="810"/>
      <c r="K474" s="810"/>
      <c r="L474" s="810"/>
      <c r="M474" s="810"/>
      <c r="N474" s="810"/>
      <c r="O474" s="810"/>
      <c r="P474" s="810"/>
      <c r="Q474" s="810"/>
      <c r="R474" s="810"/>
      <c r="S474" s="810"/>
      <c r="T474" s="810"/>
      <c r="U474" s="810"/>
      <c r="V474" s="2474" t="s">
        <v>618</v>
      </c>
      <c r="W474" s="2474"/>
      <c r="X474" s="2474"/>
      <c r="Y474" s="810"/>
      <c r="Z474" s="810"/>
      <c r="AA474" s="810"/>
      <c r="AB474" s="810"/>
      <c r="AC474" s="810"/>
      <c r="AD474" s="647"/>
      <c r="AE474" s="647"/>
      <c r="AF474" s="647"/>
      <c r="AG474" s="651">
        <f>IF(AND($C$471="Yes",$V$476="N/A",$V$481="N/A",$V$485="N/A",$V$487="N/A"),(VLOOKUP(V474,$AR$444:$AS$446,2,FALSE)),0)</f>
        <v>0</v>
      </c>
      <c r="AH474" s="678" t="s">
        <v>1525</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1730</v>
      </c>
      <c r="G476" s="588"/>
      <c r="H476" s="588"/>
      <c r="I476" s="810"/>
      <c r="J476" s="810"/>
      <c r="K476" s="810"/>
      <c r="L476" s="810"/>
      <c r="M476" s="810"/>
      <c r="N476" s="810"/>
      <c r="O476" s="810"/>
      <c r="P476" s="810"/>
      <c r="Q476" s="810"/>
      <c r="R476" s="810"/>
      <c r="S476" s="810"/>
      <c r="T476" s="810"/>
      <c r="U476" s="810"/>
      <c r="V476" s="2474" t="s">
        <v>618</v>
      </c>
      <c r="W476" s="2474"/>
      <c r="X476" s="2474"/>
      <c r="Y476" s="810"/>
      <c r="Z476" s="810"/>
      <c r="AA476" s="810"/>
      <c r="AB476" s="810"/>
      <c r="AC476" s="810"/>
      <c r="AD476" s="647"/>
      <c r="AE476" s="647"/>
      <c r="AF476" s="647"/>
      <c r="AG476" s="651">
        <f>IF(AND($C$471="Yes",$V$474="N/A", $V$481="N/A",$V$485="N/A",$V$487="N/A"),(VLOOKUP(V476,$AO$444:$AP$446,2,FALSE)),0)</f>
        <v>0</v>
      </c>
      <c r="AH476" s="678" t="s">
        <v>1525</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1731</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1732</v>
      </c>
      <c r="AP478" s="675">
        <v>2</v>
      </c>
    </row>
    <row r="479" spans="1:50" s="588" customFormat="1" ht="12.75" hidden="1" customHeight="1">
      <c r="C479" s="801"/>
      <c r="F479" s="647" t="s">
        <v>1733</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1734</v>
      </c>
      <c r="AP479" s="588">
        <v>2</v>
      </c>
    </row>
    <row r="480" spans="1:50" s="634" customFormat="1" ht="12.75" hidden="1" customHeight="1">
      <c r="A480" s="588"/>
      <c r="B480" s="588"/>
      <c r="C480" s="777"/>
      <c r="D480" s="608"/>
      <c r="E480" s="608"/>
      <c r="F480" s="647" t="s">
        <v>1735</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1736</v>
      </c>
      <c r="AP480" s="588">
        <v>2</v>
      </c>
    </row>
    <row r="481" spans="1:81" s="588" customFormat="1" ht="12.75" hidden="1" customHeight="1">
      <c r="C481" s="816"/>
      <c r="F481" s="814" t="s">
        <v>1737</v>
      </c>
      <c r="M481" s="802"/>
      <c r="N481" s="802"/>
      <c r="O481" s="802"/>
      <c r="P481" s="802"/>
      <c r="Q481" s="589"/>
      <c r="R481" s="589"/>
      <c r="S481" s="589"/>
      <c r="T481" s="589"/>
      <c r="U481" s="589"/>
      <c r="V481" s="2474" t="s">
        <v>618</v>
      </c>
      <c r="W481" s="2474"/>
      <c r="X481" s="2474"/>
      <c r="Y481" s="589"/>
      <c r="Z481" s="589"/>
      <c r="AA481" s="589"/>
      <c r="AB481" s="589"/>
      <c r="AC481" s="589"/>
      <c r="AG481" s="651">
        <f>IF(AND($C$471="Yes",$V$474="N/A",$V$476="N/A", $V$485="N/A",$V$487="N/A"),(VLOOKUP($V$481,$AO$448:$AP$450,2,FALSE)),0)</f>
        <v>0</v>
      </c>
      <c r="AH481" s="678" t="s">
        <v>1525</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1738</v>
      </c>
      <c r="D483" s="752"/>
      <c r="E483" s="752"/>
      <c r="F483" s="819" t="s">
        <v>1739</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73"/>
      <c r="E484" s="2473"/>
      <c r="F484" s="810" t="s">
        <v>1740</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1741</v>
      </c>
      <c r="AP484" s="675">
        <v>5</v>
      </c>
      <c r="AQ484" s="577"/>
    </row>
    <row r="485" spans="1:81" s="608" customFormat="1" ht="12.75" hidden="1" customHeight="1">
      <c r="A485" s="717"/>
      <c r="B485" s="588"/>
      <c r="C485" s="801"/>
      <c r="D485" s="588"/>
      <c r="E485" s="588"/>
      <c r="F485" s="821" t="s">
        <v>1729</v>
      </c>
      <c r="G485" s="588"/>
      <c r="H485" s="588"/>
      <c r="I485" s="588"/>
      <c r="J485" s="588"/>
      <c r="K485" s="588"/>
      <c r="L485" s="588"/>
      <c r="M485" s="588"/>
      <c r="N485" s="588"/>
      <c r="O485" s="588"/>
      <c r="P485" s="588"/>
      <c r="Q485" s="588"/>
      <c r="R485" s="588"/>
      <c r="S485" s="588"/>
      <c r="T485" s="588"/>
      <c r="U485" s="588"/>
      <c r="V485" s="2474" t="s">
        <v>618</v>
      </c>
      <c r="W485" s="2474"/>
      <c r="X485" s="2474"/>
      <c r="Y485" s="588"/>
      <c r="Z485" s="588"/>
      <c r="AA485" s="588"/>
      <c r="AB485" s="588"/>
      <c r="AC485" s="588"/>
      <c r="AD485" s="588"/>
      <c r="AE485" s="588"/>
      <c r="AF485" s="588"/>
      <c r="AG485" s="651">
        <f>IF(AND($C$471="Yes",$V$474="N/A",V476="N/A",$V$481="N/A",$V$487="N/A"),(VLOOKUP($V$485,$AW$444:$AX$447,2,FALSE)),0)</f>
        <v>0</v>
      </c>
      <c r="AH485" s="678" t="s">
        <v>1525</v>
      </c>
      <c r="AI485" s="589"/>
      <c r="AJ485" s="588"/>
      <c r="AK485" s="770"/>
      <c r="AL485" s="588"/>
      <c r="AM485" s="588"/>
      <c r="AN485" s="722"/>
      <c r="AO485" s="588" t="s">
        <v>1742</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1743</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1730</v>
      </c>
      <c r="G487" s="805"/>
      <c r="H487" s="805"/>
      <c r="I487" s="765"/>
      <c r="J487" s="765"/>
      <c r="K487" s="765"/>
      <c r="L487" s="765"/>
      <c r="M487" s="765"/>
      <c r="N487" s="765"/>
      <c r="O487" s="765"/>
      <c r="P487" s="765"/>
      <c r="Q487" s="765"/>
      <c r="R487" s="765"/>
      <c r="S487" s="765"/>
      <c r="T487" s="765"/>
      <c r="U487" s="765"/>
      <c r="V487" s="2474" t="s">
        <v>618</v>
      </c>
      <c r="W487" s="2474"/>
      <c r="X487" s="2474"/>
      <c r="Y487" s="765"/>
      <c r="Z487" s="765"/>
      <c r="AA487" s="765"/>
      <c r="AB487" s="765"/>
      <c r="AC487" s="765"/>
      <c r="AD487" s="765"/>
      <c r="AE487" s="765"/>
      <c r="AF487" s="765"/>
      <c r="AG487" s="822">
        <f>IF(AND($C$471="Yes",$V$474="N/A",$V$476="N/A",$V$481="N/A",$V$485="N/A"),(VLOOKUP($V$487,$BA$444:$BB$446,2,FALSE)),0)</f>
        <v>0</v>
      </c>
      <c r="AH487" s="807" t="s">
        <v>1525</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1744</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62" t="s">
        <v>618</v>
      </c>
      <c r="D490" s="2463"/>
      <c r="E490" s="800" t="s">
        <v>533</v>
      </c>
      <c r="F490" s="2464" t="s">
        <v>1723</v>
      </c>
      <c r="G490" s="2464"/>
      <c r="H490" s="2464"/>
      <c r="I490" s="2464"/>
      <c r="J490" s="2464"/>
      <c r="K490" s="2464"/>
      <c r="L490" s="2464"/>
      <c r="M490" s="2464"/>
      <c r="N490" s="2464"/>
      <c r="O490" s="2464"/>
      <c r="P490" s="2464"/>
      <c r="Q490" s="2464"/>
      <c r="R490" s="2464"/>
      <c r="S490" s="2464"/>
      <c r="T490" s="2464"/>
      <c r="U490" s="2464"/>
      <c r="V490" s="2464"/>
      <c r="W490" s="2464"/>
      <c r="X490" s="2464"/>
      <c r="Y490" s="2464"/>
      <c r="Z490" s="2464"/>
      <c r="AA490" s="2464"/>
      <c r="AB490" s="2464"/>
      <c r="AC490" s="2464"/>
      <c r="AD490" s="2464"/>
      <c r="AE490" s="2464"/>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65"/>
      <c r="G491" s="2465"/>
      <c r="H491" s="2465"/>
      <c r="I491" s="2465"/>
      <c r="J491" s="2465"/>
      <c r="K491" s="2465"/>
      <c r="L491" s="2465"/>
      <c r="M491" s="2465"/>
      <c r="N491" s="2465"/>
      <c r="O491" s="2465"/>
      <c r="P491" s="2465"/>
      <c r="Q491" s="2465"/>
      <c r="R491" s="2465"/>
      <c r="S491" s="2465"/>
      <c r="T491" s="2465"/>
      <c r="U491" s="2465"/>
      <c r="V491" s="2465"/>
      <c r="W491" s="2465"/>
      <c r="X491" s="2465"/>
      <c r="Y491" s="2465"/>
      <c r="Z491" s="2465"/>
      <c r="AA491" s="2465"/>
      <c r="AB491" s="2465"/>
      <c r="AC491" s="2465"/>
      <c r="AD491" s="2465"/>
      <c r="AE491" s="2465"/>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69" t="s">
        <v>618</v>
      </c>
      <c r="G492" s="2469"/>
      <c r="H492" s="2469"/>
      <c r="I492" s="2469"/>
      <c r="J492" s="2469"/>
      <c r="K492" s="2469"/>
      <c r="L492" s="2469"/>
      <c r="M492" s="2469"/>
      <c r="N492" s="2469"/>
      <c r="O492" s="2469"/>
      <c r="P492" s="2469"/>
      <c r="Q492" s="2469"/>
      <c r="R492" s="2469"/>
      <c r="S492" s="2469"/>
      <c r="T492" s="2469"/>
      <c r="U492" s="2469"/>
      <c r="V492" s="2469"/>
      <c r="W492" s="2469"/>
      <c r="X492" s="2469"/>
      <c r="Y492" s="2469"/>
      <c r="Z492" s="2469"/>
      <c r="AA492" s="805"/>
      <c r="AB492" s="696"/>
      <c r="AC492" s="696"/>
      <c r="AD492" s="765"/>
      <c r="AE492" s="765"/>
      <c r="AF492" s="765"/>
      <c r="AG492" s="806">
        <f>IF($C$490="Yes",(VLOOKUP($F$492,$AO$460:$AP$468,2,FALSE)),0)</f>
        <v>0</v>
      </c>
      <c r="AH492" s="807" t="s">
        <v>1525</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62" t="s">
        <v>618</v>
      </c>
      <c r="D494" s="2463"/>
      <c r="E494" s="800" t="s">
        <v>788</v>
      </c>
      <c r="F494" s="2470" t="s">
        <v>1745</v>
      </c>
      <c r="G494" s="2470"/>
      <c r="H494" s="2470"/>
      <c r="I494" s="2470"/>
      <c r="J494" s="2470"/>
      <c r="K494" s="2470"/>
      <c r="L494" s="2470"/>
      <c r="M494" s="2470"/>
      <c r="N494" s="2470"/>
      <c r="O494" s="2470"/>
      <c r="P494" s="2470"/>
      <c r="Q494" s="2470"/>
      <c r="R494" s="2470"/>
      <c r="S494" s="2470"/>
      <c r="T494" s="2470"/>
      <c r="U494" s="2470"/>
      <c r="V494" s="2470"/>
      <c r="W494" s="2470"/>
      <c r="X494" s="2470"/>
      <c r="Y494" s="2470"/>
      <c r="Z494" s="2470"/>
      <c r="AA494" s="2470"/>
      <c r="AB494" s="2470"/>
      <c r="AC494" s="2470"/>
      <c r="AD494" s="2470"/>
      <c r="AE494" s="2470"/>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71"/>
      <c r="G495" s="2471"/>
      <c r="H495" s="2471"/>
      <c r="I495" s="2471"/>
      <c r="J495" s="2471"/>
      <c r="K495" s="2471"/>
      <c r="L495" s="2471"/>
      <c r="M495" s="2471"/>
      <c r="N495" s="2471"/>
      <c r="O495" s="2471"/>
      <c r="P495" s="2471"/>
      <c r="Q495" s="2471"/>
      <c r="R495" s="2471"/>
      <c r="S495" s="2471"/>
      <c r="T495" s="2471"/>
      <c r="U495" s="2471"/>
      <c r="V495" s="2471"/>
      <c r="W495" s="2471"/>
      <c r="X495" s="2471"/>
      <c r="Y495" s="2471"/>
      <c r="Z495" s="2471"/>
      <c r="AA495" s="2471"/>
      <c r="AB495" s="2471"/>
      <c r="AC495" s="2471"/>
      <c r="AD495" s="2471"/>
      <c r="AE495" s="2471"/>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1746</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72" t="s">
        <v>618</v>
      </c>
      <c r="G497" s="2472"/>
      <c r="H497" s="2472"/>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1525</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62" t="s">
        <v>618</v>
      </c>
      <c r="D499" s="2463"/>
      <c r="E499" s="800" t="s">
        <v>1747</v>
      </c>
      <c r="F499" s="819" t="s">
        <v>1748</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85"/>
      <c r="D501" s="2473"/>
      <c r="E501" s="811"/>
      <c r="F501" s="589" t="s">
        <v>1749</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1525</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86" t="s">
        <v>618</v>
      </c>
      <c r="H502" s="2486"/>
      <c r="I502" s="2486"/>
      <c r="J502" s="2486"/>
      <c r="K502" s="2486"/>
      <c r="L502" s="2486"/>
      <c r="M502" s="2486"/>
      <c r="N502" s="2486"/>
      <c r="O502" s="2486"/>
      <c r="P502" s="2486"/>
      <c r="Q502" s="2486"/>
      <c r="R502" s="2486"/>
      <c r="S502" s="2486"/>
      <c r="T502" s="2486"/>
      <c r="U502" s="2486"/>
      <c r="V502" s="2486"/>
      <c r="W502" s="2486"/>
      <c r="X502" s="2486"/>
      <c r="Y502" s="2486"/>
      <c r="Z502" s="2486"/>
      <c r="AA502" s="2486"/>
      <c r="AB502" s="2486"/>
      <c r="AC502" s="2486"/>
      <c r="AD502" s="2486"/>
      <c r="AE502" s="2486"/>
      <c r="AF502" s="2486"/>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87" t="s">
        <v>618</v>
      </c>
      <c r="D504" s="2488"/>
      <c r="F504" s="589" t="s">
        <v>1750</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1525</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1751</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1752</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87" t="s">
        <v>618</v>
      </c>
      <c r="D508" s="2488"/>
      <c r="F508" s="834" t="s">
        <v>1753</v>
      </c>
      <c r="G508" s="2444" t="s">
        <v>1754</v>
      </c>
      <c r="H508" s="2444"/>
      <c r="I508" s="2444"/>
      <c r="J508" s="2444"/>
      <c r="K508" s="2444"/>
      <c r="L508" s="2444"/>
      <c r="M508" s="2444"/>
      <c r="N508" s="2444"/>
      <c r="O508" s="2444"/>
      <c r="P508" s="2444"/>
      <c r="Q508" s="2444"/>
      <c r="R508" s="2444"/>
      <c r="S508" s="2444"/>
      <c r="T508" s="2444"/>
      <c r="U508" s="2444"/>
      <c r="V508" s="2444"/>
      <c r="W508" s="2444"/>
      <c r="X508" s="2444"/>
      <c r="Y508" s="2444"/>
      <c r="Z508" s="2444"/>
      <c r="AA508" s="2444"/>
      <c r="AB508" s="2444"/>
      <c r="AC508" s="2444"/>
      <c r="AD508" s="2444"/>
      <c r="AE508" s="2444"/>
      <c r="AF508" s="2444"/>
      <c r="AG508" s="651">
        <f>IF(AND($C$508="Yes",$C$499="Yes"),2,0)</f>
        <v>0</v>
      </c>
      <c r="AH508" s="678" t="s">
        <v>1525</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59"/>
      <c r="H509" s="2459"/>
      <c r="I509" s="2459"/>
      <c r="J509" s="2459"/>
      <c r="K509" s="2459"/>
      <c r="L509" s="2459"/>
      <c r="M509" s="2459"/>
      <c r="N509" s="2459"/>
      <c r="O509" s="2459"/>
      <c r="P509" s="2459"/>
      <c r="Q509" s="2459"/>
      <c r="R509" s="2459"/>
      <c r="S509" s="2459"/>
      <c r="T509" s="2459"/>
      <c r="U509" s="2459"/>
      <c r="V509" s="2459"/>
      <c r="W509" s="2459"/>
      <c r="X509" s="2459"/>
      <c r="Y509" s="2459"/>
      <c r="Z509" s="2459"/>
      <c r="AA509" s="2459"/>
      <c r="AB509" s="2459"/>
      <c r="AC509" s="2459"/>
      <c r="AD509" s="2459"/>
      <c r="AE509" s="2459"/>
      <c r="AF509" s="2459"/>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1755</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75" t="s">
        <v>618</v>
      </c>
      <c r="D512" s="2476"/>
      <c r="E512" s="841" t="s">
        <v>1756</v>
      </c>
      <c r="F512" s="810" t="s">
        <v>1757</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1525</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77" t="s">
        <v>618</v>
      </c>
      <c r="G513" s="2477"/>
      <c r="H513" s="2477"/>
      <c r="I513" s="2477"/>
      <c r="J513" s="2477"/>
      <c r="K513" s="2477"/>
      <c r="L513" s="2477"/>
      <c r="M513" s="2477"/>
      <c r="N513" s="2477"/>
      <c r="O513" s="2477"/>
      <c r="P513" s="2477"/>
      <c r="Q513" s="2477"/>
      <c r="R513" s="2477"/>
      <c r="S513" s="2477"/>
      <c r="T513" s="2477"/>
      <c r="U513" s="2477"/>
      <c r="V513" s="2477"/>
      <c r="W513" s="2477"/>
      <c r="X513" s="2477"/>
      <c r="Y513" s="2477"/>
      <c r="Z513" s="2477"/>
      <c r="AA513" s="2477"/>
      <c r="AB513" s="2477"/>
      <c r="AC513" s="2477"/>
      <c r="AD513" s="2477"/>
      <c r="AE513" s="2477"/>
      <c r="AF513" s="2477"/>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78"/>
      <c r="G514" s="2478"/>
      <c r="H514" s="2478"/>
      <c r="I514" s="2478"/>
      <c r="J514" s="2478"/>
      <c r="K514" s="2478"/>
      <c r="L514" s="2478"/>
      <c r="M514" s="2478"/>
      <c r="N514" s="2478"/>
      <c r="O514" s="2478"/>
      <c r="P514" s="2478"/>
      <c r="Q514" s="2478"/>
      <c r="R514" s="2478"/>
      <c r="S514" s="2478"/>
      <c r="T514" s="2478"/>
      <c r="U514" s="2478"/>
      <c r="V514" s="2478"/>
      <c r="W514" s="2478"/>
      <c r="X514" s="2478"/>
      <c r="Y514" s="2478"/>
      <c r="Z514" s="2478"/>
      <c r="AA514" s="2478"/>
      <c r="AB514" s="2478"/>
      <c r="AC514" s="2478"/>
      <c r="AD514" s="2478"/>
      <c r="AE514" s="2478"/>
      <c r="AF514" s="2478"/>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1758</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1759</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2497</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1760</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2498</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1761</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1762</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1763</v>
      </c>
      <c r="AK524" s="2399">
        <f>SUM(AG468:AG513)</f>
        <v>0</v>
      </c>
      <c r="AL524" s="2400"/>
      <c r="AM524" s="2401"/>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1764</v>
      </c>
      <c r="B527" s="577" t="s">
        <v>1765</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34" t="s">
        <v>1766</v>
      </c>
      <c r="AF527" s="2334"/>
      <c r="AG527" s="2334"/>
      <c r="AH527" s="2334"/>
      <c r="AI527" s="2334"/>
      <c r="AJ527" s="2334"/>
      <c r="AK527" s="2334"/>
      <c r="AL527" s="633"/>
      <c r="AM527" s="633"/>
      <c r="AN527" s="635"/>
    </row>
    <row r="528" spans="1:81" s="588" customFormat="1" ht="12.75" customHeight="1">
      <c r="A528" s="577"/>
      <c r="B528" s="577" t="s">
        <v>1521</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396" t="s">
        <v>571</v>
      </c>
      <c r="D530" s="2396"/>
      <c r="E530" s="589"/>
      <c r="F530" s="2479" t="s">
        <v>1767</v>
      </c>
      <c r="G530" s="2480"/>
      <c r="H530" s="2480"/>
      <c r="I530" s="2480"/>
      <c r="J530" s="2480"/>
      <c r="K530" s="2480"/>
      <c r="L530" s="2480"/>
      <c r="M530" s="2480"/>
      <c r="N530" s="2480"/>
      <c r="O530" s="2480"/>
      <c r="P530" s="2480"/>
      <c r="Q530" s="2480"/>
      <c r="R530" s="2480"/>
      <c r="S530" s="2480"/>
      <c r="T530" s="2480"/>
      <c r="U530" s="2480"/>
      <c r="V530" s="2480"/>
      <c r="W530" s="2480"/>
      <c r="X530" s="2480"/>
      <c r="Y530" s="2480"/>
      <c r="Z530" s="2480"/>
      <c r="AA530" s="2480"/>
      <c r="AB530" s="2480"/>
      <c r="AC530" s="2480"/>
      <c r="AD530" s="2480"/>
      <c r="AE530" s="2480"/>
      <c r="AF530" s="2480"/>
      <c r="AG530" s="2480"/>
      <c r="AH530" s="2480"/>
      <c r="AI530" s="2480"/>
      <c r="AJ530" s="2480"/>
      <c r="AK530" s="2480"/>
      <c r="AL530" s="2481"/>
      <c r="AM530" s="633"/>
      <c r="AN530" s="635"/>
    </row>
    <row r="531" spans="1:49" s="588" customFormat="1" ht="12.75" customHeight="1">
      <c r="A531" s="577"/>
      <c r="B531" s="577"/>
      <c r="C531" s="589"/>
      <c r="D531" s="589"/>
      <c r="E531" s="589"/>
      <c r="F531" s="2482"/>
      <c r="G531" s="2483"/>
      <c r="H531" s="2483"/>
      <c r="I531" s="2483"/>
      <c r="J531" s="2483"/>
      <c r="K531" s="2483"/>
      <c r="L531" s="2483"/>
      <c r="M531" s="2483"/>
      <c r="N531" s="2483"/>
      <c r="O531" s="2483"/>
      <c r="P531" s="2483"/>
      <c r="Q531" s="2483"/>
      <c r="R531" s="2483"/>
      <c r="S531" s="2483"/>
      <c r="T531" s="2483"/>
      <c r="U531" s="2483"/>
      <c r="V531" s="2483"/>
      <c r="W531" s="2483"/>
      <c r="X531" s="2483"/>
      <c r="Y531" s="2483"/>
      <c r="Z531" s="2483"/>
      <c r="AA531" s="2483"/>
      <c r="AB531" s="2483"/>
      <c r="AC531" s="2483"/>
      <c r="AD531" s="2483"/>
      <c r="AE531" s="2483"/>
      <c r="AF531" s="2483"/>
      <c r="AG531" s="2483"/>
      <c r="AH531" s="2483"/>
      <c r="AI531" s="2483"/>
      <c r="AJ531" s="2483"/>
      <c r="AK531" s="2483"/>
      <c r="AL531" s="2484"/>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396" t="s">
        <v>618</v>
      </c>
      <c r="D533" s="2396"/>
      <c r="E533" s="845"/>
      <c r="F533" s="682" t="s">
        <v>1768</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19" t="s">
        <v>1769</v>
      </c>
      <c r="G534" s="2420"/>
      <c r="H534" s="2420"/>
      <c r="I534" s="2420"/>
      <c r="J534" s="2420"/>
      <c r="K534" s="2420"/>
      <c r="L534" s="2420"/>
      <c r="M534" s="2420"/>
      <c r="N534" s="2420"/>
      <c r="O534" s="2420"/>
      <c r="P534" s="2420"/>
      <c r="Q534" s="2420"/>
      <c r="R534" s="2420"/>
      <c r="S534" s="2420"/>
      <c r="T534" s="2420"/>
      <c r="U534" s="2420"/>
      <c r="V534" s="2420"/>
      <c r="W534" s="2420"/>
      <c r="X534" s="2420"/>
      <c r="Y534" s="2420"/>
      <c r="Z534" s="2420"/>
      <c r="AA534" s="2420"/>
      <c r="AB534" s="2420"/>
      <c r="AC534" s="2420"/>
      <c r="AD534" s="2420"/>
      <c r="AE534" s="2420"/>
      <c r="AF534" s="2420"/>
      <c r="AG534" s="2420"/>
      <c r="AH534" s="2420"/>
      <c r="AI534" s="2420"/>
      <c r="AJ534" s="2420"/>
      <c r="AK534" s="2420"/>
      <c r="AL534" s="2421"/>
      <c r="AM534" s="633"/>
      <c r="AN534" s="635"/>
      <c r="AS534" s="909"/>
      <c r="AT534" s="909"/>
      <c r="AU534" s="909"/>
      <c r="AV534" s="909"/>
      <c r="AW534" s="909"/>
    </row>
    <row r="535" spans="1:49" s="588" customFormat="1" ht="12.75" customHeight="1">
      <c r="B535" s="845"/>
      <c r="C535" s="845"/>
      <c r="D535" s="845"/>
      <c r="E535" s="845"/>
      <c r="F535" s="2419"/>
      <c r="G535" s="2420"/>
      <c r="H535" s="2420"/>
      <c r="I535" s="2420"/>
      <c r="J535" s="2420"/>
      <c r="K535" s="2420"/>
      <c r="L535" s="2420"/>
      <c r="M535" s="2420"/>
      <c r="N535" s="2420"/>
      <c r="O535" s="2420"/>
      <c r="P535" s="2420"/>
      <c r="Q535" s="2420"/>
      <c r="R535" s="2420"/>
      <c r="S535" s="2420"/>
      <c r="T535" s="2420"/>
      <c r="U535" s="2420"/>
      <c r="V535" s="2420"/>
      <c r="W535" s="2420"/>
      <c r="X535" s="2420"/>
      <c r="Y535" s="2420"/>
      <c r="Z535" s="2420"/>
      <c r="AA535" s="2420"/>
      <c r="AB535" s="2420"/>
      <c r="AC535" s="2420"/>
      <c r="AD535" s="2420"/>
      <c r="AE535" s="2420"/>
      <c r="AF535" s="2420"/>
      <c r="AG535" s="2420"/>
      <c r="AH535" s="2420"/>
      <c r="AI535" s="2420"/>
      <c r="AJ535" s="2420"/>
      <c r="AK535" s="2420"/>
      <c r="AL535" s="2421"/>
      <c r="AM535" s="633"/>
      <c r="AN535" s="635"/>
    </row>
    <row r="536" spans="1:49" s="588" customFormat="1" ht="12.75" customHeight="1">
      <c r="B536" s="845"/>
      <c r="C536" s="845"/>
      <c r="D536" s="845"/>
      <c r="E536" s="845"/>
      <c r="F536" s="850" t="s">
        <v>2499</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19" t="s">
        <v>1770</v>
      </c>
      <c r="G537" s="2420"/>
      <c r="H537" s="2420"/>
      <c r="I537" s="2420"/>
      <c r="J537" s="2420"/>
      <c r="K537" s="2420"/>
      <c r="L537" s="2420"/>
      <c r="M537" s="2420"/>
      <c r="N537" s="2420"/>
      <c r="O537" s="2420"/>
      <c r="P537" s="2420"/>
      <c r="Q537" s="2420"/>
      <c r="R537" s="2420"/>
      <c r="S537" s="2420"/>
      <c r="T537" s="2420"/>
      <c r="U537" s="2420"/>
      <c r="V537" s="2420"/>
      <c r="W537" s="2420"/>
      <c r="X537" s="2420"/>
      <c r="Y537" s="2420"/>
      <c r="Z537" s="2420"/>
      <c r="AA537" s="2420"/>
      <c r="AB537" s="2420"/>
      <c r="AC537" s="2420"/>
      <c r="AD537" s="2420"/>
      <c r="AE537" s="2420"/>
      <c r="AF537" s="2420"/>
      <c r="AG537" s="2420"/>
      <c r="AH537" s="2420"/>
      <c r="AI537" s="2420"/>
      <c r="AJ537" s="2420"/>
      <c r="AK537" s="2420"/>
      <c r="AL537" s="852"/>
      <c r="AM537" s="633"/>
      <c r="AN537" s="635"/>
    </row>
    <row r="538" spans="1:49" s="588" customFormat="1" ht="12.75" customHeight="1">
      <c r="B538" s="845"/>
      <c r="C538" s="845"/>
      <c r="D538" s="845"/>
      <c r="E538" s="845"/>
      <c r="F538" s="2422"/>
      <c r="G538" s="2423"/>
      <c r="H538" s="2423"/>
      <c r="I538" s="2423"/>
      <c r="J538" s="2423"/>
      <c r="K538" s="2423"/>
      <c r="L538" s="2423"/>
      <c r="M538" s="2423"/>
      <c r="N538" s="2423"/>
      <c r="O538" s="2423"/>
      <c r="P538" s="2423"/>
      <c r="Q538" s="2423"/>
      <c r="R538" s="2423"/>
      <c r="S538" s="2423"/>
      <c r="T538" s="2423"/>
      <c r="U538" s="2423"/>
      <c r="V538" s="2423"/>
      <c r="W538" s="2423"/>
      <c r="X538" s="2423"/>
      <c r="Y538" s="2423"/>
      <c r="Z538" s="2423"/>
      <c r="AA538" s="2423"/>
      <c r="AB538" s="2423"/>
      <c r="AC538" s="2423"/>
      <c r="AD538" s="2423"/>
      <c r="AE538" s="2423"/>
      <c r="AF538" s="2423"/>
      <c r="AG538" s="2423"/>
      <c r="AH538" s="2423"/>
      <c r="AI538" s="2423"/>
      <c r="AJ538" s="2423"/>
      <c r="AK538" s="2423"/>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43">
        <f>Application!AJ975</f>
        <v>29833996</v>
      </c>
      <c r="AQ539" s="2543"/>
      <c r="AR539" s="2543"/>
    </row>
    <row r="540" spans="1:49" s="588" customFormat="1" ht="12.75" customHeight="1">
      <c r="A540" s="536"/>
      <c r="B540" s="485" t="s">
        <v>1771</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402">
        <f>'Sources and Uses Budget'!S107+'Sources and Uses Budget'!T107</f>
        <v>44869622</v>
      </c>
      <c r="AG540" s="2402"/>
      <c r="AH540" s="2402"/>
      <c r="AI540" s="2402"/>
      <c r="AJ540" s="2402"/>
      <c r="AK540" s="633"/>
      <c r="AL540" s="633"/>
      <c r="AM540" s="633"/>
      <c r="AN540" s="635"/>
    </row>
    <row r="541" spans="1:49" s="588" customFormat="1" ht="12.75" customHeight="1">
      <c r="A541" s="663"/>
      <c r="B541" s="663" t="s">
        <v>1772</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48">
        <f>AP548</f>
        <v>64622914.799999997</v>
      </c>
      <c r="AG541" s="2548"/>
      <c r="AH541" s="2548"/>
      <c r="AI541" s="2548"/>
      <c r="AJ541" s="2548"/>
      <c r="AK541" s="633"/>
      <c r="AL541" s="633"/>
      <c r="AM541" s="633"/>
      <c r="AN541" s="635"/>
      <c r="AP541" s="2543">
        <f>Application!AJ1024</f>
        <v>19690437.359999999</v>
      </c>
      <c r="AQ541" s="2543"/>
      <c r="AR541" s="2543"/>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49">
        <f>ROUNDDOWN(IF(C533="YES",((1-(AF540/AF541))*2),(1-(AF540/AF541))),2)</f>
        <v>0.3</v>
      </c>
      <c r="AG542" s="2549"/>
      <c r="AH542" s="2549"/>
      <c r="AI542" s="2549"/>
      <c r="AJ542" s="2549"/>
      <c r="AK542" s="633"/>
      <c r="AL542" s="633"/>
      <c r="AM542" s="633"/>
      <c r="AN542" s="635"/>
      <c r="AP542" s="2546">
        <f>Application!AJ1028</f>
        <v>16707037.760000002</v>
      </c>
      <c r="AQ542" s="2546"/>
      <c r="AR542" s="2546"/>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42">
        <f>IF(((AP541+AP542)/AP539)&gt;0.8,0.8,((AP541+AP542)/AP539))</f>
        <v>0.8</v>
      </c>
      <c r="AQ543" s="2542"/>
      <c r="AR543" s="2542"/>
    </row>
    <row r="544" spans="1:49" s="588" customFormat="1" ht="12.75" customHeight="1">
      <c r="A544" s="662"/>
      <c r="B544" s="2495" t="s">
        <v>2500</v>
      </c>
      <c r="C544" s="2496"/>
      <c r="D544" s="2496"/>
      <c r="E544" s="2496"/>
      <c r="F544" s="2496"/>
      <c r="G544" s="2496"/>
      <c r="H544" s="2496"/>
      <c r="I544" s="2496"/>
      <c r="J544" s="2496"/>
      <c r="K544" s="2496"/>
      <c r="L544" s="2496"/>
      <c r="M544" s="2496"/>
      <c r="N544" s="2496"/>
      <c r="O544" s="2496"/>
      <c r="P544" s="2496"/>
      <c r="Q544" s="2496"/>
      <c r="R544" s="2496"/>
      <c r="S544" s="2496"/>
      <c r="T544" s="2496"/>
      <c r="U544" s="2496"/>
      <c r="V544" s="2496"/>
      <c r="W544" s="2496"/>
      <c r="X544" s="2496"/>
      <c r="Y544" s="2496"/>
      <c r="Z544" s="2496"/>
      <c r="AA544" s="2496"/>
      <c r="AB544" s="2496"/>
      <c r="AC544" s="2496"/>
      <c r="AD544" s="2496"/>
      <c r="AE544" s="2496"/>
      <c r="AF544" s="2496"/>
      <c r="AG544" s="2496"/>
      <c r="AH544" s="2496"/>
      <c r="AI544" s="2496"/>
      <c r="AJ544" s="2497"/>
      <c r="AK544" s="633"/>
      <c r="AL544" s="633"/>
      <c r="AM544" s="633"/>
      <c r="AN544" s="635"/>
    </row>
    <row r="545" spans="1:44" s="588" customFormat="1" ht="12.75" customHeight="1">
      <c r="A545" s="662"/>
      <c r="B545" s="2498"/>
      <c r="C545" s="2499"/>
      <c r="D545" s="2499"/>
      <c r="E545" s="2499"/>
      <c r="F545" s="2499"/>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500"/>
      <c r="AK545" s="633"/>
      <c r="AL545" s="633"/>
      <c r="AM545" s="633"/>
      <c r="AN545" s="635"/>
      <c r="AP545" s="2543">
        <f>AP546-AP541-AP542</f>
        <v>40755718</v>
      </c>
      <c r="AQ545" s="2452"/>
      <c r="AR545" s="2452"/>
    </row>
    <row r="546" spans="1:44" s="588" customFormat="1" ht="12.75" customHeight="1">
      <c r="A546" s="662"/>
      <c r="B546" s="2501"/>
      <c r="C546" s="2502"/>
      <c r="D546" s="2502"/>
      <c r="E546" s="2502"/>
      <c r="F546" s="2502"/>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3"/>
      <c r="AK546" s="633"/>
      <c r="AL546" s="633"/>
      <c r="AM546" s="633"/>
      <c r="AN546" s="635"/>
      <c r="AP546" s="2543">
        <f>Application!AJ1032</f>
        <v>77153193.120000005</v>
      </c>
      <c r="AQ546" s="2543"/>
      <c r="AR546" s="2543"/>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1773</v>
      </c>
      <c r="AK548" s="2504">
        <f>IFERROR(IF(AF542=0,0,IF((AF542*100)&gt;12,12,(AF542*100))),0)</f>
        <v>12</v>
      </c>
      <c r="AL548" s="2504"/>
      <c r="AM548" s="2505"/>
      <c r="AN548" s="635"/>
      <c r="AP548" s="2559">
        <f>AP545+(AP539*AP543)</f>
        <v>64622914.799999997</v>
      </c>
      <c r="AQ548" s="2560"/>
      <c r="AR548" s="2561"/>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2490</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34" t="s">
        <v>1511</v>
      </c>
      <c r="AF551" s="2334"/>
      <c r="AG551" s="2334"/>
      <c r="AH551" s="2334"/>
      <c r="AI551" s="2334"/>
      <c r="AJ551" s="2334"/>
      <c r="AK551" s="2334"/>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20" t="s">
        <v>2491</v>
      </c>
      <c r="C553" s="2420"/>
      <c r="D553" s="2420"/>
      <c r="E553" s="2420"/>
      <c r="F553" s="2420"/>
      <c r="G553" s="2420"/>
      <c r="H553" s="2420"/>
      <c r="I553" s="2420"/>
      <c r="J553" s="2420"/>
      <c r="K553" s="2420"/>
      <c r="L553" s="2420"/>
      <c r="M553" s="2420"/>
      <c r="N553" s="2420"/>
      <c r="O553" s="2420"/>
      <c r="P553" s="2420"/>
      <c r="Q553" s="2420"/>
      <c r="R553" s="2420"/>
      <c r="S553" s="2420"/>
      <c r="T553" s="2420"/>
      <c r="U553" s="2420"/>
      <c r="V553" s="2420"/>
      <c r="W553" s="2420"/>
      <c r="X553" s="2420"/>
      <c r="Y553" s="2420"/>
      <c r="Z553" s="2420"/>
      <c r="AA553" s="2420"/>
      <c r="AB553" s="2420"/>
      <c r="AC553" s="2420"/>
      <c r="AD553" s="2420"/>
      <c r="AE553" s="2420"/>
      <c r="AF553" s="2420"/>
      <c r="AG553" s="2420"/>
      <c r="AH553" s="2420"/>
      <c r="AI553" s="2420"/>
      <c r="AJ553" s="2420"/>
      <c r="AK553" s="680"/>
      <c r="AL553" s="611"/>
      <c r="AM553" s="641"/>
      <c r="AN553" s="635"/>
    </row>
    <row r="554" spans="1:44" s="588" customFormat="1" ht="12.75" customHeight="1">
      <c r="A554" s="641"/>
      <c r="B554" s="2420"/>
      <c r="C554" s="2420"/>
      <c r="D554" s="2420"/>
      <c r="E554" s="2420"/>
      <c r="F554" s="2420"/>
      <c r="G554" s="2420"/>
      <c r="H554" s="2420"/>
      <c r="I554" s="2420"/>
      <c r="J554" s="2420"/>
      <c r="K554" s="2420"/>
      <c r="L554" s="2420"/>
      <c r="M554" s="2420"/>
      <c r="N554" s="2420"/>
      <c r="O554" s="2420"/>
      <c r="P554" s="2420"/>
      <c r="Q554" s="2420"/>
      <c r="R554" s="2420"/>
      <c r="S554" s="2420"/>
      <c r="T554" s="2420"/>
      <c r="U554" s="2420"/>
      <c r="V554" s="2420"/>
      <c r="W554" s="2420"/>
      <c r="X554" s="2420"/>
      <c r="Y554" s="2420"/>
      <c r="Z554" s="2420"/>
      <c r="AA554" s="2420"/>
      <c r="AB554" s="2420"/>
      <c r="AC554" s="2420"/>
      <c r="AD554" s="2420"/>
      <c r="AE554" s="2420"/>
      <c r="AF554" s="2420"/>
      <c r="AG554" s="2420"/>
      <c r="AH554" s="2420"/>
      <c r="AI554" s="2420"/>
      <c r="AJ554" s="2420"/>
      <c r="AK554" s="680"/>
      <c r="AL554" s="611"/>
      <c r="AM554" s="641"/>
      <c r="AN554" s="635"/>
    </row>
    <row r="555" spans="1:44" s="588" customFormat="1" ht="12.75" customHeight="1">
      <c r="A555" s="641"/>
      <c r="B555" s="2420"/>
      <c r="C555" s="2420"/>
      <c r="D555" s="2420"/>
      <c r="E555" s="2420"/>
      <c r="F555" s="2420"/>
      <c r="G555" s="2420"/>
      <c r="H555" s="2420"/>
      <c r="I555" s="2420"/>
      <c r="J555" s="2420"/>
      <c r="K555" s="2420"/>
      <c r="L555" s="2420"/>
      <c r="M555" s="2420"/>
      <c r="N555" s="2420"/>
      <c r="O555" s="2420"/>
      <c r="P555" s="2420"/>
      <c r="Q555" s="2420"/>
      <c r="R555" s="2420"/>
      <c r="S555" s="2420"/>
      <c r="T555" s="2420"/>
      <c r="U555" s="2420"/>
      <c r="V555" s="2420"/>
      <c r="W555" s="2420"/>
      <c r="X555" s="2420"/>
      <c r="Y555" s="2420"/>
      <c r="Z555" s="2420"/>
      <c r="AA555" s="2420"/>
      <c r="AB555" s="2420"/>
      <c r="AC555" s="2420"/>
      <c r="AD555" s="2420"/>
      <c r="AE555" s="2420"/>
      <c r="AF555" s="2420"/>
      <c r="AG555" s="2420"/>
      <c r="AH555" s="2420"/>
      <c r="AI555" s="2420"/>
      <c r="AJ555" s="2420"/>
      <c r="AK555" s="680"/>
      <c r="AL555" s="611"/>
      <c r="AM555" s="641"/>
      <c r="AN555" s="635"/>
    </row>
    <row r="556" spans="1:44" s="588" customFormat="1" ht="12.75" customHeight="1">
      <c r="A556" s="641"/>
      <c r="B556" s="2420"/>
      <c r="C556" s="2420"/>
      <c r="D556" s="2420"/>
      <c r="E556" s="2420"/>
      <c r="F556" s="2420"/>
      <c r="G556" s="2420"/>
      <c r="H556" s="2420"/>
      <c r="I556" s="2420"/>
      <c r="J556" s="2420"/>
      <c r="K556" s="2420"/>
      <c r="L556" s="2420"/>
      <c r="M556" s="2420"/>
      <c r="N556" s="2420"/>
      <c r="O556" s="2420"/>
      <c r="P556" s="2420"/>
      <c r="Q556" s="2420"/>
      <c r="R556" s="2420"/>
      <c r="S556" s="2420"/>
      <c r="T556" s="2420"/>
      <c r="U556" s="2420"/>
      <c r="V556" s="2420"/>
      <c r="W556" s="2420"/>
      <c r="X556" s="2420"/>
      <c r="Y556" s="2420"/>
      <c r="Z556" s="2420"/>
      <c r="AA556" s="2420"/>
      <c r="AB556" s="2420"/>
      <c r="AC556" s="2420"/>
      <c r="AD556" s="2420"/>
      <c r="AE556" s="2420"/>
      <c r="AF556" s="2420"/>
      <c r="AG556" s="2420"/>
      <c r="AH556" s="2420"/>
      <c r="AI556" s="2420"/>
      <c r="AJ556" s="2420"/>
      <c r="AK556" s="680"/>
      <c r="AL556" s="611"/>
      <c r="AM556" s="641"/>
      <c r="AN556" s="635"/>
    </row>
    <row r="557" spans="1:44" s="588" customFormat="1" ht="12.75" customHeight="1">
      <c r="A557" s="641"/>
      <c r="B557" s="2420"/>
      <c r="C557" s="2420"/>
      <c r="D557" s="2420"/>
      <c r="E557" s="2420"/>
      <c r="F557" s="2420"/>
      <c r="G557" s="2420"/>
      <c r="H557" s="2420"/>
      <c r="I557" s="2420"/>
      <c r="J557" s="2420"/>
      <c r="K557" s="2420"/>
      <c r="L557" s="2420"/>
      <c r="M557" s="2420"/>
      <c r="N557" s="2420"/>
      <c r="O557" s="2420"/>
      <c r="P557" s="2420"/>
      <c r="Q557" s="2420"/>
      <c r="R557" s="2420"/>
      <c r="S557" s="2420"/>
      <c r="T557" s="2420"/>
      <c r="U557" s="2420"/>
      <c r="V557" s="2420"/>
      <c r="W557" s="2420"/>
      <c r="X557" s="2420"/>
      <c r="Y557" s="2420"/>
      <c r="Z557" s="2420"/>
      <c r="AA557" s="2420"/>
      <c r="AB557" s="2420"/>
      <c r="AC557" s="2420"/>
      <c r="AD557" s="2420"/>
      <c r="AE557" s="2420"/>
      <c r="AF557" s="2420"/>
      <c r="AG557" s="2420"/>
      <c r="AH557" s="2420"/>
      <c r="AI557" s="2420"/>
      <c r="AJ557" s="2420"/>
      <c r="AK557" s="680"/>
      <c r="AL557" s="611"/>
      <c r="AM557" s="641"/>
      <c r="AN557" s="635"/>
    </row>
    <row r="558" spans="1:44" s="588" customFormat="1" ht="12.75" customHeight="1">
      <c r="A558" s="641"/>
      <c r="B558" s="2420"/>
      <c r="C558" s="2420"/>
      <c r="D558" s="2420"/>
      <c r="E558" s="2420"/>
      <c r="F558" s="2420"/>
      <c r="G558" s="2420"/>
      <c r="H558" s="2420"/>
      <c r="I558" s="2420"/>
      <c r="J558" s="2420"/>
      <c r="K558" s="2420"/>
      <c r="L558" s="2420"/>
      <c r="M558" s="2420"/>
      <c r="N558" s="2420"/>
      <c r="O558" s="2420"/>
      <c r="P558" s="2420"/>
      <c r="Q558" s="2420"/>
      <c r="R558" s="2420"/>
      <c r="S558" s="2420"/>
      <c r="T558" s="2420"/>
      <c r="U558" s="2420"/>
      <c r="V558" s="2420"/>
      <c r="W558" s="2420"/>
      <c r="X558" s="2420"/>
      <c r="Y558" s="2420"/>
      <c r="Z558" s="2420"/>
      <c r="AA558" s="2420"/>
      <c r="AB558" s="2420"/>
      <c r="AC558" s="2420"/>
      <c r="AD558" s="2420"/>
      <c r="AE558" s="2420"/>
      <c r="AF558" s="2420"/>
      <c r="AG558" s="2420"/>
      <c r="AH558" s="2420"/>
      <c r="AI558" s="2420"/>
      <c r="AJ558" s="2420"/>
      <c r="AK558" s="680"/>
      <c r="AL558" s="611"/>
      <c r="AM558" s="641"/>
      <c r="AN558" s="635"/>
    </row>
    <row r="559" spans="1:44" s="588" customFormat="1" ht="12.75" customHeight="1">
      <c r="A559" s="641"/>
      <c r="B559" s="2420"/>
      <c r="C559" s="2420"/>
      <c r="D559" s="2420"/>
      <c r="E559" s="2420"/>
      <c r="F559" s="2420"/>
      <c r="G559" s="2420"/>
      <c r="H559" s="2420"/>
      <c r="I559" s="2420"/>
      <c r="J559" s="2420"/>
      <c r="K559" s="2420"/>
      <c r="L559" s="2420"/>
      <c r="M559" s="2420"/>
      <c r="N559" s="2420"/>
      <c r="O559" s="2420"/>
      <c r="P559" s="2420"/>
      <c r="Q559" s="2420"/>
      <c r="R559" s="2420"/>
      <c r="S559" s="2420"/>
      <c r="T559" s="2420"/>
      <c r="U559" s="2420"/>
      <c r="V559" s="2420"/>
      <c r="W559" s="2420"/>
      <c r="X559" s="2420"/>
      <c r="Y559" s="2420"/>
      <c r="Z559" s="2420"/>
      <c r="AA559" s="2420"/>
      <c r="AB559" s="2420"/>
      <c r="AC559" s="2420"/>
      <c r="AD559" s="2420"/>
      <c r="AE559" s="2420"/>
      <c r="AF559" s="2420"/>
      <c r="AG559" s="2420"/>
      <c r="AH559" s="2420"/>
      <c r="AI559" s="2420"/>
      <c r="AJ559" s="2420"/>
      <c r="AK559" s="680"/>
      <c r="AL559" s="611"/>
      <c r="AM559" s="641"/>
      <c r="AN559" s="635"/>
    </row>
    <row r="560" spans="1:44" ht="12.75" customHeight="1">
      <c r="A560" s="641"/>
      <c r="B560" s="2420"/>
      <c r="C560" s="2420"/>
      <c r="D560" s="2420"/>
      <c r="E560" s="2420"/>
      <c r="F560" s="2420"/>
      <c r="G560" s="2420"/>
      <c r="H560" s="2420"/>
      <c r="I560" s="2420"/>
      <c r="J560" s="2420"/>
      <c r="K560" s="2420"/>
      <c r="L560" s="2420"/>
      <c r="M560" s="2420"/>
      <c r="N560" s="2420"/>
      <c r="O560" s="2420"/>
      <c r="P560" s="2420"/>
      <c r="Q560" s="2420"/>
      <c r="R560" s="2420"/>
      <c r="S560" s="2420"/>
      <c r="T560" s="2420"/>
      <c r="U560" s="2420"/>
      <c r="V560" s="2420"/>
      <c r="W560" s="2420"/>
      <c r="X560" s="2420"/>
      <c r="Y560" s="2420"/>
      <c r="Z560" s="2420"/>
      <c r="AA560" s="2420"/>
      <c r="AB560" s="2420"/>
      <c r="AC560" s="2420"/>
      <c r="AD560" s="2420"/>
      <c r="AE560" s="2420"/>
      <c r="AF560" s="2420"/>
      <c r="AG560" s="2420"/>
      <c r="AH560" s="2420"/>
      <c r="AI560" s="2420"/>
      <c r="AJ560" s="2420"/>
      <c r="AK560" s="680"/>
      <c r="AL560" s="611"/>
      <c r="AM560" s="641"/>
    </row>
    <row r="561" spans="1:42" s="588" customFormat="1" ht="12.75" customHeight="1">
      <c r="B561" s="2420"/>
      <c r="C561" s="2420"/>
      <c r="D561" s="2420"/>
      <c r="E561" s="2420"/>
      <c r="F561" s="2420"/>
      <c r="G561" s="2420"/>
      <c r="H561" s="2420"/>
      <c r="I561" s="2420"/>
      <c r="J561" s="2420"/>
      <c r="K561" s="2420"/>
      <c r="L561" s="2420"/>
      <c r="M561" s="2420"/>
      <c r="N561" s="2420"/>
      <c r="O561" s="2420"/>
      <c r="P561" s="2420"/>
      <c r="Q561" s="2420"/>
      <c r="R561" s="2420"/>
      <c r="S561" s="2420"/>
      <c r="T561" s="2420"/>
      <c r="U561" s="2420"/>
      <c r="V561" s="2420"/>
      <c r="W561" s="2420"/>
      <c r="X561" s="2420"/>
      <c r="Y561" s="2420"/>
      <c r="Z561" s="2420"/>
      <c r="AA561" s="2420"/>
      <c r="AB561" s="2420"/>
      <c r="AC561" s="2420"/>
      <c r="AD561" s="2420"/>
      <c r="AE561" s="2420"/>
      <c r="AF561" s="2420"/>
      <c r="AG561" s="2420"/>
      <c r="AH561" s="2420"/>
      <c r="AI561" s="2420"/>
      <c r="AJ561" s="2420"/>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1591</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1592</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2014</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66" t="s">
        <v>1535</v>
      </c>
      <c r="AG567" s="2366"/>
      <c r="AH567" s="2366"/>
      <c r="AI567" s="2366"/>
      <c r="AJ567" s="2366"/>
      <c r="AK567" s="2366"/>
      <c r="AL567" s="2366"/>
      <c r="AN567" s="635"/>
    </row>
    <row r="568" spans="1:42" s="588" customFormat="1" ht="12.75" customHeight="1">
      <c r="B568" s="574"/>
      <c r="C568" s="654"/>
      <c r="D568" s="701"/>
      <c r="E568" s="877" t="s">
        <v>2015</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2016</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2017</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2018</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2019</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2020</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66" t="s">
        <v>1593</v>
      </c>
      <c r="AG574" s="2366"/>
      <c r="AH574" s="2366"/>
      <c r="AI574" s="2366"/>
      <c r="AJ574" s="2366"/>
      <c r="AK574" s="2366"/>
      <c r="AL574" s="2366"/>
      <c r="AN574" s="635"/>
    </row>
    <row r="575" spans="1:42" s="588" customFormat="1" ht="12.75" customHeight="1">
      <c r="B575" s="574"/>
      <c r="C575" s="973"/>
      <c r="D575" s="701"/>
      <c r="E575" s="877" t="s">
        <v>2021</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2022</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2024</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2023</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1594</v>
      </c>
      <c r="AP579" s="588">
        <v>4</v>
      </c>
    </row>
    <row r="580" spans="1:53" s="588" customFormat="1" ht="12.75" customHeight="1">
      <c r="B580" s="574"/>
      <c r="C580" s="971"/>
      <c r="D580" s="701" t="s">
        <v>284</v>
      </c>
      <c r="E580" s="877" t="s">
        <v>2025</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66" t="s">
        <v>1575</v>
      </c>
      <c r="AG580" s="2366"/>
      <c r="AH580" s="2366"/>
      <c r="AI580" s="2366"/>
      <c r="AJ580" s="2366"/>
      <c r="AK580" s="2366"/>
      <c r="AL580" s="2366"/>
      <c r="AN580" s="635"/>
      <c r="AO580" s="649" t="s">
        <v>1595</v>
      </c>
      <c r="AP580" s="588">
        <v>3</v>
      </c>
    </row>
    <row r="581" spans="1:53" s="588" customFormat="1" ht="12.75" customHeight="1">
      <c r="B581" s="574"/>
      <c r="C581" s="973"/>
      <c r="D581" s="701"/>
      <c r="E581" s="877" t="s">
        <v>2021</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2022</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2024</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2023</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1594</v>
      </c>
      <c r="E586" s="877" t="s">
        <v>2026</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66" t="s">
        <v>1596</v>
      </c>
      <c r="AG586" s="2366"/>
      <c r="AH586" s="2366"/>
      <c r="AI586" s="2366"/>
      <c r="AJ586" s="2366"/>
      <c r="AK586" s="2366"/>
      <c r="AL586" s="2366"/>
      <c r="AN586" s="635"/>
      <c r="AO586" s="588" t="str">
        <f>X623</f>
        <v>N/A</v>
      </c>
    </row>
    <row r="587" spans="1:53" s="588" customFormat="1" ht="12.75" customHeight="1">
      <c r="B587" s="574"/>
      <c r="C587" s="973"/>
      <c r="D587" s="701"/>
      <c r="E587" s="877" t="s">
        <v>2027</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2028</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2186</v>
      </c>
      <c r="O590" s="2451" t="s">
        <v>1349</v>
      </c>
      <c r="P590" s="2451"/>
      <c r="Q590" s="2451"/>
      <c r="R590" s="2451"/>
      <c r="S590" s="2451"/>
      <c r="T590" s="2451"/>
      <c r="U590" s="2451"/>
      <c r="V590" s="2451"/>
      <c r="W590" s="2451"/>
      <c r="X590" s="2451"/>
      <c r="Y590" s="2451"/>
      <c r="Z590" s="2451"/>
      <c r="AA590" s="2451"/>
      <c r="AB590" s="2451"/>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1595</v>
      </c>
      <c r="E592" s="877" t="s">
        <v>2030</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66" t="s">
        <v>1549</v>
      </c>
      <c r="AG592" s="2366"/>
      <c r="AH592" s="2366"/>
      <c r="AI592" s="2366"/>
      <c r="AJ592" s="2366"/>
      <c r="AK592" s="2366"/>
      <c r="AL592" s="2366"/>
      <c r="AN592" s="635"/>
    </row>
    <row r="593" spans="2:47" s="588" customFormat="1" ht="12.75" customHeight="1">
      <c r="B593" s="574"/>
      <c r="C593" s="971"/>
      <c r="D593" s="701"/>
      <c r="E593" s="877" t="s">
        <v>2029</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1597</v>
      </c>
      <c r="E595" s="976"/>
      <c r="F595" s="976"/>
      <c r="G595" s="976"/>
      <c r="H595" s="2449" t="s">
        <v>1594</v>
      </c>
      <c r="I595" s="2449"/>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2031</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2032</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2033</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2034</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1597</v>
      </c>
      <c r="F603" s="976"/>
      <c r="G603" s="976"/>
      <c r="I603" s="2450" t="s">
        <v>618</v>
      </c>
      <c r="J603" s="2450"/>
      <c r="K603" s="2450"/>
      <c r="L603" s="2450"/>
      <c r="M603" s="2450"/>
      <c r="N603" s="2450"/>
      <c r="O603" s="2450"/>
      <c r="P603" s="2450"/>
      <c r="Q603" s="2450"/>
      <c r="R603" s="2450"/>
      <c r="S603" s="2450"/>
      <c r="T603" s="2450"/>
      <c r="U603" s="2450"/>
      <c r="V603" s="2450"/>
      <c r="W603" s="2450"/>
      <c r="X603" s="2450"/>
      <c r="Y603" s="2450"/>
      <c r="Z603" s="2450"/>
      <c r="AA603" s="2450"/>
      <c r="AB603" s="2450"/>
      <c r="AC603" s="2450"/>
      <c r="AD603" s="2450"/>
      <c r="AE603" s="2450"/>
      <c r="AF603" s="574"/>
      <c r="AG603" s="574"/>
      <c r="AH603" s="574"/>
      <c r="AI603" s="574"/>
      <c r="AJ603" s="574"/>
      <c r="AK603" s="574"/>
      <c r="AL603" s="574"/>
      <c r="AN603" s="635"/>
      <c r="AO603" s="588" t="s">
        <v>1598</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1599</v>
      </c>
      <c r="AP604" s="588">
        <v>2</v>
      </c>
    </row>
    <row r="605" spans="2:47" s="588" customFormat="1" ht="12.75" customHeight="1">
      <c r="B605" s="2393" t="s">
        <v>618</v>
      </c>
      <c r="C605" s="2393"/>
      <c r="D605" s="680"/>
      <c r="E605" s="2420" t="s">
        <v>1600</v>
      </c>
      <c r="F605" s="2420"/>
      <c r="G605" s="2420"/>
      <c r="H605" s="2420"/>
      <c r="I605" s="2420"/>
      <c r="J605" s="2420"/>
      <c r="K605" s="2420"/>
      <c r="L605" s="2420"/>
      <c r="M605" s="2420"/>
      <c r="N605" s="2420"/>
      <c r="O605" s="2420"/>
      <c r="P605" s="2420"/>
      <c r="Q605" s="2420"/>
      <c r="R605" s="2420"/>
      <c r="S605" s="2420"/>
      <c r="T605" s="2420"/>
      <c r="U605" s="2420"/>
      <c r="V605" s="2420"/>
      <c r="W605" s="2420"/>
      <c r="X605" s="2420"/>
      <c r="Y605" s="2420"/>
      <c r="Z605" s="2420"/>
      <c r="AA605" s="2420"/>
      <c r="AB605" s="2420"/>
      <c r="AC605" s="2420"/>
      <c r="AD605" s="2420"/>
      <c r="AE605" s="2420"/>
      <c r="AF605" s="2420"/>
      <c r="AG605" s="2420"/>
      <c r="AH605" s="680"/>
      <c r="AI605" s="680"/>
      <c r="AJ605" s="680"/>
      <c r="AK605" s="680"/>
      <c r="AL605" s="680"/>
      <c r="AN605" s="635"/>
    </row>
    <row r="606" spans="2:47" s="588" customFormat="1" ht="12.75" customHeight="1">
      <c r="B606" s="574"/>
      <c r="C606" s="973"/>
      <c r="D606" s="680"/>
      <c r="E606" s="2420"/>
      <c r="F606" s="2420"/>
      <c r="G606" s="2420"/>
      <c r="H606" s="2420"/>
      <c r="I606" s="2420"/>
      <c r="J606" s="2420"/>
      <c r="K606" s="2420"/>
      <c r="L606" s="2420"/>
      <c r="M606" s="2420"/>
      <c r="N606" s="2420"/>
      <c r="O606" s="2420"/>
      <c r="P606" s="2420"/>
      <c r="Q606" s="2420"/>
      <c r="R606" s="2420"/>
      <c r="S606" s="2420"/>
      <c r="T606" s="2420"/>
      <c r="U606" s="2420"/>
      <c r="V606" s="2420"/>
      <c r="W606" s="2420"/>
      <c r="X606" s="2420"/>
      <c r="Y606" s="2420"/>
      <c r="Z606" s="2420"/>
      <c r="AA606" s="2420"/>
      <c r="AB606" s="2420"/>
      <c r="AC606" s="2420"/>
      <c r="AD606" s="2420"/>
      <c r="AE606" s="2420"/>
      <c r="AF606" s="2420"/>
      <c r="AG606" s="2420"/>
      <c r="AH606" s="680"/>
      <c r="AI606" s="680"/>
      <c r="AJ606" s="680"/>
      <c r="AK606" s="680"/>
      <c r="AL606" s="680"/>
      <c r="AN606" s="635"/>
    </row>
    <row r="607" spans="2:47" s="588" customFormat="1" ht="12.75" customHeight="1">
      <c r="B607" s="574"/>
      <c r="C607" s="973"/>
      <c r="D607" s="680"/>
      <c r="E607" s="2420"/>
      <c r="F607" s="2420"/>
      <c r="G607" s="2420"/>
      <c r="H607" s="2420"/>
      <c r="I607" s="2420"/>
      <c r="J607" s="2420"/>
      <c r="K607" s="2420"/>
      <c r="L607" s="2420"/>
      <c r="M607" s="2420"/>
      <c r="N607" s="2420"/>
      <c r="O607" s="2420"/>
      <c r="P607" s="2420"/>
      <c r="Q607" s="2420"/>
      <c r="R607" s="2420"/>
      <c r="S607" s="2420"/>
      <c r="T607" s="2420"/>
      <c r="U607" s="2420"/>
      <c r="V607" s="2420"/>
      <c r="W607" s="2420"/>
      <c r="X607" s="2420"/>
      <c r="Y607" s="2420"/>
      <c r="Z607" s="2420"/>
      <c r="AA607" s="2420"/>
      <c r="AB607" s="2420"/>
      <c r="AC607" s="2420"/>
      <c r="AD607" s="2420"/>
      <c r="AE607" s="2420"/>
      <c r="AF607" s="2420"/>
      <c r="AG607" s="2420"/>
      <c r="AH607" s="680"/>
      <c r="AI607" s="680"/>
      <c r="AJ607" s="680"/>
      <c r="AK607" s="680"/>
      <c r="AL607" s="680"/>
      <c r="AN607" s="635"/>
    </row>
    <row r="608" spans="2:47" s="588" customFormat="1" ht="12.75" customHeight="1">
      <c r="B608" s="574"/>
      <c r="C608" s="973"/>
      <c r="D608" s="680"/>
      <c r="E608" s="2420"/>
      <c r="F608" s="2420"/>
      <c r="G608" s="2420"/>
      <c r="H608" s="2420"/>
      <c r="I608" s="2420"/>
      <c r="J608" s="2420"/>
      <c r="K608" s="2420"/>
      <c r="L608" s="2420"/>
      <c r="M608" s="2420"/>
      <c r="N608" s="2420"/>
      <c r="O608" s="2420"/>
      <c r="P608" s="2420"/>
      <c r="Q608" s="2420"/>
      <c r="R608" s="2420"/>
      <c r="S608" s="2420"/>
      <c r="T608" s="2420"/>
      <c r="U608" s="2420"/>
      <c r="V608" s="2420"/>
      <c r="W608" s="2420"/>
      <c r="X608" s="2420"/>
      <c r="Y608" s="2420"/>
      <c r="Z608" s="2420"/>
      <c r="AA608" s="2420"/>
      <c r="AB608" s="2420"/>
      <c r="AC608" s="2420"/>
      <c r="AD608" s="2420"/>
      <c r="AE608" s="2420"/>
      <c r="AF608" s="2420"/>
      <c r="AG608" s="2420"/>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1601</v>
      </c>
      <c r="AJ610" s="2399">
        <f>VLOOKUP($H$595,$AO$575:$AP$580,2,FALSE)+VLOOKUP($I$603,$AO$602:$AP$604,2,FALSE)</f>
        <v>4</v>
      </c>
      <c r="AK610" s="2401"/>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1602</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48" t="s">
        <v>2010</v>
      </c>
      <c r="F614" s="2448"/>
      <c r="G614" s="2448"/>
      <c r="H614" s="2448"/>
      <c r="I614" s="2448"/>
      <c r="J614" s="2448"/>
      <c r="K614" s="2448"/>
      <c r="L614" s="2448"/>
      <c r="M614" s="2448"/>
      <c r="N614" s="2448"/>
      <c r="O614" s="2448"/>
      <c r="P614" s="2448"/>
      <c r="Q614" s="2448"/>
      <c r="R614" s="2448"/>
      <c r="S614" s="2448"/>
      <c r="T614" s="2448"/>
      <c r="U614" s="2448"/>
      <c r="V614" s="2448"/>
      <c r="W614" s="2448"/>
      <c r="X614" s="2448"/>
      <c r="Y614" s="2448"/>
      <c r="Z614" s="2448"/>
      <c r="AA614" s="2448"/>
      <c r="AB614" s="2448"/>
      <c r="AC614" s="2448"/>
      <c r="AD614" s="2448"/>
      <c r="AE614" s="577"/>
      <c r="AF614" s="2366" t="s">
        <v>1549</v>
      </c>
      <c r="AG614" s="2366"/>
      <c r="AH614" s="2366"/>
      <c r="AI614" s="2366"/>
      <c r="AJ614" s="2366"/>
      <c r="AK614" s="2366"/>
      <c r="AL614" s="2366"/>
      <c r="AM614" s="588"/>
      <c r="AN614" s="716"/>
    </row>
    <row r="615" spans="1:42" s="588" customFormat="1" ht="12.75" customHeight="1">
      <c r="A615" s="717"/>
      <c r="B615" s="574"/>
      <c r="C615" s="973"/>
      <c r="D615" s="701"/>
      <c r="E615" s="2448"/>
      <c r="F615" s="2448"/>
      <c r="G615" s="2448"/>
      <c r="H615" s="2448"/>
      <c r="I615" s="2448"/>
      <c r="J615" s="2448"/>
      <c r="K615" s="2448"/>
      <c r="L615" s="2448"/>
      <c r="M615" s="2448"/>
      <c r="N615" s="2448"/>
      <c r="O615" s="2448"/>
      <c r="P615" s="2448"/>
      <c r="Q615" s="2448"/>
      <c r="R615" s="2448"/>
      <c r="S615" s="2448"/>
      <c r="T615" s="2448"/>
      <c r="U615" s="2448"/>
      <c r="V615" s="2448"/>
      <c r="W615" s="2448"/>
      <c r="X615" s="2448"/>
      <c r="Y615" s="2448"/>
      <c r="Z615" s="2448"/>
      <c r="AA615" s="2448"/>
      <c r="AB615" s="2448"/>
      <c r="AC615" s="2448"/>
      <c r="AD615" s="2448"/>
      <c r="AE615" s="574"/>
      <c r="AF615" s="574"/>
      <c r="AG615" s="574"/>
      <c r="AH615" s="574"/>
      <c r="AI615" s="574"/>
      <c r="AJ615" s="574"/>
      <c r="AK615" s="574"/>
      <c r="AL615" s="574"/>
      <c r="AN615" s="635"/>
    </row>
    <row r="616" spans="1:42" s="588" customFormat="1" ht="12.75" customHeight="1">
      <c r="B616" s="574"/>
      <c r="C616" s="971"/>
      <c r="D616" s="701"/>
      <c r="E616" s="2448"/>
      <c r="F616" s="2448"/>
      <c r="G616" s="2448"/>
      <c r="H616" s="2448"/>
      <c r="I616" s="2448"/>
      <c r="J616" s="2448"/>
      <c r="K616" s="2448"/>
      <c r="L616" s="2448"/>
      <c r="M616" s="2448"/>
      <c r="N616" s="2448"/>
      <c r="O616" s="2448"/>
      <c r="P616" s="2448"/>
      <c r="Q616" s="2448"/>
      <c r="R616" s="2448"/>
      <c r="S616" s="2448"/>
      <c r="T616" s="2448"/>
      <c r="U616" s="2448"/>
      <c r="V616" s="2448"/>
      <c r="W616" s="2448"/>
      <c r="X616" s="2448"/>
      <c r="Y616" s="2448"/>
      <c r="Z616" s="2448"/>
      <c r="AA616" s="2448"/>
      <c r="AB616" s="2448"/>
      <c r="AC616" s="2448"/>
      <c r="AD616" s="2448"/>
      <c r="AE616" s="574"/>
      <c r="AF616" s="574"/>
      <c r="AG616" s="574"/>
      <c r="AH616" s="574"/>
      <c r="AI616" s="574"/>
      <c r="AJ616" s="574"/>
      <c r="AK616" s="574"/>
      <c r="AL616" s="574"/>
      <c r="AN616" s="635"/>
    </row>
    <row r="617" spans="1:42" s="588" customFormat="1" ht="12.75" customHeight="1">
      <c r="B617" s="574"/>
      <c r="C617" s="971"/>
      <c r="D617" s="701"/>
      <c r="E617" s="2448"/>
      <c r="F617" s="2448"/>
      <c r="G617" s="2448"/>
      <c r="H617" s="2448"/>
      <c r="I617" s="2448"/>
      <c r="J617" s="2448"/>
      <c r="K617" s="2448"/>
      <c r="L617" s="2448"/>
      <c r="M617" s="2448"/>
      <c r="N617" s="2448"/>
      <c r="O617" s="2448"/>
      <c r="P617" s="2448"/>
      <c r="Q617" s="2448"/>
      <c r="R617" s="2448"/>
      <c r="S617" s="2448"/>
      <c r="T617" s="2448"/>
      <c r="U617" s="2448"/>
      <c r="V617" s="2448"/>
      <c r="W617" s="2448"/>
      <c r="X617" s="2448"/>
      <c r="Y617" s="2448"/>
      <c r="Z617" s="2448"/>
      <c r="AA617" s="2448"/>
      <c r="AB617" s="2448"/>
      <c r="AC617" s="2448"/>
      <c r="AD617" s="2448"/>
      <c r="AE617" s="574"/>
      <c r="AF617" s="574"/>
      <c r="AG617" s="574"/>
      <c r="AH617" s="574"/>
      <c r="AI617" s="574"/>
      <c r="AJ617" s="574"/>
      <c r="AK617" s="574"/>
      <c r="AL617" s="574"/>
      <c r="AN617" s="635"/>
    </row>
    <row r="618" spans="1:42" s="588" customFormat="1" ht="12.75" customHeight="1">
      <c r="B618" s="574"/>
      <c r="C618" s="971"/>
      <c r="D618" s="701"/>
      <c r="E618" s="2448"/>
      <c r="F618" s="2448"/>
      <c r="G618" s="2448"/>
      <c r="H618" s="2448"/>
      <c r="I618" s="2448"/>
      <c r="J618" s="2448"/>
      <c r="K618" s="2448"/>
      <c r="L618" s="2448"/>
      <c r="M618" s="2448"/>
      <c r="N618" s="2448"/>
      <c r="O618" s="2448"/>
      <c r="P618" s="2448"/>
      <c r="Q618" s="2448"/>
      <c r="R618" s="2448"/>
      <c r="S618" s="2448"/>
      <c r="T618" s="2448"/>
      <c r="U618" s="2448"/>
      <c r="V618" s="2448"/>
      <c r="W618" s="2448"/>
      <c r="X618" s="2448"/>
      <c r="Y618" s="2448"/>
      <c r="Z618" s="2448"/>
      <c r="AA618" s="2448"/>
      <c r="AB618" s="2448"/>
      <c r="AC618" s="2448"/>
      <c r="AD618" s="2448"/>
      <c r="AE618" s="574"/>
      <c r="AF618" s="574"/>
      <c r="AG618" s="574"/>
      <c r="AH618" s="574"/>
      <c r="AI618" s="574"/>
      <c r="AJ618" s="574"/>
      <c r="AK618" s="574"/>
      <c r="AL618" s="574"/>
      <c r="AN618" s="635"/>
    </row>
    <row r="619" spans="1:42" s="588" customFormat="1" ht="12.75" customHeight="1">
      <c r="B619" s="574"/>
      <c r="C619" s="971"/>
      <c r="D619" s="701"/>
      <c r="E619" s="2448"/>
      <c r="F619" s="2448"/>
      <c r="G619" s="2448"/>
      <c r="H619" s="2448"/>
      <c r="I619" s="2448"/>
      <c r="J619" s="2448"/>
      <c r="K619" s="2448"/>
      <c r="L619" s="2448"/>
      <c r="M619" s="2448"/>
      <c r="N619" s="2448"/>
      <c r="O619" s="2448"/>
      <c r="P619" s="2448"/>
      <c r="Q619" s="2448"/>
      <c r="R619" s="2448"/>
      <c r="S619" s="2448"/>
      <c r="T619" s="2448"/>
      <c r="U619" s="2448"/>
      <c r="V619" s="2448"/>
      <c r="W619" s="2448"/>
      <c r="X619" s="2448"/>
      <c r="Y619" s="2448"/>
      <c r="Z619" s="2448"/>
      <c r="AA619" s="2448"/>
      <c r="AB619" s="2448"/>
      <c r="AC619" s="2448"/>
      <c r="AD619" s="2448"/>
      <c r="AE619" s="574"/>
      <c r="AF619" s="574"/>
      <c r="AG619" s="574"/>
      <c r="AH619" s="574"/>
      <c r="AI619" s="574"/>
      <c r="AJ619" s="574"/>
      <c r="AK619" s="574"/>
      <c r="AL619" s="574"/>
      <c r="AN619" s="635"/>
    </row>
    <row r="620" spans="1:42" s="588" customFormat="1" ht="12.75" customHeight="1">
      <c r="A620" s="675"/>
      <c r="B620" s="654"/>
      <c r="C620" s="980"/>
      <c r="D620" s="701"/>
      <c r="E620" s="2448"/>
      <c r="F620" s="2448"/>
      <c r="G620" s="2448"/>
      <c r="H620" s="2448"/>
      <c r="I620" s="2448"/>
      <c r="J620" s="2448"/>
      <c r="K620" s="2448"/>
      <c r="L620" s="2448"/>
      <c r="M620" s="2448"/>
      <c r="N620" s="2448"/>
      <c r="O620" s="2448"/>
      <c r="P620" s="2448"/>
      <c r="Q620" s="2448"/>
      <c r="R620" s="2448"/>
      <c r="S620" s="2448"/>
      <c r="T620" s="2448"/>
      <c r="U620" s="2448"/>
      <c r="V620" s="2448"/>
      <c r="W620" s="2448"/>
      <c r="X620" s="2448"/>
      <c r="Y620" s="2448"/>
      <c r="Z620" s="2448"/>
      <c r="AA620" s="2448"/>
      <c r="AB620" s="2448"/>
      <c r="AC620" s="2448"/>
      <c r="AD620" s="2448"/>
      <c r="AE620" s="654"/>
      <c r="AF620" s="654"/>
      <c r="AG620" s="654"/>
      <c r="AH620" s="654"/>
      <c r="AI620" s="654"/>
      <c r="AJ620" s="654"/>
      <c r="AK620" s="574"/>
      <c r="AL620" s="574"/>
      <c r="AN620" s="635"/>
    </row>
    <row r="621" spans="1:42" s="588" customFormat="1" ht="12.75" customHeight="1">
      <c r="B621" s="654"/>
      <c r="C621" s="980"/>
      <c r="D621" s="701"/>
      <c r="E621" s="2448"/>
      <c r="F621" s="2448"/>
      <c r="G621" s="2448"/>
      <c r="H621" s="2448"/>
      <c r="I621" s="2448"/>
      <c r="J621" s="2448"/>
      <c r="K621" s="2448"/>
      <c r="L621" s="2448"/>
      <c r="M621" s="2448"/>
      <c r="N621" s="2448"/>
      <c r="O621" s="2448"/>
      <c r="P621" s="2448"/>
      <c r="Q621" s="2448"/>
      <c r="R621" s="2448"/>
      <c r="S621" s="2448"/>
      <c r="T621" s="2448"/>
      <c r="U621" s="2448"/>
      <c r="V621" s="2448"/>
      <c r="W621" s="2448"/>
      <c r="X621" s="2448"/>
      <c r="Y621" s="2448"/>
      <c r="Z621" s="2448"/>
      <c r="AA621" s="2448"/>
      <c r="AB621" s="2448"/>
      <c r="AC621" s="2448"/>
      <c r="AD621" s="2448"/>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1603</v>
      </c>
      <c r="F623" s="981"/>
      <c r="G623" s="981"/>
      <c r="H623" s="981"/>
      <c r="I623" s="981"/>
      <c r="J623" s="981"/>
      <c r="K623" s="981"/>
      <c r="L623" s="981"/>
      <c r="M623" s="981"/>
      <c r="N623" s="981"/>
      <c r="O623" s="981"/>
      <c r="P623" s="981"/>
      <c r="Q623" s="981"/>
      <c r="R623" s="981"/>
      <c r="U623" s="981"/>
      <c r="V623" s="981"/>
      <c r="W623" s="981"/>
      <c r="X623" s="2393" t="s">
        <v>618</v>
      </c>
      <c r="Y623" s="2393"/>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1604</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66" t="s">
        <v>1605</v>
      </c>
      <c r="AG625" s="2366"/>
      <c r="AH625" s="2366"/>
      <c r="AI625" s="2366"/>
      <c r="AJ625" s="2366"/>
      <c r="AK625" s="2366"/>
      <c r="AL625" s="2366"/>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1594</v>
      </c>
      <c r="AP626" s="718">
        <v>4</v>
      </c>
    </row>
    <row r="627" spans="1:42" s="588" customFormat="1" ht="12.75" customHeight="1">
      <c r="B627" s="574"/>
      <c r="C627" s="971"/>
      <c r="D627" s="574" t="s">
        <v>1597</v>
      </c>
      <c r="E627" s="976"/>
      <c r="F627" s="976"/>
      <c r="G627" s="976"/>
      <c r="H627" s="2449" t="s">
        <v>618</v>
      </c>
      <c r="I627" s="2449"/>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1595</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1606</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1607</v>
      </c>
      <c r="AJ629" s="2399">
        <f>VLOOKUP($H$627,$AO$594:$AP$596,2,FALSE)</f>
        <v>0</v>
      </c>
      <c r="AK629" s="2401"/>
      <c r="AL629" s="633"/>
      <c r="AN629" s="635"/>
      <c r="AO629" s="649" t="s">
        <v>1608</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1609</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1610</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66" t="s">
        <v>1549</v>
      </c>
      <c r="AG633" s="2366"/>
      <c r="AH633" s="2366"/>
      <c r="AI633" s="2366"/>
      <c r="AJ633" s="2366"/>
      <c r="AK633" s="2366"/>
      <c r="AL633" s="2366"/>
      <c r="AN633" s="635"/>
    </row>
    <row r="634" spans="1:42" s="588" customFormat="1" ht="12.75" customHeight="1">
      <c r="B634" s="574"/>
      <c r="C634" s="574"/>
      <c r="D634" s="701"/>
      <c r="E634" s="654" t="s">
        <v>1611</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1612</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66" t="s">
        <v>1605</v>
      </c>
      <c r="AG636" s="2366"/>
      <c r="AH636" s="2366"/>
      <c r="AI636" s="2366"/>
      <c r="AJ636" s="2366"/>
      <c r="AK636" s="2366"/>
      <c r="AL636" s="2366"/>
      <c r="AN636" s="635"/>
    </row>
    <row r="637" spans="1:42" s="588" customFormat="1" ht="12.75" customHeight="1">
      <c r="B637" s="574"/>
      <c r="C637" s="971"/>
      <c r="D637" s="701"/>
      <c r="E637" s="654" t="s">
        <v>1613</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1597</v>
      </c>
      <c r="E639" s="976"/>
      <c r="F639" s="976"/>
      <c r="G639" s="976"/>
      <c r="H639" s="2449" t="s">
        <v>618</v>
      </c>
      <c r="I639" s="2449"/>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1614</v>
      </c>
      <c r="AJ641" s="2399">
        <f>VLOOKUP(H639,AT594:AU596,2,FALSE)</f>
        <v>0</v>
      </c>
      <c r="AK641" s="2401"/>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1615</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1616</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420" t="s">
        <v>1617</v>
      </c>
      <c r="F646" s="2420"/>
      <c r="G646" s="2420"/>
      <c r="H646" s="2420"/>
      <c r="I646" s="2420"/>
      <c r="J646" s="2420"/>
      <c r="K646" s="2420"/>
      <c r="L646" s="2420"/>
      <c r="M646" s="2420"/>
      <c r="N646" s="2420"/>
      <c r="O646" s="2420"/>
      <c r="P646" s="2420"/>
      <c r="Q646" s="2420"/>
      <c r="R646" s="2420"/>
      <c r="S646" s="2420"/>
      <c r="T646" s="2420"/>
      <c r="U646" s="2420"/>
      <c r="V646" s="2420"/>
      <c r="W646" s="2420"/>
      <c r="X646" s="2420"/>
      <c r="Y646" s="2420"/>
      <c r="Z646" s="2420"/>
      <c r="AA646" s="2420"/>
      <c r="AB646" s="2420"/>
      <c r="AC646" s="2420"/>
      <c r="AD646" s="574"/>
      <c r="AE646" s="574"/>
      <c r="AF646" s="2366" t="s">
        <v>1575</v>
      </c>
      <c r="AG646" s="2366"/>
      <c r="AH646" s="2366"/>
      <c r="AI646" s="2366"/>
      <c r="AJ646" s="2366"/>
      <c r="AK646" s="2366"/>
      <c r="AL646" s="2366"/>
      <c r="AN646" s="635"/>
    </row>
    <row r="647" spans="1:42" s="588" customFormat="1" ht="12.75" customHeight="1">
      <c r="B647" s="574"/>
      <c r="C647" s="577"/>
      <c r="D647" s="574"/>
      <c r="E647" s="2420"/>
      <c r="F647" s="2420"/>
      <c r="G647" s="2420"/>
      <c r="H647" s="2420"/>
      <c r="I647" s="2420"/>
      <c r="J647" s="2420"/>
      <c r="K647" s="2420"/>
      <c r="L647" s="2420"/>
      <c r="M647" s="2420"/>
      <c r="N647" s="2420"/>
      <c r="O647" s="2420"/>
      <c r="P647" s="2420"/>
      <c r="Q647" s="2420"/>
      <c r="R647" s="2420"/>
      <c r="S647" s="2420"/>
      <c r="T647" s="2420"/>
      <c r="U647" s="2420"/>
      <c r="V647" s="2420"/>
      <c r="W647" s="2420"/>
      <c r="X647" s="2420"/>
      <c r="Y647" s="2420"/>
      <c r="Z647" s="2420"/>
      <c r="AA647" s="2420"/>
      <c r="AB647" s="2420"/>
      <c r="AC647" s="2420"/>
      <c r="AD647" s="574"/>
      <c r="AE647" s="574"/>
      <c r="AF647" s="574"/>
      <c r="AG647" s="574"/>
      <c r="AH647" s="574"/>
      <c r="AI647" s="574"/>
      <c r="AJ647" s="574"/>
      <c r="AK647" s="574"/>
      <c r="AL647" s="574"/>
      <c r="AN647" s="635"/>
    </row>
    <row r="648" spans="1:42" s="588" customFormat="1" ht="12.75" customHeight="1">
      <c r="B648" s="574"/>
      <c r="C648" s="577"/>
      <c r="D648" s="701"/>
      <c r="E648" s="2420"/>
      <c r="F648" s="2420"/>
      <c r="G648" s="2420"/>
      <c r="H648" s="2420"/>
      <c r="I648" s="2420"/>
      <c r="J648" s="2420"/>
      <c r="K648" s="2420"/>
      <c r="L648" s="2420"/>
      <c r="M648" s="2420"/>
      <c r="N648" s="2420"/>
      <c r="O648" s="2420"/>
      <c r="P648" s="2420"/>
      <c r="Q648" s="2420"/>
      <c r="R648" s="2420"/>
      <c r="S648" s="2420"/>
      <c r="T648" s="2420"/>
      <c r="U648" s="2420"/>
      <c r="V648" s="2420"/>
      <c r="W648" s="2420"/>
      <c r="X648" s="2420"/>
      <c r="Y648" s="2420"/>
      <c r="Z648" s="2420"/>
      <c r="AA648" s="2420"/>
      <c r="AB648" s="2420"/>
      <c r="AC648" s="2420"/>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420" t="s">
        <v>1618</v>
      </c>
      <c r="F650" s="2420"/>
      <c r="G650" s="2420"/>
      <c r="H650" s="2420"/>
      <c r="I650" s="2420"/>
      <c r="J650" s="2420"/>
      <c r="K650" s="2420"/>
      <c r="L650" s="2420"/>
      <c r="M650" s="2420"/>
      <c r="N650" s="2420"/>
      <c r="O650" s="2420"/>
      <c r="P650" s="2420"/>
      <c r="Q650" s="2420"/>
      <c r="R650" s="2420"/>
      <c r="S650" s="2420"/>
      <c r="T650" s="2420"/>
      <c r="U650" s="2420"/>
      <c r="V650" s="2420"/>
      <c r="W650" s="2420"/>
      <c r="X650" s="2420"/>
      <c r="Y650" s="2420"/>
      <c r="Z650" s="2420"/>
      <c r="AA650" s="2420"/>
      <c r="AB650" s="2420"/>
      <c r="AC650" s="2420"/>
      <c r="AD650" s="574"/>
      <c r="AE650" s="574"/>
      <c r="AF650" s="2366" t="s">
        <v>1596</v>
      </c>
      <c r="AG650" s="2366"/>
      <c r="AH650" s="2366"/>
      <c r="AI650" s="2366"/>
      <c r="AJ650" s="2366"/>
      <c r="AK650" s="2366"/>
      <c r="AL650" s="2366"/>
      <c r="AN650" s="635"/>
    </row>
    <row r="651" spans="1:42" s="588" customFormat="1" ht="12.75" customHeight="1">
      <c r="B651" s="574"/>
      <c r="C651" s="577"/>
      <c r="D651" s="574"/>
      <c r="E651" s="2420"/>
      <c r="F651" s="2420"/>
      <c r="G651" s="2420"/>
      <c r="H651" s="2420"/>
      <c r="I651" s="2420"/>
      <c r="J651" s="2420"/>
      <c r="K651" s="2420"/>
      <c r="L651" s="2420"/>
      <c r="M651" s="2420"/>
      <c r="N651" s="2420"/>
      <c r="O651" s="2420"/>
      <c r="P651" s="2420"/>
      <c r="Q651" s="2420"/>
      <c r="R651" s="2420"/>
      <c r="S651" s="2420"/>
      <c r="T651" s="2420"/>
      <c r="U651" s="2420"/>
      <c r="V651" s="2420"/>
      <c r="W651" s="2420"/>
      <c r="X651" s="2420"/>
      <c r="Y651" s="2420"/>
      <c r="Z651" s="2420"/>
      <c r="AA651" s="2420"/>
      <c r="AB651" s="2420"/>
      <c r="AC651" s="2420"/>
      <c r="AD651" s="574"/>
      <c r="AE651" s="574"/>
      <c r="AF651" s="574"/>
      <c r="AG651" s="574"/>
      <c r="AH651" s="574"/>
      <c r="AI651" s="574"/>
      <c r="AJ651" s="574"/>
      <c r="AK651" s="574"/>
      <c r="AL651" s="574"/>
      <c r="AN651" s="635"/>
    </row>
    <row r="652" spans="1:42" s="588" customFormat="1" ht="15" customHeight="1">
      <c r="B652" s="574"/>
      <c r="C652" s="577"/>
      <c r="D652" s="701"/>
      <c r="E652" s="2420"/>
      <c r="F652" s="2420"/>
      <c r="G652" s="2420"/>
      <c r="H652" s="2420"/>
      <c r="I652" s="2420"/>
      <c r="J652" s="2420"/>
      <c r="K652" s="2420"/>
      <c r="L652" s="2420"/>
      <c r="M652" s="2420"/>
      <c r="N652" s="2420"/>
      <c r="O652" s="2420"/>
      <c r="P652" s="2420"/>
      <c r="Q652" s="2420"/>
      <c r="R652" s="2420"/>
      <c r="S652" s="2420"/>
      <c r="T652" s="2420"/>
      <c r="U652" s="2420"/>
      <c r="V652" s="2420"/>
      <c r="W652" s="2420"/>
      <c r="X652" s="2420"/>
      <c r="Y652" s="2420"/>
      <c r="Z652" s="2420"/>
      <c r="AA652" s="2420"/>
      <c r="AB652" s="2420"/>
      <c r="AC652" s="2420"/>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20" t="s">
        <v>1619</v>
      </c>
      <c r="F654" s="2420"/>
      <c r="G654" s="2420"/>
      <c r="H654" s="2420"/>
      <c r="I654" s="2420"/>
      <c r="J654" s="2420"/>
      <c r="K654" s="2420"/>
      <c r="L654" s="2420"/>
      <c r="M654" s="2420"/>
      <c r="N654" s="2420"/>
      <c r="O654" s="2420"/>
      <c r="P654" s="2420"/>
      <c r="Q654" s="2420"/>
      <c r="R654" s="2420"/>
      <c r="S654" s="2420"/>
      <c r="T654" s="2420"/>
      <c r="U654" s="2420"/>
      <c r="V654" s="2420"/>
      <c r="W654" s="2420"/>
      <c r="X654" s="2420"/>
      <c r="Y654" s="2420"/>
      <c r="Z654" s="2420"/>
      <c r="AA654" s="2420"/>
      <c r="AB654" s="2420"/>
      <c r="AC654" s="2420"/>
      <c r="AD654" s="574"/>
      <c r="AE654" s="574"/>
      <c r="AF654" s="2366" t="s">
        <v>1549</v>
      </c>
      <c r="AG654" s="2366"/>
      <c r="AH654" s="2366"/>
      <c r="AI654" s="2366"/>
      <c r="AJ654" s="2366"/>
      <c r="AK654" s="2366"/>
      <c r="AL654" s="2366"/>
      <c r="AN654" s="635"/>
    </row>
    <row r="655" spans="1:42" s="588" customFormat="1" ht="12.75" customHeight="1">
      <c r="B655" s="574"/>
      <c r="C655" s="971"/>
      <c r="D655" s="574"/>
      <c r="E655" s="2420"/>
      <c r="F655" s="2420"/>
      <c r="G655" s="2420"/>
      <c r="H655" s="2420"/>
      <c r="I655" s="2420"/>
      <c r="J655" s="2420"/>
      <c r="K655" s="2420"/>
      <c r="L655" s="2420"/>
      <c r="M655" s="2420"/>
      <c r="N655" s="2420"/>
      <c r="O655" s="2420"/>
      <c r="P655" s="2420"/>
      <c r="Q655" s="2420"/>
      <c r="R655" s="2420"/>
      <c r="S655" s="2420"/>
      <c r="T655" s="2420"/>
      <c r="U655" s="2420"/>
      <c r="V655" s="2420"/>
      <c r="W655" s="2420"/>
      <c r="X655" s="2420"/>
      <c r="Y655" s="2420"/>
      <c r="Z655" s="2420"/>
      <c r="AA655" s="2420"/>
      <c r="AB655" s="2420"/>
      <c r="AC655" s="2420"/>
      <c r="AD655" s="574"/>
      <c r="AE655" s="2366"/>
      <c r="AF655" s="2366"/>
      <c r="AG655" s="2366"/>
      <c r="AH655" s="2366"/>
      <c r="AI655" s="2366"/>
      <c r="AJ655" s="2366"/>
      <c r="AK655" s="2366"/>
      <c r="AL655" s="632"/>
      <c r="AN655" s="635"/>
      <c r="AO655" s="588" t="s">
        <v>618</v>
      </c>
      <c r="AP655" s="711">
        <v>0</v>
      </c>
    </row>
    <row r="656" spans="1:42" s="588" customFormat="1" ht="12.75" customHeight="1">
      <c r="A656" s="717"/>
      <c r="B656" s="574"/>
      <c r="C656" s="574"/>
      <c r="D656" s="701"/>
      <c r="E656" s="2420"/>
      <c r="F656" s="2420"/>
      <c r="G656" s="2420"/>
      <c r="H656" s="2420"/>
      <c r="I656" s="2420"/>
      <c r="J656" s="2420"/>
      <c r="K656" s="2420"/>
      <c r="L656" s="2420"/>
      <c r="M656" s="2420"/>
      <c r="N656" s="2420"/>
      <c r="O656" s="2420"/>
      <c r="P656" s="2420"/>
      <c r="Q656" s="2420"/>
      <c r="R656" s="2420"/>
      <c r="S656" s="2420"/>
      <c r="T656" s="2420"/>
      <c r="U656" s="2420"/>
      <c r="V656" s="2420"/>
      <c r="W656" s="2420"/>
      <c r="X656" s="2420"/>
      <c r="Y656" s="2420"/>
      <c r="Z656" s="2420"/>
      <c r="AA656" s="2420"/>
      <c r="AB656" s="2420"/>
      <c r="AC656" s="2420"/>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1594</v>
      </c>
      <c r="E658" s="2420" t="s">
        <v>1620</v>
      </c>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c r="AA658" s="2420"/>
      <c r="AB658" s="2420"/>
      <c r="AC658" s="2420"/>
      <c r="AD658" s="574"/>
      <c r="AE658" s="574"/>
      <c r="AF658" s="2366" t="s">
        <v>1596</v>
      </c>
      <c r="AG658" s="2366"/>
      <c r="AH658" s="2366"/>
      <c r="AI658" s="2366"/>
      <c r="AJ658" s="2366"/>
      <c r="AK658" s="2366"/>
      <c r="AL658" s="2366"/>
      <c r="AN658" s="635"/>
    </row>
    <row r="659" spans="1:42" s="588" customFormat="1" ht="12.75" customHeight="1">
      <c r="A659" s="708"/>
      <c r="B659" s="574"/>
      <c r="C659" s="987"/>
      <c r="D659" s="701"/>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c r="AA659" s="2420"/>
      <c r="AB659" s="2420"/>
      <c r="AC659" s="2420"/>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20"/>
      <c r="F660" s="2420"/>
      <c r="G660" s="2420"/>
      <c r="H660" s="2420"/>
      <c r="I660" s="2420"/>
      <c r="J660" s="2420"/>
      <c r="K660" s="2420"/>
      <c r="L660" s="2420"/>
      <c r="M660" s="2420"/>
      <c r="N660" s="2420"/>
      <c r="O660" s="2420"/>
      <c r="P660" s="2420"/>
      <c r="Q660" s="2420"/>
      <c r="R660" s="2420"/>
      <c r="S660" s="2420"/>
      <c r="T660" s="2420"/>
      <c r="U660" s="2420"/>
      <c r="V660" s="2420"/>
      <c r="W660" s="2420"/>
      <c r="X660" s="2420"/>
      <c r="Y660" s="2420"/>
      <c r="Z660" s="2420"/>
      <c r="AA660" s="2420"/>
      <c r="AB660" s="2420"/>
      <c r="AC660" s="2420"/>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1595</v>
      </c>
      <c r="E662" s="2420" t="s">
        <v>1621</v>
      </c>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c r="AA662" s="2420"/>
      <c r="AB662" s="2420"/>
      <c r="AC662" s="2420"/>
      <c r="AD662" s="574"/>
      <c r="AE662" s="574"/>
      <c r="AF662" s="2366" t="s">
        <v>1549</v>
      </c>
      <c r="AG662" s="2366"/>
      <c r="AH662" s="2366"/>
      <c r="AI662" s="2366"/>
      <c r="AJ662" s="2366"/>
      <c r="AK662" s="2366"/>
      <c r="AL662" s="2366"/>
      <c r="AM662" s="634"/>
      <c r="AN662" s="635"/>
    </row>
    <row r="663" spans="1:42" s="588" customFormat="1" ht="12.75" customHeight="1">
      <c r="B663" s="574"/>
      <c r="C663" s="971"/>
      <c r="D663" s="701"/>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c r="AA663" s="2420"/>
      <c r="AB663" s="2420"/>
      <c r="AC663" s="2420"/>
      <c r="AD663" s="574"/>
      <c r="AE663" s="574"/>
      <c r="AF663" s="574"/>
      <c r="AG663" s="574"/>
      <c r="AH663" s="574"/>
      <c r="AI663" s="574"/>
      <c r="AJ663" s="574"/>
      <c r="AK663" s="574"/>
      <c r="AL663" s="574"/>
      <c r="AM663" s="634"/>
      <c r="AN663" s="635"/>
    </row>
    <row r="664" spans="1:42" s="588" customFormat="1" ht="12.75" customHeight="1">
      <c r="B664" s="574"/>
      <c r="C664" s="971"/>
      <c r="D664" s="701"/>
      <c r="E664" s="2420"/>
      <c r="F664" s="2420"/>
      <c r="G664" s="2420"/>
      <c r="H664" s="2420"/>
      <c r="I664" s="2420"/>
      <c r="J664" s="2420"/>
      <c r="K664" s="2420"/>
      <c r="L664" s="2420"/>
      <c r="M664" s="2420"/>
      <c r="N664" s="2420"/>
      <c r="O664" s="2420"/>
      <c r="P664" s="2420"/>
      <c r="Q664" s="2420"/>
      <c r="R664" s="2420"/>
      <c r="S664" s="2420"/>
      <c r="T664" s="2420"/>
      <c r="U664" s="2420"/>
      <c r="V664" s="2420"/>
      <c r="W664" s="2420"/>
      <c r="X664" s="2420"/>
      <c r="Y664" s="2420"/>
      <c r="Z664" s="2420"/>
      <c r="AA664" s="2420"/>
      <c r="AB664" s="2420"/>
      <c r="AC664" s="2420"/>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1606</v>
      </c>
      <c r="E666" s="2420" t="s">
        <v>1622</v>
      </c>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c r="AA666" s="2420"/>
      <c r="AB666" s="2420"/>
      <c r="AC666" s="2420"/>
      <c r="AD666" s="574"/>
      <c r="AE666" s="574"/>
      <c r="AF666" s="2366" t="s">
        <v>1605</v>
      </c>
      <c r="AG666" s="2366"/>
      <c r="AH666" s="2366"/>
      <c r="AI666" s="2366"/>
      <c r="AJ666" s="2366"/>
      <c r="AK666" s="2366"/>
      <c r="AL666" s="2366"/>
      <c r="AM666" s="634"/>
      <c r="AN666" s="635"/>
    </row>
    <row r="667" spans="1:42" s="588" customFormat="1" ht="12.75" customHeight="1">
      <c r="A667" s="717"/>
      <c r="B667" s="574"/>
      <c r="C667" s="971"/>
      <c r="D667" s="701"/>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c r="AA667" s="2420"/>
      <c r="AB667" s="2420"/>
      <c r="AC667" s="2420"/>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20"/>
      <c r="F668" s="2420"/>
      <c r="G668" s="2420"/>
      <c r="H668" s="2420"/>
      <c r="I668" s="2420"/>
      <c r="J668" s="2420"/>
      <c r="K668" s="2420"/>
      <c r="L668" s="2420"/>
      <c r="M668" s="2420"/>
      <c r="N668" s="2420"/>
      <c r="O668" s="2420"/>
      <c r="P668" s="2420"/>
      <c r="Q668" s="2420"/>
      <c r="R668" s="2420"/>
      <c r="S668" s="2420"/>
      <c r="T668" s="2420"/>
      <c r="U668" s="2420"/>
      <c r="V668" s="2420"/>
      <c r="W668" s="2420"/>
      <c r="X668" s="2420"/>
      <c r="Y668" s="2420"/>
      <c r="Z668" s="2420"/>
      <c r="AA668" s="2420"/>
      <c r="AB668" s="2420"/>
      <c r="AC668" s="2420"/>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1608</v>
      </c>
      <c r="E670" s="2420" t="s">
        <v>1623</v>
      </c>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c r="AA670" s="2420"/>
      <c r="AB670" s="2420"/>
      <c r="AC670" s="2420"/>
      <c r="AD670" s="574"/>
      <c r="AE670" s="574"/>
      <c r="AF670" s="2366" t="s">
        <v>1624</v>
      </c>
      <c r="AG670" s="2366"/>
      <c r="AH670" s="2366"/>
      <c r="AI670" s="2366"/>
      <c r="AJ670" s="2366"/>
      <c r="AK670" s="2366"/>
      <c r="AL670" s="2366"/>
      <c r="AM670" s="634"/>
      <c r="AN670" s="635"/>
      <c r="AO670" s="649" t="s">
        <v>715</v>
      </c>
      <c r="AP670" s="588">
        <v>3</v>
      </c>
    </row>
    <row r="671" spans="1:42" s="588" customFormat="1" ht="12.75" customHeight="1">
      <c r="A671" s="717"/>
      <c r="B671" s="574"/>
      <c r="C671" s="971"/>
      <c r="D671" s="701"/>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c r="AA671" s="2420"/>
      <c r="AB671" s="2420"/>
      <c r="AC671" s="2420"/>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420"/>
      <c r="F672" s="2420"/>
      <c r="G672" s="2420"/>
      <c r="H672" s="2420"/>
      <c r="I672" s="2420"/>
      <c r="J672" s="2420"/>
      <c r="K672" s="2420"/>
      <c r="L672" s="2420"/>
      <c r="M672" s="2420"/>
      <c r="N672" s="2420"/>
      <c r="O672" s="2420"/>
      <c r="P672" s="2420"/>
      <c r="Q672" s="2420"/>
      <c r="R672" s="2420"/>
      <c r="S672" s="2420"/>
      <c r="T672" s="2420"/>
      <c r="U672" s="2420"/>
      <c r="V672" s="2420"/>
      <c r="W672" s="2420"/>
      <c r="X672" s="2420"/>
      <c r="Y672" s="2420"/>
      <c r="Z672" s="2420"/>
      <c r="AA672" s="2420"/>
      <c r="AB672" s="2420"/>
      <c r="AC672" s="2420"/>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1597</v>
      </c>
      <c r="E674" s="976"/>
      <c r="F674" s="976"/>
      <c r="G674" s="976"/>
      <c r="H674" s="2449" t="s">
        <v>535</v>
      </c>
      <c r="I674" s="2449"/>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1625</v>
      </c>
      <c r="AJ676" s="2399">
        <f>VLOOKUP($H$674,$AO$622:$AP$629,2,FALSE)</f>
        <v>4</v>
      </c>
      <c r="AK676" s="2401"/>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1626</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420" t="s">
        <v>2007</v>
      </c>
      <c r="F680" s="2420"/>
      <c r="G680" s="2420"/>
      <c r="H680" s="2420"/>
      <c r="I680" s="2420"/>
      <c r="J680" s="2420"/>
      <c r="K680" s="2420"/>
      <c r="L680" s="2420"/>
      <c r="M680" s="2420"/>
      <c r="N680" s="2420"/>
      <c r="O680" s="2420"/>
      <c r="P680" s="2420"/>
      <c r="Q680" s="2420"/>
      <c r="R680" s="2420"/>
      <c r="S680" s="2420"/>
      <c r="T680" s="2420"/>
      <c r="U680" s="2420"/>
      <c r="V680" s="2420"/>
      <c r="W680" s="2420"/>
      <c r="X680" s="2420"/>
      <c r="Y680" s="2420"/>
      <c r="Z680" s="2420"/>
      <c r="AA680" s="2420"/>
      <c r="AB680" s="2420"/>
      <c r="AC680" s="574"/>
      <c r="AD680" s="574"/>
      <c r="AE680" s="574"/>
      <c r="AF680" s="2366" t="s">
        <v>1549</v>
      </c>
      <c r="AG680" s="2366"/>
      <c r="AH680" s="2366"/>
      <c r="AI680" s="2366"/>
      <c r="AJ680" s="2366"/>
      <c r="AK680" s="2366"/>
      <c r="AL680" s="2366"/>
      <c r="AN680" s="635"/>
    </row>
    <row r="681" spans="1:42" s="588" customFormat="1" ht="12.75" customHeight="1">
      <c r="B681" s="574"/>
      <c r="C681" s="980"/>
      <c r="D681" s="701"/>
      <c r="E681" s="2420"/>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c r="AA681" s="2420"/>
      <c r="AB681" s="2420"/>
      <c r="AC681" s="574"/>
      <c r="AD681" s="574"/>
      <c r="AE681" s="654"/>
      <c r="AF681" s="574"/>
      <c r="AG681" s="574"/>
      <c r="AH681" s="574"/>
      <c r="AI681" s="574"/>
      <c r="AJ681" s="574"/>
      <c r="AK681" s="574"/>
      <c r="AL681" s="574"/>
      <c r="AN681" s="635"/>
      <c r="AO681" s="2452"/>
      <c r="AP681" s="2452"/>
    </row>
    <row r="682" spans="1:42" s="588" customFormat="1" ht="12.75" customHeight="1">
      <c r="B682" s="574"/>
      <c r="C682" s="980"/>
      <c r="D682" s="701"/>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c r="AA682" s="2420"/>
      <c r="AB682" s="2420"/>
      <c r="AC682" s="574"/>
      <c r="AD682" s="574"/>
      <c r="AE682" s="654"/>
      <c r="AF682" s="654"/>
      <c r="AG682" s="654"/>
      <c r="AH682" s="654"/>
      <c r="AI682" s="654"/>
      <c r="AJ682" s="654"/>
      <c r="AK682" s="654"/>
      <c r="AL682" s="654"/>
      <c r="AN682" s="635"/>
    </row>
    <row r="683" spans="1:42" s="588" customFormat="1" ht="12.75" customHeight="1">
      <c r="B683" s="574"/>
      <c r="C683" s="980"/>
      <c r="D683" s="701"/>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c r="AA683" s="2420"/>
      <c r="AB683" s="2420"/>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420" t="s">
        <v>2009</v>
      </c>
      <c r="F685" s="2420"/>
      <c r="G685" s="2420"/>
      <c r="H685" s="2420"/>
      <c r="I685" s="2420"/>
      <c r="J685" s="2420"/>
      <c r="K685" s="2420"/>
      <c r="L685" s="2420"/>
      <c r="M685" s="2420"/>
      <c r="N685" s="2420"/>
      <c r="O685" s="2420"/>
      <c r="P685" s="2420"/>
      <c r="Q685" s="2420"/>
      <c r="R685" s="2420"/>
      <c r="S685" s="2420"/>
      <c r="T685" s="2420"/>
      <c r="U685" s="2420"/>
      <c r="V685" s="2420"/>
      <c r="W685" s="2420"/>
      <c r="X685" s="2420"/>
      <c r="Y685" s="2420"/>
      <c r="Z685" s="2420"/>
      <c r="AA685" s="2420"/>
      <c r="AB685" s="2420"/>
      <c r="AC685" s="574"/>
      <c r="AD685" s="574"/>
      <c r="AE685" s="574"/>
      <c r="AF685" s="2366" t="s">
        <v>1605</v>
      </c>
      <c r="AG685" s="2366"/>
      <c r="AH685" s="2366"/>
      <c r="AI685" s="2366"/>
      <c r="AJ685" s="2366"/>
      <c r="AK685" s="2366"/>
      <c r="AL685" s="2366"/>
      <c r="AN685" s="635"/>
      <c r="AO685" s="649" t="s">
        <v>535</v>
      </c>
      <c r="AP685" s="588">
        <v>1</v>
      </c>
    </row>
    <row r="686" spans="1:42" s="588" customFormat="1" ht="12" customHeight="1">
      <c r="B686" s="574"/>
      <c r="C686" s="971"/>
      <c r="D686" s="574"/>
      <c r="E686" s="2420"/>
      <c r="F686" s="2420"/>
      <c r="G686" s="2420"/>
      <c r="H686" s="2420"/>
      <c r="I686" s="2420"/>
      <c r="J686" s="2420"/>
      <c r="K686" s="2420"/>
      <c r="L686" s="2420"/>
      <c r="M686" s="2420"/>
      <c r="N686" s="2420"/>
      <c r="O686" s="2420"/>
      <c r="P686" s="2420"/>
      <c r="Q686" s="2420"/>
      <c r="R686" s="2420"/>
      <c r="S686" s="2420"/>
      <c r="T686" s="2420"/>
      <c r="U686" s="2420"/>
      <c r="V686" s="2420"/>
      <c r="W686" s="2420"/>
      <c r="X686" s="2420"/>
      <c r="Y686" s="2420"/>
      <c r="Z686" s="2420"/>
      <c r="AA686" s="2420"/>
      <c r="AB686" s="2420"/>
      <c r="AC686" s="574"/>
      <c r="AD686" s="574"/>
      <c r="AE686" s="654"/>
      <c r="AF686" s="574"/>
      <c r="AG686" s="574"/>
      <c r="AH686" s="574"/>
      <c r="AI686" s="574"/>
      <c r="AJ686" s="574"/>
      <c r="AK686" s="574"/>
      <c r="AL686" s="574"/>
      <c r="AN686" s="635"/>
    </row>
    <row r="687" spans="1:42" s="588" customFormat="1" ht="12" customHeight="1">
      <c r="B687" s="574"/>
      <c r="C687" s="971"/>
      <c r="D687" s="574"/>
      <c r="E687" s="2420"/>
      <c r="F687" s="2420"/>
      <c r="G687" s="2420"/>
      <c r="H687" s="2420"/>
      <c r="I687" s="2420"/>
      <c r="J687" s="2420"/>
      <c r="K687" s="2420"/>
      <c r="L687" s="2420"/>
      <c r="M687" s="2420"/>
      <c r="N687" s="2420"/>
      <c r="O687" s="2420"/>
      <c r="P687" s="2420"/>
      <c r="Q687" s="2420"/>
      <c r="R687" s="2420"/>
      <c r="S687" s="2420"/>
      <c r="T687" s="2420"/>
      <c r="U687" s="2420"/>
      <c r="V687" s="2420"/>
      <c r="W687" s="2420"/>
      <c r="X687" s="2420"/>
      <c r="Y687" s="2420"/>
      <c r="Z687" s="2420"/>
      <c r="AA687" s="2420"/>
      <c r="AB687" s="2420"/>
      <c r="AC687" s="574"/>
      <c r="AD687" s="574"/>
      <c r="AE687" s="654"/>
      <c r="AF687" s="574"/>
      <c r="AG687" s="574"/>
      <c r="AH687" s="574"/>
      <c r="AI687" s="574"/>
      <c r="AJ687" s="574"/>
      <c r="AK687" s="574"/>
      <c r="AL687" s="574"/>
      <c r="AN687" s="635"/>
    </row>
    <row r="688" spans="1:42" s="608" customFormat="1" ht="12" customHeight="1">
      <c r="A688" s="588"/>
      <c r="B688" s="574"/>
      <c r="C688" s="971"/>
      <c r="D688" s="574"/>
      <c r="E688" s="2420"/>
      <c r="F688" s="2420"/>
      <c r="G688" s="2420"/>
      <c r="H688" s="2420"/>
      <c r="I688" s="2420"/>
      <c r="J688" s="2420"/>
      <c r="K688" s="2420"/>
      <c r="L688" s="2420"/>
      <c r="M688" s="2420"/>
      <c r="N688" s="2420"/>
      <c r="O688" s="2420"/>
      <c r="P688" s="2420"/>
      <c r="Q688" s="2420"/>
      <c r="R688" s="2420"/>
      <c r="S688" s="2420"/>
      <c r="T688" s="2420"/>
      <c r="U688" s="2420"/>
      <c r="V688" s="2420"/>
      <c r="W688" s="2420"/>
      <c r="X688" s="2420"/>
      <c r="Y688" s="2420"/>
      <c r="Z688" s="2420"/>
      <c r="AA688" s="2420"/>
      <c r="AB688" s="2420"/>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20" t="s">
        <v>2008</v>
      </c>
      <c r="F690" s="2420"/>
      <c r="G690" s="2420"/>
      <c r="H690" s="2420"/>
      <c r="I690" s="2420"/>
      <c r="J690" s="2420"/>
      <c r="K690" s="2420"/>
      <c r="L690" s="2420"/>
      <c r="M690" s="2420"/>
      <c r="N690" s="2420"/>
      <c r="O690" s="2420"/>
      <c r="P690" s="2420"/>
      <c r="Q690" s="2420"/>
      <c r="R690" s="2420"/>
      <c r="S690" s="2420"/>
      <c r="T690" s="2420"/>
      <c r="U690" s="2420"/>
      <c r="V690" s="2420"/>
      <c r="W690" s="2420"/>
      <c r="X690" s="2420"/>
      <c r="Y690" s="2420"/>
      <c r="Z690" s="2420"/>
      <c r="AA690" s="2420"/>
      <c r="AB690" s="2420"/>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20"/>
      <c r="F691" s="2420"/>
      <c r="G691" s="2420"/>
      <c r="H691" s="2420"/>
      <c r="I691" s="2420"/>
      <c r="J691" s="2420"/>
      <c r="K691" s="2420"/>
      <c r="L691" s="2420"/>
      <c r="M691" s="2420"/>
      <c r="N691" s="2420"/>
      <c r="O691" s="2420"/>
      <c r="P691" s="2420"/>
      <c r="Q691" s="2420"/>
      <c r="R691" s="2420"/>
      <c r="S691" s="2420"/>
      <c r="T691" s="2420"/>
      <c r="U691" s="2420"/>
      <c r="V691" s="2420"/>
      <c r="W691" s="2420"/>
      <c r="X691" s="2420"/>
      <c r="Y691" s="2420"/>
      <c r="Z691" s="2420"/>
      <c r="AA691" s="2420"/>
      <c r="AB691" s="2420"/>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20"/>
      <c r="F692" s="2420"/>
      <c r="G692" s="2420"/>
      <c r="H692" s="2420"/>
      <c r="I692" s="2420"/>
      <c r="J692" s="2420"/>
      <c r="K692" s="2420"/>
      <c r="L692" s="2420"/>
      <c r="M692" s="2420"/>
      <c r="N692" s="2420"/>
      <c r="O692" s="2420"/>
      <c r="P692" s="2420"/>
      <c r="Q692" s="2420"/>
      <c r="R692" s="2420"/>
      <c r="S692" s="2420"/>
      <c r="T692" s="2420"/>
      <c r="U692" s="2420"/>
      <c r="V692" s="2420"/>
      <c r="W692" s="2420"/>
      <c r="X692" s="2420"/>
      <c r="Y692" s="2420"/>
      <c r="Z692" s="2420"/>
      <c r="AA692" s="2420"/>
      <c r="AB692" s="2420"/>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1597</v>
      </c>
      <c r="E694" s="976"/>
      <c r="F694" s="976"/>
      <c r="G694" s="976"/>
      <c r="H694" s="2449" t="s">
        <v>618</v>
      </c>
      <c r="I694" s="2449"/>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1627</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1602</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1628</v>
      </c>
      <c r="AJ696" s="2399">
        <f>VLOOKUP($H$694,$AO$641:$AP$643,2,FALSE)</f>
        <v>0</v>
      </c>
      <c r="AK696" s="2401"/>
      <c r="AL696" s="633"/>
      <c r="AM696" s="588"/>
      <c r="AN696" s="722"/>
      <c r="AP696" s="608" t="s">
        <v>1609</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1629</v>
      </c>
    </row>
    <row r="698" spans="1:42" s="608" customFormat="1" ht="12.75" customHeight="1">
      <c r="A698" s="588"/>
      <c r="B698" s="574"/>
      <c r="C698" s="577" t="s">
        <v>1630</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1631</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1632</v>
      </c>
    </row>
    <row r="700" spans="1:42" s="608" customFormat="1" ht="12.75" customHeight="1">
      <c r="A700" s="675"/>
      <c r="B700" s="574"/>
      <c r="C700" s="971"/>
      <c r="D700" s="701" t="s">
        <v>715</v>
      </c>
      <c r="E700" s="2453" t="s">
        <v>2011</v>
      </c>
      <c r="F700" s="2453"/>
      <c r="G700" s="2453"/>
      <c r="H700" s="2453"/>
      <c r="I700" s="2453"/>
      <c r="J700" s="2453"/>
      <c r="K700" s="2453"/>
      <c r="L700" s="2453"/>
      <c r="M700" s="2453"/>
      <c r="N700" s="2453"/>
      <c r="O700" s="2453"/>
      <c r="P700" s="2453"/>
      <c r="Q700" s="2453"/>
      <c r="R700" s="2453"/>
      <c r="S700" s="2453"/>
      <c r="T700" s="2453"/>
      <c r="U700" s="2453"/>
      <c r="V700" s="2453"/>
      <c r="W700" s="2453"/>
      <c r="X700" s="2453"/>
      <c r="Y700" s="2453"/>
      <c r="Z700" s="2453"/>
      <c r="AA700" s="2453"/>
      <c r="AB700" s="2453"/>
      <c r="AC700" s="574"/>
      <c r="AD700" s="574"/>
      <c r="AE700" s="574"/>
      <c r="AF700" s="2366" t="s">
        <v>1549</v>
      </c>
      <c r="AG700" s="2366"/>
      <c r="AH700" s="2366"/>
      <c r="AI700" s="2366"/>
      <c r="AJ700" s="2366"/>
      <c r="AK700" s="2366"/>
      <c r="AL700" s="2366"/>
      <c r="AM700" s="588"/>
      <c r="AN700" s="722"/>
      <c r="AP700" s="608" t="s">
        <v>1633</v>
      </c>
    </row>
    <row r="701" spans="1:42" s="608" customFormat="1" ht="11.85" customHeight="1">
      <c r="A701" s="588"/>
      <c r="B701" s="574"/>
      <c r="C701" s="973"/>
      <c r="D701" s="701"/>
      <c r="E701" s="2453"/>
      <c r="F701" s="2453"/>
      <c r="G701" s="2453"/>
      <c r="H701" s="2453"/>
      <c r="I701" s="2453"/>
      <c r="J701" s="2453"/>
      <c r="K701" s="2453"/>
      <c r="L701" s="2453"/>
      <c r="M701" s="2453"/>
      <c r="N701" s="2453"/>
      <c r="O701" s="2453"/>
      <c r="P701" s="2453"/>
      <c r="Q701" s="2453"/>
      <c r="R701" s="2453"/>
      <c r="S701" s="2453"/>
      <c r="T701" s="2453"/>
      <c r="U701" s="2453"/>
      <c r="V701" s="2453"/>
      <c r="W701" s="2453"/>
      <c r="X701" s="2453"/>
      <c r="Y701" s="2453"/>
      <c r="Z701" s="2453"/>
      <c r="AA701" s="2453"/>
      <c r="AB701" s="2453"/>
      <c r="AC701" s="574"/>
      <c r="AD701" s="574"/>
      <c r="AE701" s="574"/>
      <c r="AF701" s="574"/>
      <c r="AG701" s="574"/>
      <c r="AH701" s="574"/>
      <c r="AI701" s="574"/>
      <c r="AJ701" s="574"/>
      <c r="AK701" s="574"/>
      <c r="AL701" s="574"/>
      <c r="AM701" s="588"/>
      <c r="AN701" s="722"/>
      <c r="AP701" s="608" t="s">
        <v>1634</v>
      </c>
    </row>
    <row r="702" spans="1:42" s="608" customFormat="1" ht="13.9" customHeight="1">
      <c r="A702" s="588"/>
      <c r="B702" s="648"/>
      <c r="C702" s="971"/>
      <c r="D702" s="701"/>
      <c r="E702" s="2453"/>
      <c r="F702" s="2453"/>
      <c r="G702" s="2453"/>
      <c r="H702" s="2453"/>
      <c r="I702" s="2453"/>
      <c r="J702" s="2453"/>
      <c r="K702" s="2453"/>
      <c r="L702" s="2453"/>
      <c r="M702" s="2453"/>
      <c r="N702" s="2453"/>
      <c r="O702" s="2453"/>
      <c r="P702" s="2453"/>
      <c r="Q702" s="2453"/>
      <c r="R702" s="2453"/>
      <c r="S702" s="2453"/>
      <c r="T702" s="2453"/>
      <c r="U702" s="2453"/>
      <c r="V702" s="2453"/>
      <c r="W702" s="2453"/>
      <c r="X702" s="2453"/>
      <c r="Y702" s="2453"/>
      <c r="Z702" s="2453"/>
      <c r="AA702" s="2453"/>
      <c r="AB702" s="2453"/>
      <c r="AC702" s="574"/>
      <c r="AD702" s="574"/>
      <c r="AE702" s="654"/>
      <c r="AF702" s="574"/>
      <c r="AG702" s="574"/>
      <c r="AH702" s="574"/>
      <c r="AI702" s="574"/>
      <c r="AJ702" s="574"/>
      <c r="AK702" s="574"/>
      <c r="AL702" s="574"/>
      <c r="AM702" s="588"/>
      <c r="AN702" s="722"/>
      <c r="AP702" s="608" t="s">
        <v>1635</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1637</v>
      </c>
    </row>
    <row r="704" spans="1:42" s="608" customFormat="1" ht="13.9" customHeight="1">
      <c r="A704" s="588"/>
      <c r="B704" s="574"/>
      <c r="C704" s="971"/>
      <c r="D704" s="701" t="s">
        <v>535</v>
      </c>
      <c r="E704" s="2454" t="s">
        <v>1636</v>
      </c>
      <c r="F704" s="2454"/>
      <c r="G704" s="2454"/>
      <c r="H704" s="2454"/>
      <c r="I704" s="2454"/>
      <c r="J704" s="2454"/>
      <c r="K704" s="2454"/>
      <c r="L704" s="2454"/>
      <c r="M704" s="2454"/>
      <c r="N704" s="2454"/>
      <c r="O704" s="2454"/>
      <c r="P704" s="2454"/>
      <c r="Q704" s="2454"/>
      <c r="R704" s="2454"/>
      <c r="S704" s="2454"/>
      <c r="T704" s="2454"/>
      <c r="U704" s="2454"/>
      <c r="V704" s="2454"/>
      <c r="W704" s="2454"/>
      <c r="X704" s="2454"/>
      <c r="Y704" s="2454"/>
      <c r="Z704" s="2454"/>
      <c r="AA704" s="2454"/>
      <c r="AB704" s="2454"/>
      <c r="AC704" s="574"/>
      <c r="AD704" s="574"/>
      <c r="AE704" s="574"/>
      <c r="AF704" s="2366" t="s">
        <v>1605</v>
      </c>
      <c r="AG704" s="2366"/>
      <c r="AH704" s="2366"/>
      <c r="AI704" s="2366"/>
      <c r="AJ704" s="2366"/>
      <c r="AK704" s="2366"/>
      <c r="AL704" s="2366"/>
      <c r="AM704" s="588"/>
      <c r="AN704" s="723"/>
    </row>
    <row r="705" spans="1:52" s="608" customFormat="1" ht="12.75" customHeight="1">
      <c r="A705" s="588"/>
      <c r="B705" s="574"/>
      <c r="C705" s="973"/>
      <c r="D705" s="574"/>
      <c r="E705" s="2454"/>
      <c r="F705" s="2454"/>
      <c r="G705" s="2454"/>
      <c r="H705" s="2454"/>
      <c r="I705" s="2454"/>
      <c r="J705" s="2454"/>
      <c r="K705" s="2454"/>
      <c r="L705" s="2454"/>
      <c r="M705" s="2454"/>
      <c r="N705" s="2454"/>
      <c r="O705" s="2454"/>
      <c r="P705" s="2454"/>
      <c r="Q705" s="2454"/>
      <c r="R705" s="2454"/>
      <c r="S705" s="2454"/>
      <c r="T705" s="2454"/>
      <c r="U705" s="2454"/>
      <c r="V705" s="2454"/>
      <c r="W705" s="2454"/>
      <c r="X705" s="2454"/>
      <c r="Y705" s="2454"/>
      <c r="Z705" s="2454"/>
      <c r="AA705" s="2454"/>
      <c r="AB705" s="2454"/>
      <c r="AC705" s="574"/>
      <c r="AD705" s="574"/>
      <c r="AE705" s="574"/>
      <c r="AF705" s="574"/>
      <c r="AG705" s="574"/>
      <c r="AH705" s="574"/>
      <c r="AI705" s="574"/>
      <c r="AJ705" s="574"/>
      <c r="AK705" s="574"/>
      <c r="AL705" s="574"/>
      <c r="AM705" s="588"/>
      <c r="AN705" s="722"/>
      <c r="AP705" s="588" t="s">
        <v>618</v>
      </c>
      <c r="AQ705" s="711">
        <v>0</v>
      </c>
    </row>
    <row r="706" spans="1:52" s="608" customFormat="1" ht="13.9" customHeight="1">
      <c r="A706" s="588"/>
      <c r="B706" s="574"/>
      <c r="C706" s="973"/>
      <c r="D706" s="574"/>
      <c r="E706" s="2454"/>
      <c r="F706" s="2454"/>
      <c r="G706" s="2454"/>
      <c r="H706" s="2454"/>
      <c r="I706" s="2454"/>
      <c r="J706" s="2454"/>
      <c r="K706" s="2454"/>
      <c r="L706" s="2454"/>
      <c r="M706" s="2454"/>
      <c r="N706" s="2454"/>
      <c r="O706" s="2454"/>
      <c r="P706" s="2454"/>
      <c r="Q706" s="2454"/>
      <c r="R706" s="2454"/>
      <c r="S706" s="2454"/>
      <c r="T706" s="2454"/>
      <c r="U706" s="2454"/>
      <c r="V706" s="2454"/>
      <c r="W706" s="2454"/>
      <c r="X706" s="2454"/>
      <c r="Y706" s="2454"/>
      <c r="Z706" s="2454"/>
      <c r="AA706" s="2454"/>
      <c r="AB706" s="2454"/>
      <c r="AC706" s="574"/>
      <c r="AD706" s="574"/>
      <c r="AE706" s="574"/>
      <c r="AF706" s="574"/>
      <c r="AG706" s="574"/>
      <c r="AH706" s="574"/>
      <c r="AI706" s="574"/>
      <c r="AJ706" s="574"/>
      <c r="AK706" s="574"/>
      <c r="AL706" s="574"/>
      <c r="AM706" s="588"/>
      <c r="AN706" s="722"/>
      <c r="AP706" s="649" t="s">
        <v>715</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3.9" customHeight="1">
      <c r="A708" s="588"/>
      <c r="B708" s="574"/>
      <c r="C708" s="973"/>
      <c r="D708" s="574" t="s">
        <v>1597</v>
      </c>
      <c r="E708" s="976"/>
      <c r="F708" s="976"/>
      <c r="G708" s="976"/>
      <c r="H708" s="2449" t="s">
        <v>618</v>
      </c>
      <c r="I708" s="2449"/>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1638</v>
      </c>
      <c r="AJ710" s="2399">
        <f>VLOOKUP($H$708,$AO$641:$AP$643,2,FALSE)</f>
        <v>0</v>
      </c>
      <c r="AK710" s="2401"/>
      <c r="AL710" s="633"/>
      <c r="AM710" s="588"/>
      <c r="AN710" s="722"/>
      <c r="AP710" s="2399"/>
      <c r="AQ710" s="2401"/>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1639</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420" t="s">
        <v>2012</v>
      </c>
      <c r="F714" s="2420"/>
      <c r="G714" s="2420"/>
      <c r="H714" s="2420"/>
      <c r="I714" s="2420"/>
      <c r="J714" s="2420"/>
      <c r="K714" s="2420"/>
      <c r="L714" s="2420"/>
      <c r="M714" s="2420"/>
      <c r="N714" s="2420"/>
      <c r="O714" s="2420"/>
      <c r="P714" s="2420"/>
      <c r="Q714" s="2420"/>
      <c r="R714" s="2420"/>
      <c r="S714" s="2420"/>
      <c r="T714" s="2420"/>
      <c r="U714" s="2420"/>
      <c r="V714" s="2420"/>
      <c r="W714" s="2420"/>
      <c r="X714" s="2420"/>
      <c r="Y714" s="2420"/>
      <c r="Z714" s="2420"/>
      <c r="AA714" s="2420"/>
      <c r="AB714" s="2420"/>
      <c r="AC714" s="574"/>
      <c r="AD714" s="574"/>
      <c r="AE714" s="574"/>
      <c r="AF714" s="2366" t="s">
        <v>1549</v>
      </c>
      <c r="AG714" s="2366"/>
      <c r="AH714" s="2366"/>
      <c r="AI714" s="2366"/>
      <c r="AJ714" s="2366"/>
      <c r="AK714" s="2366"/>
      <c r="AL714" s="2366"/>
      <c r="AM714" s="588"/>
      <c r="AN714" s="722"/>
      <c r="AT714" s="14"/>
      <c r="AU714" s="14"/>
      <c r="AV714" s="14"/>
      <c r="AW714" s="14"/>
      <c r="AX714" s="14"/>
      <c r="AY714" s="14"/>
      <c r="AZ714" s="14"/>
    </row>
    <row r="715" spans="1:52" s="608" customFormat="1">
      <c r="A715" s="588"/>
      <c r="B715" s="574"/>
      <c r="C715" s="973"/>
      <c r="D715" s="701"/>
      <c r="E715" s="2420"/>
      <c r="F715" s="2420"/>
      <c r="G715" s="2420"/>
      <c r="H715" s="2420"/>
      <c r="I715" s="2420"/>
      <c r="J715" s="2420"/>
      <c r="K715" s="2420"/>
      <c r="L715" s="2420"/>
      <c r="M715" s="2420"/>
      <c r="N715" s="2420"/>
      <c r="O715" s="2420"/>
      <c r="P715" s="2420"/>
      <c r="Q715" s="2420"/>
      <c r="R715" s="2420"/>
      <c r="S715" s="2420"/>
      <c r="T715" s="2420"/>
      <c r="U715" s="2420"/>
      <c r="V715" s="2420"/>
      <c r="W715" s="2420"/>
      <c r="X715" s="2420"/>
      <c r="Y715" s="2420"/>
      <c r="Z715" s="2420"/>
      <c r="AA715" s="2420"/>
      <c r="AB715" s="2420"/>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420" t="s">
        <v>1640</v>
      </c>
      <c r="F717" s="2420"/>
      <c r="G717" s="2420"/>
      <c r="H717" s="2420"/>
      <c r="I717" s="2420"/>
      <c r="J717" s="2420"/>
      <c r="K717" s="2420"/>
      <c r="L717" s="2420"/>
      <c r="M717" s="2420"/>
      <c r="N717" s="2420"/>
      <c r="O717" s="2420"/>
      <c r="P717" s="2420"/>
      <c r="Q717" s="2420"/>
      <c r="R717" s="2420"/>
      <c r="S717" s="2420"/>
      <c r="T717" s="2420"/>
      <c r="U717" s="2420"/>
      <c r="V717" s="2420"/>
      <c r="W717" s="2420"/>
      <c r="X717" s="2420"/>
      <c r="Y717" s="2420"/>
      <c r="Z717" s="2420"/>
      <c r="AA717" s="2420"/>
      <c r="AB717" s="2420"/>
      <c r="AC717" s="574"/>
      <c r="AD717" s="574"/>
      <c r="AE717" s="574"/>
      <c r="AF717" s="2366" t="s">
        <v>1605</v>
      </c>
      <c r="AG717" s="2366"/>
      <c r="AH717" s="2366"/>
      <c r="AI717" s="2366"/>
      <c r="AJ717" s="2366"/>
      <c r="AK717" s="2366"/>
      <c r="AL717" s="2366"/>
      <c r="AM717" s="588"/>
      <c r="AN717" s="722"/>
      <c r="AT717" s="14"/>
      <c r="AU717" s="14"/>
      <c r="AV717" s="14"/>
      <c r="AW717" s="14"/>
      <c r="AX717" s="14"/>
      <c r="AY717" s="14"/>
      <c r="AZ717" s="14"/>
    </row>
    <row r="718" spans="1:52" s="608" customFormat="1">
      <c r="A718" s="588"/>
      <c r="B718" s="574"/>
      <c r="C718" s="973"/>
      <c r="D718" s="574"/>
      <c r="E718" s="2420"/>
      <c r="F718" s="2420"/>
      <c r="G718" s="2420"/>
      <c r="H718" s="2420"/>
      <c r="I718" s="2420"/>
      <c r="J718" s="2420"/>
      <c r="K718" s="2420"/>
      <c r="L718" s="2420"/>
      <c r="M718" s="2420"/>
      <c r="N718" s="2420"/>
      <c r="O718" s="2420"/>
      <c r="P718" s="2420"/>
      <c r="Q718" s="2420"/>
      <c r="R718" s="2420"/>
      <c r="S718" s="2420"/>
      <c r="T718" s="2420"/>
      <c r="U718" s="2420"/>
      <c r="V718" s="2420"/>
      <c r="W718" s="2420"/>
      <c r="X718" s="2420"/>
      <c r="Y718" s="2420"/>
      <c r="Z718" s="2420"/>
      <c r="AA718" s="2420"/>
      <c r="AB718" s="2420"/>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1597</v>
      </c>
      <c r="E720" s="976"/>
      <c r="F720" s="976"/>
      <c r="G720" s="976"/>
      <c r="H720" s="2449" t="s">
        <v>618</v>
      </c>
      <c r="I720" s="2449"/>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1641</v>
      </c>
      <c r="AJ722" s="2399">
        <f>VLOOKUP($H$720,$AO$655:$AP$657,2,FALSE)</f>
        <v>0</v>
      </c>
      <c r="AK722" s="2401"/>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1642</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420" t="s">
        <v>1643</v>
      </c>
      <c r="F726" s="2420"/>
      <c r="G726" s="2420"/>
      <c r="H726" s="2420"/>
      <c r="I726" s="2420"/>
      <c r="J726" s="2420"/>
      <c r="K726" s="2420"/>
      <c r="L726" s="2420"/>
      <c r="M726" s="2420"/>
      <c r="N726" s="2420"/>
      <c r="O726" s="2420"/>
      <c r="P726" s="2420"/>
      <c r="Q726" s="2420"/>
      <c r="R726" s="2420"/>
      <c r="S726" s="2420"/>
      <c r="T726" s="2420"/>
      <c r="U726" s="2420"/>
      <c r="V726" s="2420"/>
      <c r="W726" s="2420"/>
      <c r="X726" s="2420"/>
      <c r="Y726" s="2420"/>
      <c r="Z726" s="2420"/>
      <c r="AA726" s="2420"/>
      <c r="AB726" s="2420"/>
      <c r="AC726" s="574"/>
      <c r="AD726" s="574"/>
      <c r="AE726" s="574"/>
      <c r="AF726" s="2366" t="s">
        <v>1549</v>
      </c>
      <c r="AG726" s="2366"/>
      <c r="AH726" s="2366"/>
      <c r="AI726" s="2366"/>
      <c r="AJ726" s="2366"/>
      <c r="AK726" s="2366"/>
      <c r="AL726" s="2366"/>
      <c r="AM726" s="588"/>
      <c r="AN726" s="722"/>
      <c r="AT726" s="14"/>
      <c r="AU726" s="14"/>
      <c r="AV726" s="14"/>
      <c r="AW726" s="14"/>
      <c r="AX726" s="14"/>
      <c r="AY726" s="14"/>
      <c r="AZ726" s="14"/>
    </row>
    <row r="727" spans="1:81" s="608" customFormat="1">
      <c r="A727" s="588"/>
      <c r="B727" s="574"/>
      <c r="C727" s="971"/>
      <c r="D727" s="701"/>
      <c r="E727" s="2420"/>
      <c r="F727" s="2420"/>
      <c r="G727" s="2420"/>
      <c r="H727" s="2420"/>
      <c r="I727" s="2420"/>
      <c r="J727" s="2420"/>
      <c r="K727" s="2420"/>
      <c r="L727" s="2420"/>
      <c r="M727" s="2420"/>
      <c r="N727" s="2420"/>
      <c r="O727" s="2420"/>
      <c r="P727" s="2420"/>
      <c r="Q727" s="2420"/>
      <c r="R727" s="2420"/>
      <c r="S727" s="2420"/>
      <c r="T727" s="2420"/>
      <c r="U727" s="2420"/>
      <c r="V727" s="2420"/>
      <c r="W727" s="2420"/>
      <c r="X727" s="2420"/>
      <c r="Y727" s="2420"/>
      <c r="Z727" s="2420"/>
      <c r="AA727" s="2420"/>
      <c r="AB727" s="2420"/>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420"/>
      <c r="F728" s="2420"/>
      <c r="G728" s="2420"/>
      <c r="H728" s="2420"/>
      <c r="I728" s="2420"/>
      <c r="J728" s="2420"/>
      <c r="K728" s="2420"/>
      <c r="L728" s="2420"/>
      <c r="M728" s="2420"/>
      <c r="N728" s="2420"/>
      <c r="O728" s="2420"/>
      <c r="P728" s="2420"/>
      <c r="Q728" s="2420"/>
      <c r="R728" s="2420"/>
      <c r="S728" s="2420"/>
      <c r="T728" s="2420"/>
      <c r="U728" s="2420"/>
      <c r="V728" s="2420"/>
      <c r="W728" s="2420"/>
      <c r="X728" s="2420"/>
      <c r="Y728" s="2420"/>
      <c r="Z728" s="2420"/>
      <c r="AA728" s="2420"/>
      <c r="AB728" s="2420"/>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20"/>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c r="AA729" s="2420"/>
      <c r="AB729" s="2420"/>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420" t="s">
        <v>1644</v>
      </c>
      <c r="F731" s="2420"/>
      <c r="G731" s="2420"/>
      <c r="H731" s="2420"/>
      <c r="I731" s="2420"/>
      <c r="J731" s="2420"/>
      <c r="K731" s="2420"/>
      <c r="L731" s="2420"/>
      <c r="M731" s="2420"/>
      <c r="N731" s="2420"/>
      <c r="O731" s="2420"/>
      <c r="P731" s="2420"/>
      <c r="Q731" s="2420"/>
      <c r="R731" s="2420"/>
      <c r="S731" s="2420"/>
      <c r="T731" s="2420"/>
      <c r="U731" s="2420"/>
      <c r="V731" s="2420"/>
      <c r="W731" s="2420"/>
      <c r="X731" s="2420"/>
      <c r="Y731" s="2420"/>
      <c r="Z731" s="2420"/>
      <c r="AA731" s="2420"/>
      <c r="AB731" s="613"/>
      <c r="AC731" s="574"/>
      <c r="AD731" s="574"/>
      <c r="AE731" s="574"/>
      <c r="AF731" s="2366" t="s">
        <v>1605</v>
      </c>
      <c r="AG731" s="2366"/>
      <c r="AH731" s="2366"/>
      <c r="AI731" s="2366"/>
      <c r="AJ731" s="2366"/>
      <c r="AK731" s="2366"/>
      <c r="AL731" s="2366"/>
      <c r="AM731" s="588"/>
      <c r="AN731" s="722"/>
      <c r="AO731" s="30"/>
      <c r="AP731" s="14"/>
    </row>
    <row r="732" spans="1:81" s="608" customFormat="1">
      <c r="A732" s="588"/>
      <c r="B732" s="574"/>
      <c r="C732" s="971"/>
      <c r="D732" s="701"/>
      <c r="E732" s="2420"/>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c r="AA732" s="2420"/>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c r="AA733" s="2420"/>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420"/>
      <c r="F734" s="2420"/>
      <c r="G734" s="2420"/>
      <c r="H734" s="2420"/>
      <c r="I734" s="2420"/>
      <c r="J734" s="2420"/>
      <c r="K734" s="2420"/>
      <c r="L734" s="2420"/>
      <c r="M734" s="2420"/>
      <c r="N734" s="2420"/>
      <c r="O734" s="2420"/>
      <c r="P734" s="2420"/>
      <c r="Q734" s="2420"/>
      <c r="R734" s="2420"/>
      <c r="S734" s="2420"/>
      <c r="T734" s="2420"/>
      <c r="U734" s="2420"/>
      <c r="V734" s="2420"/>
      <c r="W734" s="2420"/>
      <c r="X734" s="2420"/>
      <c r="Y734" s="2420"/>
      <c r="Z734" s="2420"/>
      <c r="AA734" s="2420"/>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1597</v>
      </c>
      <c r="E736" s="976"/>
      <c r="F736" s="976"/>
      <c r="G736" s="976"/>
      <c r="H736" s="2449" t="s">
        <v>618</v>
      </c>
      <c r="I736" s="2449"/>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1645</v>
      </c>
      <c r="AJ738" s="2399">
        <f>VLOOKUP($H$736,$AO$669:$AP$671,2,FALSE)</f>
        <v>0</v>
      </c>
      <c r="AK738" s="2401"/>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1635</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420" t="s">
        <v>1646</v>
      </c>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c r="AA742" s="2420"/>
      <c r="AB742" s="2420"/>
      <c r="AC742" s="574"/>
      <c r="AD742" s="574"/>
      <c r="AE742" s="574"/>
      <c r="AF742" s="2366" t="s">
        <v>1605</v>
      </c>
      <c r="AG742" s="2366"/>
      <c r="AH742" s="2366"/>
      <c r="AI742" s="2366"/>
      <c r="AJ742" s="2366"/>
      <c r="AK742" s="2366"/>
      <c r="AL742" s="2366"/>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c r="AA743" s="2420"/>
      <c r="AB743" s="2420"/>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420" t="s">
        <v>1647</v>
      </c>
      <c r="F745" s="2420"/>
      <c r="G745" s="2420"/>
      <c r="H745" s="2420"/>
      <c r="I745" s="2420"/>
      <c r="J745" s="2420"/>
      <c r="K745" s="2420"/>
      <c r="L745" s="2420"/>
      <c r="M745" s="2420"/>
      <c r="N745" s="2420"/>
      <c r="O745" s="2420"/>
      <c r="P745" s="2420"/>
      <c r="Q745" s="2420"/>
      <c r="R745" s="2420"/>
      <c r="S745" s="2420"/>
      <c r="T745" s="2420"/>
      <c r="U745" s="2420"/>
      <c r="V745" s="2420"/>
      <c r="W745" s="2420"/>
      <c r="X745" s="2420"/>
      <c r="Y745" s="2420"/>
      <c r="Z745" s="2420"/>
      <c r="AA745" s="2420"/>
      <c r="AB745" s="2420"/>
      <c r="AC745" s="574"/>
      <c r="AD745" s="574"/>
      <c r="AE745" s="574"/>
      <c r="AF745" s="2366" t="s">
        <v>1624</v>
      </c>
      <c r="AG745" s="2366"/>
      <c r="AH745" s="2366"/>
      <c r="AI745" s="2366"/>
      <c r="AJ745" s="2366"/>
      <c r="AK745" s="2366"/>
      <c r="AL745" s="2366"/>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20"/>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c r="AA746" s="2420"/>
      <c r="AB746" s="2420"/>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1597</v>
      </c>
      <c r="E748" s="976"/>
      <c r="F748" s="976"/>
      <c r="G748" s="976"/>
      <c r="H748" s="2449" t="s">
        <v>715</v>
      </c>
      <c r="I748" s="2449"/>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1648</v>
      </c>
      <c r="AJ750" s="2399">
        <f>VLOOKUP($H$748,$AO$683:$AP$685,2,FALSE)</f>
        <v>2</v>
      </c>
      <c r="AK750" s="2401"/>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1637</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420" t="s">
        <v>2006</v>
      </c>
      <c r="F754" s="2420"/>
      <c r="G754" s="2420"/>
      <c r="H754" s="2420"/>
      <c r="I754" s="2420"/>
      <c r="J754" s="2420"/>
      <c r="K754" s="2420"/>
      <c r="L754" s="2420"/>
      <c r="M754" s="2420"/>
      <c r="N754" s="2420"/>
      <c r="O754" s="2420"/>
      <c r="P754" s="2420"/>
      <c r="Q754" s="2420"/>
      <c r="R754" s="2420"/>
      <c r="S754" s="2420"/>
      <c r="T754" s="2420"/>
      <c r="U754" s="2420"/>
      <c r="V754" s="2420"/>
      <c r="W754" s="2420"/>
      <c r="X754" s="2420"/>
      <c r="Y754" s="2420"/>
      <c r="Z754" s="2420"/>
      <c r="AA754" s="2420"/>
      <c r="AB754" s="2420"/>
      <c r="AC754" s="2420"/>
      <c r="AD754" s="2420"/>
      <c r="AE754" s="574"/>
      <c r="AF754" s="2366" t="s">
        <v>1605</v>
      </c>
      <c r="AG754" s="2366"/>
      <c r="AH754" s="2366"/>
      <c r="AI754" s="2366"/>
      <c r="AJ754" s="2366"/>
      <c r="AK754" s="2366"/>
      <c r="AL754" s="2366"/>
      <c r="AM754" s="651"/>
      <c r="AN754" s="722"/>
    </row>
    <row r="755" spans="1:81" s="608" customFormat="1" ht="13.7" customHeight="1">
      <c r="A755" s="588"/>
      <c r="B755" s="654"/>
      <c r="C755" s="980"/>
      <c r="D755" s="701"/>
      <c r="E755" s="2420"/>
      <c r="F755" s="2420"/>
      <c r="G755" s="2420"/>
      <c r="H755" s="2420"/>
      <c r="I755" s="2420"/>
      <c r="J755" s="2420"/>
      <c r="K755" s="2420"/>
      <c r="L755" s="2420"/>
      <c r="M755" s="2420"/>
      <c r="N755" s="2420"/>
      <c r="O755" s="2420"/>
      <c r="P755" s="2420"/>
      <c r="Q755" s="2420"/>
      <c r="R755" s="2420"/>
      <c r="S755" s="2420"/>
      <c r="T755" s="2420"/>
      <c r="U755" s="2420"/>
      <c r="V755" s="2420"/>
      <c r="W755" s="2420"/>
      <c r="X755" s="2420"/>
      <c r="Y755" s="2420"/>
      <c r="Z755" s="2420"/>
      <c r="AA755" s="2420"/>
      <c r="AB755" s="2420"/>
      <c r="AC755" s="2420"/>
      <c r="AD755" s="2420"/>
      <c r="AE755" s="574"/>
      <c r="AF755" s="632"/>
      <c r="AG755" s="632"/>
      <c r="AH755" s="632"/>
      <c r="AI755" s="632"/>
      <c r="AJ755" s="632"/>
      <c r="AK755" s="632"/>
      <c r="AL755" s="632"/>
      <c r="AM755" s="651"/>
      <c r="AN755" s="722"/>
    </row>
    <row r="756" spans="1:81" s="608" customFormat="1">
      <c r="A756" s="588"/>
      <c r="B756" s="654"/>
      <c r="C756" s="980"/>
      <c r="D756" s="701"/>
      <c r="E756" s="2420"/>
      <c r="F756" s="2420"/>
      <c r="G756" s="2420"/>
      <c r="H756" s="2420"/>
      <c r="I756" s="2420"/>
      <c r="J756" s="2420"/>
      <c r="K756" s="2420"/>
      <c r="L756" s="2420"/>
      <c r="M756" s="2420"/>
      <c r="N756" s="2420"/>
      <c r="O756" s="2420"/>
      <c r="P756" s="2420"/>
      <c r="Q756" s="2420"/>
      <c r="R756" s="2420"/>
      <c r="S756" s="2420"/>
      <c r="T756" s="2420"/>
      <c r="U756" s="2420"/>
      <c r="V756" s="2420"/>
      <c r="W756" s="2420"/>
      <c r="X756" s="2420"/>
      <c r="Y756" s="2420"/>
      <c r="Z756" s="2420"/>
      <c r="AA756" s="2420"/>
      <c r="AB756" s="2420"/>
      <c r="AC756" s="2420"/>
      <c r="AD756" s="2420"/>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2420"/>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c r="AA757" s="2420"/>
      <c r="AB757" s="2420"/>
      <c r="AC757" s="2420"/>
      <c r="AD757" s="2420"/>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55" t="s">
        <v>2013</v>
      </c>
      <c r="F759" s="2455"/>
      <c r="G759" s="2455"/>
      <c r="H759" s="2455"/>
      <c r="I759" s="2455"/>
      <c r="J759" s="2455"/>
      <c r="K759" s="2455"/>
      <c r="L759" s="2455"/>
      <c r="M759" s="2455"/>
      <c r="N759" s="2455"/>
      <c r="O759" s="2455"/>
      <c r="P759" s="2455"/>
      <c r="Q759" s="2455"/>
      <c r="R759" s="2455"/>
      <c r="S759" s="2455"/>
      <c r="T759" s="2455"/>
      <c r="U759" s="2455"/>
      <c r="V759" s="2455"/>
      <c r="W759" s="2455"/>
      <c r="X759" s="2455"/>
      <c r="Y759" s="2455"/>
      <c r="Z759" s="2455"/>
      <c r="AA759" s="2455"/>
      <c r="AB759" s="2455"/>
      <c r="AC759" s="2455"/>
      <c r="AD759" s="2455"/>
      <c r="AE759" s="574"/>
      <c r="AF759" s="2366" t="s">
        <v>1549</v>
      </c>
      <c r="AG759" s="2366"/>
      <c r="AH759" s="2366"/>
      <c r="AI759" s="2366"/>
      <c r="AJ759" s="2366"/>
      <c r="AK759" s="2366"/>
      <c r="AL759" s="2366"/>
      <c r="AM759" s="651"/>
      <c r="AN759" s="635"/>
    </row>
    <row r="760" spans="1:81" s="588" customFormat="1" ht="12.75" customHeight="1">
      <c r="B760" s="654"/>
      <c r="C760" s="980"/>
      <c r="D760" s="701"/>
      <c r="E760" s="2455"/>
      <c r="F760" s="2455"/>
      <c r="G760" s="2455"/>
      <c r="H760" s="2455"/>
      <c r="I760" s="2455"/>
      <c r="J760" s="2455"/>
      <c r="K760" s="2455"/>
      <c r="L760" s="2455"/>
      <c r="M760" s="2455"/>
      <c r="N760" s="2455"/>
      <c r="O760" s="2455"/>
      <c r="P760" s="2455"/>
      <c r="Q760" s="2455"/>
      <c r="R760" s="2455"/>
      <c r="S760" s="2455"/>
      <c r="T760" s="2455"/>
      <c r="U760" s="2455"/>
      <c r="V760" s="2455"/>
      <c r="W760" s="2455"/>
      <c r="X760" s="2455"/>
      <c r="Y760" s="2455"/>
      <c r="Z760" s="2455"/>
      <c r="AA760" s="2455"/>
      <c r="AB760" s="2455"/>
      <c r="AC760" s="2455"/>
      <c r="AD760" s="2455"/>
      <c r="AE760" s="632"/>
      <c r="AF760" s="632"/>
      <c r="AG760" s="632"/>
      <c r="AH760" s="632"/>
      <c r="AI760" s="632"/>
      <c r="AJ760" s="632"/>
      <c r="AK760" s="632"/>
      <c r="AL760" s="632"/>
      <c r="AM760" s="651"/>
      <c r="AN760" s="635"/>
    </row>
    <row r="761" spans="1:81" s="588" customFormat="1" ht="12.75" customHeight="1">
      <c r="B761" s="654"/>
      <c r="C761" s="980"/>
      <c r="D761" s="701"/>
      <c r="E761" s="2455"/>
      <c r="F761" s="2455"/>
      <c r="G761" s="2455"/>
      <c r="H761" s="2455"/>
      <c r="I761" s="2455"/>
      <c r="J761" s="2455"/>
      <c r="K761" s="2455"/>
      <c r="L761" s="2455"/>
      <c r="M761" s="2455"/>
      <c r="N761" s="2455"/>
      <c r="O761" s="2455"/>
      <c r="P761" s="2455"/>
      <c r="Q761" s="2455"/>
      <c r="R761" s="2455"/>
      <c r="S761" s="2455"/>
      <c r="T761" s="2455"/>
      <c r="U761" s="2455"/>
      <c r="V761" s="2455"/>
      <c r="W761" s="2455"/>
      <c r="X761" s="2455"/>
      <c r="Y761" s="2455"/>
      <c r="Z761" s="2455"/>
      <c r="AA761" s="2455"/>
      <c r="AB761" s="2455"/>
      <c r="AC761" s="2455"/>
      <c r="AD761" s="2455"/>
      <c r="AE761" s="632"/>
      <c r="AF761" s="632"/>
      <c r="AG761" s="632"/>
      <c r="AH761" s="632"/>
      <c r="AI761" s="632"/>
      <c r="AJ761" s="632"/>
      <c r="AK761" s="632"/>
      <c r="AL761" s="632"/>
      <c r="AM761" s="651"/>
      <c r="AN761" s="635"/>
    </row>
    <row r="762" spans="1:81" s="588" customFormat="1" ht="12.75" customHeight="1">
      <c r="B762" s="654"/>
      <c r="C762" s="980"/>
      <c r="D762" s="701"/>
      <c r="E762" s="2455"/>
      <c r="F762" s="2455"/>
      <c r="G762" s="2455"/>
      <c r="H762" s="2455"/>
      <c r="I762" s="2455"/>
      <c r="J762" s="2455"/>
      <c r="K762" s="2455"/>
      <c r="L762" s="2455"/>
      <c r="M762" s="2455"/>
      <c r="N762" s="2455"/>
      <c r="O762" s="2455"/>
      <c r="P762" s="2455"/>
      <c r="Q762" s="2455"/>
      <c r="R762" s="2455"/>
      <c r="S762" s="2455"/>
      <c r="T762" s="2455"/>
      <c r="U762" s="2455"/>
      <c r="V762" s="2455"/>
      <c r="W762" s="2455"/>
      <c r="X762" s="2455"/>
      <c r="Y762" s="2455"/>
      <c r="Z762" s="2455"/>
      <c r="AA762" s="2455"/>
      <c r="AB762" s="2455"/>
      <c r="AC762" s="2455"/>
      <c r="AD762" s="2455"/>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1597</v>
      </c>
      <c r="E764" s="976"/>
      <c r="F764" s="976"/>
      <c r="G764" s="976"/>
      <c r="H764" s="2449" t="s">
        <v>618</v>
      </c>
      <c r="I764" s="2449"/>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1649</v>
      </c>
      <c r="AJ766" s="2399">
        <f>VLOOKUP($H$764,$AP$705:$AQ$707,2,FALSE)</f>
        <v>0</v>
      </c>
      <c r="AK766" s="2401"/>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1650</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420" t="s">
        <v>2501</v>
      </c>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c r="AA770" s="2420"/>
      <c r="AB770" s="2420"/>
      <c r="AC770" s="2420"/>
      <c r="AD770" s="2420"/>
      <c r="AE770" s="574"/>
      <c r="AF770" s="2366" t="s">
        <v>1549</v>
      </c>
      <c r="AG770" s="2366"/>
      <c r="AH770" s="2366"/>
      <c r="AI770" s="2366"/>
      <c r="AJ770" s="2366"/>
      <c r="AK770" s="2366"/>
      <c r="AL770" s="2366"/>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c r="AA771" s="2420"/>
      <c r="AB771" s="2420"/>
      <c r="AC771" s="2420"/>
      <c r="AD771" s="2420"/>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c r="AA772" s="2420"/>
      <c r="AB772" s="2420"/>
      <c r="AC772" s="2420"/>
      <c r="AD772" s="2420"/>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420"/>
      <c r="F773" s="2420"/>
      <c r="G773" s="2420"/>
      <c r="H773" s="2420"/>
      <c r="I773" s="2420"/>
      <c r="J773" s="2420"/>
      <c r="K773" s="2420"/>
      <c r="L773" s="2420"/>
      <c r="M773" s="2420"/>
      <c r="N773" s="2420"/>
      <c r="O773" s="2420"/>
      <c r="P773" s="2420"/>
      <c r="Q773" s="2420"/>
      <c r="R773" s="2420"/>
      <c r="S773" s="2420"/>
      <c r="T773" s="2420"/>
      <c r="U773" s="2420"/>
      <c r="V773" s="2420"/>
      <c r="W773" s="2420"/>
      <c r="X773" s="2420"/>
      <c r="Y773" s="2420"/>
      <c r="Z773" s="2420"/>
      <c r="AA773" s="2420"/>
      <c r="AB773" s="2420"/>
      <c r="AC773" s="2420"/>
      <c r="AD773" s="2420"/>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1597</v>
      </c>
      <c r="E775" s="976"/>
      <c r="F775" s="976"/>
      <c r="G775" s="976"/>
      <c r="H775" s="2449" t="s">
        <v>571</v>
      </c>
      <c r="I775" s="2449"/>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1651</v>
      </c>
      <c r="AJ777" s="2399">
        <f>VLOOKUP($H$775,$AO$769:$AP$770,2,FALSE)</f>
        <v>3</v>
      </c>
      <c r="AK777" s="2401"/>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1652</v>
      </c>
      <c r="AK779" s="2399">
        <f>IF(($AJ$610+$AJ$629+$AJ$641+$AJ$676+$AJ$696+$AJ$710+$AJ$722+$AJ$738+$AJ$750+$AJ$766+AJ777)&gt;10,10,($AJ$610+$AJ$629+$AJ$641+$AJ$676+$AJ$696+$AJ$710+$AJ$722+$AJ$738+$AJ$750+$AJ$766+AJ777))</f>
        <v>10</v>
      </c>
      <c r="AL779" s="2400"/>
      <c r="AM779" s="2401"/>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506" t="s">
        <v>1774</v>
      </c>
      <c r="B782" s="2507"/>
      <c r="C782" s="2507"/>
      <c r="D782" s="2507"/>
      <c r="E782" s="2507"/>
      <c r="F782" s="2507"/>
      <c r="G782" s="2507"/>
      <c r="H782" s="2507"/>
      <c r="I782" s="2507"/>
      <c r="J782" s="2507"/>
      <c r="K782" s="2507"/>
      <c r="L782" s="2507"/>
      <c r="M782" s="2507"/>
      <c r="N782" s="2507"/>
      <c r="O782" s="2507"/>
      <c r="P782" s="2507"/>
      <c r="Q782" s="2507"/>
      <c r="R782" s="2507"/>
      <c r="S782" s="2507"/>
      <c r="T782" s="2507"/>
      <c r="U782" s="2507"/>
      <c r="V782" s="2507"/>
      <c r="W782" s="2507"/>
      <c r="X782" s="2507"/>
      <c r="Y782" s="2507"/>
      <c r="Z782" s="2507"/>
      <c r="AA782" s="2507"/>
      <c r="AB782" s="2507"/>
      <c r="AC782" s="2507"/>
      <c r="AD782" s="2507"/>
      <c r="AE782" s="2507"/>
      <c r="AF782" s="2507"/>
      <c r="AG782" s="2507"/>
      <c r="AH782" s="2507"/>
      <c r="AI782" s="2507"/>
      <c r="AJ782" s="2507"/>
      <c r="AK782" s="2507"/>
      <c r="AL782" s="2507"/>
      <c r="AM782" s="2507"/>
    </row>
    <row r="783" spans="1:81">
      <c r="A783" s="2508"/>
      <c r="B783" s="2508"/>
      <c r="C783" s="2508"/>
      <c r="D783" s="2508"/>
      <c r="E783" s="2508"/>
      <c r="F783" s="2508"/>
      <c r="G783" s="2508"/>
      <c r="H783" s="2508"/>
      <c r="I783" s="2508"/>
      <c r="J783" s="2508"/>
      <c r="K783" s="2508"/>
      <c r="L783" s="2508"/>
      <c r="M783" s="2508"/>
      <c r="N783" s="2508"/>
      <c r="O783" s="2508"/>
      <c r="P783" s="2508"/>
      <c r="Q783" s="2508"/>
      <c r="R783" s="2508"/>
      <c r="S783" s="2508"/>
      <c r="T783" s="2508"/>
      <c r="U783" s="2508"/>
      <c r="V783" s="2508"/>
      <c r="W783" s="2508"/>
      <c r="X783" s="2508"/>
      <c r="Y783" s="2508"/>
      <c r="Z783" s="2508"/>
      <c r="AA783" s="2508"/>
      <c r="AB783" s="2508"/>
      <c r="AC783" s="2508"/>
      <c r="AD783" s="2508"/>
      <c r="AE783" s="2508"/>
      <c r="AF783" s="2508"/>
      <c r="AG783" s="2508"/>
      <c r="AH783" s="2508"/>
      <c r="AI783" s="2508"/>
      <c r="AJ783" s="2508"/>
      <c r="AK783" s="2508"/>
      <c r="AL783" s="2508"/>
      <c r="AM783" s="2508"/>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441"/>
      <c r="B785" s="2441"/>
      <c r="C785" s="2441"/>
      <c r="D785" s="2441"/>
      <c r="E785" s="2441"/>
      <c r="F785" s="2441"/>
      <c r="G785" s="2441"/>
      <c r="H785" s="2441"/>
      <c r="I785" s="2441"/>
      <c r="J785" s="2441"/>
      <c r="K785" s="2441"/>
      <c r="L785" s="2441"/>
      <c r="M785" s="2441"/>
      <c r="N785" s="2441"/>
      <c r="O785" s="2441"/>
      <c r="P785" s="2441"/>
      <c r="Q785" s="2441"/>
      <c r="R785" s="2441"/>
      <c r="S785" s="2441"/>
      <c r="T785" s="2441"/>
      <c r="U785" s="2441"/>
      <c r="V785" s="2441"/>
      <c r="W785" s="2441"/>
      <c r="X785" s="2441"/>
      <c r="Y785" s="2441"/>
      <c r="Z785" s="2441"/>
      <c r="AA785" s="2441"/>
      <c r="AB785" s="2441"/>
      <c r="AC785" s="2441"/>
      <c r="AD785" s="2441"/>
      <c r="AE785" s="2441"/>
      <c r="AF785" s="2441"/>
      <c r="AG785" s="2441"/>
      <c r="AH785" s="2441"/>
      <c r="AI785" s="2441"/>
      <c r="AJ785" s="2441"/>
      <c r="AK785" s="2441"/>
      <c r="AL785" s="2441"/>
      <c r="AM785" s="2441"/>
      <c r="AP785" s="855"/>
      <c r="AQ785" s="855"/>
    </row>
    <row r="786" spans="1:81">
      <c r="A786" s="2441"/>
      <c r="B786" s="2441"/>
      <c r="C786" s="2441"/>
      <c r="D786" s="2441"/>
      <c r="E786" s="2441"/>
      <c r="F786" s="2441"/>
      <c r="G786" s="2441"/>
      <c r="H786" s="2441"/>
      <c r="I786" s="2441"/>
      <c r="J786" s="2441"/>
      <c r="K786" s="2441"/>
      <c r="L786" s="2441"/>
      <c r="M786" s="2441"/>
      <c r="N786" s="2441"/>
      <c r="O786" s="2441"/>
      <c r="P786" s="2441"/>
      <c r="Q786" s="2441"/>
      <c r="R786" s="2441"/>
      <c r="S786" s="2441"/>
      <c r="T786" s="2441"/>
      <c r="U786" s="2441"/>
      <c r="V786" s="2441"/>
      <c r="W786" s="2441"/>
      <c r="X786" s="2441"/>
      <c r="Y786" s="2441"/>
      <c r="Z786" s="2441"/>
      <c r="AA786" s="2441"/>
      <c r="AB786" s="2441"/>
      <c r="AC786" s="2441"/>
      <c r="AD786" s="2441"/>
      <c r="AE786" s="2441"/>
      <c r="AF786" s="2441"/>
      <c r="AG786" s="2441"/>
      <c r="AH786" s="2441"/>
      <c r="AI786" s="2441"/>
      <c r="AJ786" s="2441"/>
      <c r="AK786" s="2441"/>
      <c r="AL786" s="2441"/>
      <c r="AM786" s="2441"/>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509" t="s">
        <v>1775</v>
      </c>
      <c r="U787" s="2510"/>
      <c r="V787" s="2510"/>
      <c r="W787" s="2510"/>
      <c r="X787" s="2510"/>
      <c r="Y787" s="2511"/>
      <c r="Z787" s="2509" t="s">
        <v>1776</v>
      </c>
      <c r="AA787" s="2510"/>
      <c r="AB787" s="2510"/>
      <c r="AC787" s="2510"/>
      <c r="AD787" s="2510"/>
      <c r="AE787" s="2511"/>
      <c r="AF787" s="2509" t="s">
        <v>1777</v>
      </c>
      <c r="AG787" s="2510"/>
      <c r="AH787" s="2510"/>
      <c r="AI787" s="2510"/>
      <c r="AJ787" s="2510"/>
      <c r="AK787" s="2511"/>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512"/>
      <c r="U788" s="2513"/>
      <c r="V788" s="2513"/>
      <c r="W788" s="2513"/>
      <c r="X788" s="2513"/>
      <c r="Y788" s="2514"/>
      <c r="Z788" s="2512"/>
      <c r="AA788" s="2513"/>
      <c r="AB788" s="2513"/>
      <c r="AC788" s="2513"/>
      <c r="AD788" s="2513"/>
      <c r="AE788" s="2514"/>
      <c r="AF788" s="2512"/>
      <c r="AG788" s="2513"/>
      <c r="AH788" s="2513"/>
      <c r="AI788" s="2513"/>
      <c r="AJ788" s="2513"/>
      <c r="AK788" s="2514"/>
      <c r="AL788" s="857"/>
      <c r="AM788" s="634"/>
      <c r="AO788" s="855"/>
      <c r="AP788" s="855"/>
      <c r="AQ788" s="855"/>
    </row>
    <row r="789" spans="1:81">
      <c r="A789" s="858" t="s">
        <v>788</v>
      </c>
      <c r="B789" s="2489" t="s">
        <v>1501</v>
      </c>
      <c r="C789" s="2489"/>
      <c r="D789" s="2489"/>
      <c r="E789" s="2489"/>
      <c r="F789" s="2489"/>
      <c r="G789" s="2489"/>
      <c r="H789" s="2489"/>
      <c r="I789" s="2489"/>
      <c r="J789" s="2489"/>
      <c r="K789" s="2489"/>
      <c r="L789" s="2489"/>
      <c r="M789" s="2489"/>
      <c r="N789" s="2489"/>
      <c r="O789" s="2489"/>
      <c r="P789" s="2489"/>
      <c r="Q789" s="2489"/>
      <c r="R789" s="2489"/>
      <c r="S789" s="2490"/>
      <c r="T789" s="2491">
        <f>AK56</f>
        <v>0</v>
      </c>
      <c r="U789" s="2492"/>
      <c r="V789" s="2492"/>
      <c r="W789" s="2492"/>
      <c r="X789" s="2492"/>
      <c r="Y789" s="2493"/>
      <c r="Z789" s="2494">
        <v>20</v>
      </c>
      <c r="AA789" s="2492"/>
      <c r="AB789" s="2492"/>
      <c r="AC789" s="2492"/>
      <c r="AD789" s="2492"/>
      <c r="AE789" s="2493"/>
      <c r="AF789" s="2458">
        <f>IF(T789&gt;Z789,Z789,T789)</f>
        <v>0</v>
      </c>
      <c r="AG789" s="2458"/>
      <c r="AH789" s="2458"/>
      <c r="AI789" s="2458"/>
      <c r="AJ789" s="2458"/>
      <c r="AK789" s="2458"/>
      <c r="AL789" s="857"/>
      <c r="AM789" s="634"/>
      <c r="AO789" s="855"/>
      <c r="AP789" s="855"/>
      <c r="AQ789" s="855"/>
    </row>
    <row r="790" spans="1:81">
      <c r="A790" s="858" t="s">
        <v>1747</v>
      </c>
      <c r="B790" s="2489" t="s">
        <v>1510</v>
      </c>
      <c r="C790" s="2489"/>
      <c r="D790" s="2489"/>
      <c r="E790" s="2489"/>
      <c r="F790" s="2489"/>
      <c r="G790" s="2489"/>
      <c r="H790" s="2489"/>
      <c r="I790" s="2489"/>
      <c r="J790" s="2489"/>
      <c r="K790" s="2489"/>
      <c r="L790" s="2489"/>
      <c r="M790" s="2489"/>
      <c r="N790" s="2489"/>
      <c r="O790" s="2489"/>
      <c r="P790" s="2489"/>
      <c r="Q790" s="2489"/>
      <c r="R790" s="2489"/>
      <c r="S790" s="2490"/>
      <c r="T790" s="2491">
        <f>AK78</f>
        <v>10</v>
      </c>
      <c r="U790" s="2492"/>
      <c r="V790" s="2492"/>
      <c r="W790" s="2492"/>
      <c r="X790" s="2492"/>
      <c r="Y790" s="2493"/>
      <c r="Z790" s="2494">
        <v>10</v>
      </c>
      <c r="AA790" s="2492"/>
      <c r="AB790" s="2492"/>
      <c r="AC790" s="2492"/>
      <c r="AD790" s="2492"/>
      <c r="AE790" s="2493"/>
      <c r="AF790" s="2458">
        <f>IF(T790&gt;Z790,Z790,T790)</f>
        <v>10</v>
      </c>
      <c r="AG790" s="2458"/>
      <c r="AH790" s="2458"/>
      <c r="AI790" s="2458"/>
      <c r="AJ790" s="2458"/>
      <c r="AK790" s="2458"/>
      <c r="AL790" s="857"/>
      <c r="AM790" s="634"/>
      <c r="AO790" s="855"/>
      <c r="AP790" s="855"/>
      <c r="AQ790" s="855"/>
    </row>
    <row r="791" spans="1:81">
      <c r="A791" s="858" t="s">
        <v>1756</v>
      </c>
      <c r="B791" s="2489" t="s">
        <v>1520</v>
      </c>
      <c r="C791" s="2489"/>
      <c r="D791" s="2489"/>
      <c r="E791" s="2489"/>
      <c r="F791" s="2489"/>
      <c r="G791" s="2489"/>
      <c r="H791" s="2489"/>
      <c r="I791" s="2489"/>
      <c r="J791" s="2489"/>
      <c r="K791" s="2489"/>
      <c r="L791" s="2489"/>
      <c r="M791" s="2489"/>
      <c r="N791" s="2489"/>
      <c r="O791" s="2489"/>
      <c r="P791" s="2489"/>
      <c r="Q791" s="2489"/>
      <c r="R791" s="2489"/>
      <c r="S791" s="2490"/>
      <c r="T791" s="2491">
        <f>AK103</f>
        <v>20</v>
      </c>
      <c r="U791" s="2492"/>
      <c r="V791" s="2492"/>
      <c r="W791" s="2492"/>
      <c r="X791" s="2492"/>
      <c r="Y791" s="2493"/>
      <c r="Z791" s="2494">
        <v>20</v>
      </c>
      <c r="AA791" s="2492"/>
      <c r="AB791" s="2492"/>
      <c r="AC791" s="2492"/>
      <c r="AD791" s="2492"/>
      <c r="AE791" s="2493"/>
      <c r="AF791" s="2458">
        <f>IF(T791&gt;Z791,Z791,T791)</f>
        <v>20</v>
      </c>
      <c r="AG791" s="2458"/>
      <c r="AH791" s="2458"/>
      <c r="AI791" s="2458"/>
      <c r="AJ791" s="2458"/>
      <c r="AK791" s="2458"/>
      <c r="AL791" s="857"/>
      <c r="AM791" s="634"/>
      <c r="AO791" s="855"/>
      <c r="AP791" s="855"/>
      <c r="AQ791" s="855"/>
    </row>
    <row r="792" spans="1:81">
      <c r="A792" s="858" t="s">
        <v>1778</v>
      </c>
      <c r="B792" s="2489" t="s">
        <v>1530</v>
      </c>
      <c r="C792" s="2489"/>
      <c r="D792" s="2489"/>
      <c r="E792" s="2489"/>
      <c r="F792" s="2489"/>
      <c r="G792" s="2489"/>
      <c r="H792" s="2489"/>
      <c r="I792" s="2489"/>
      <c r="J792" s="2489"/>
      <c r="K792" s="2489"/>
      <c r="L792" s="2489"/>
      <c r="M792" s="2489"/>
      <c r="N792" s="2489"/>
      <c r="O792" s="2489"/>
      <c r="P792" s="2489"/>
      <c r="Q792" s="2489"/>
      <c r="R792" s="2489"/>
      <c r="S792" s="2490"/>
      <c r="T792" s="2491">
        <f>AK137</f>
        <v>10</v>
      </c>
      <c r="U792" s="2492"/>
      <c r="V792" s="2492"/>
      <c r="W792" s="2492"/>
      <c r="X792" s="2492"/>
      <c r="Y792" s="2493"/>
      <c r="Z792" s="2494">
        <v>10</v>
      </c>
      <c r="AA792" s="2492"/>
      <c r="AB792" s="2492"/>
      <c r="AC792" s="2492"/>
      <c r="AD792" s="2492"/>
      <c r="AE792" s="2493"/>
      <c r="AF792" s="2458">
        <f>IF(T792&gt;Z792,Z792,T792)</f>
        <v>10</v>
      </c>
      <c r="AG792" s="2458"/>
      <c r="AH792" s="2458"/>
      <c r="AI792" s="2458"/>
      <c r="AJ792" s="2458"/>
      <c r="AK792" s="2458"/>
      <c r="AL792" s="857"/>
      <c r="AM792" s="634"/>
      <c r="AO792" s="855"/>
      <c r="AP792" s="855"/>
      <c r="AQ792" s="855"/>
    </row>
    <row r="793" spans="1:81">
      <c r="A793" s="859" t="s">
        <v>1779</v>
      </c>
      <c r="B793" s="2489" t="s">
        <v>1780</v>
      </c>
      <c r="C793" s="2489"/>
      <c r="D793" s="2489"/>
      <c r="E793" s="2489"/>
      <c r="F793" s="2489"/>
      <c r="G793" s="2489"/>
      <c r="H793" s="2489"/>
      <c r="I793" s="2489"/>
      <c r="J793" s="2489"/>
      <c r="K793" s="2489"/>
      <c r="L793" s="2489"/>
      <c r="M793" s="2489"/>
      <c r="N793" s="2489"/>
      <c r="O793" s="2489"/>
      <c r="P793" s="2489"/>
      <c r="Q793" s="2489"/>
      <c r="R793" s="2489"/>
      <c r="S793" s="2490"/>
      <c r="T793" s="2515">
        <f>SUM(T794:Y795)</f>
        <v>10</v>
      </c>
      <c r="U793" s="2515"/>
      <c r="V793" s="2515"/>
      <c r="W793" s="2515"/>
      <c r="X793" s="2515"/>
      <c r="Y793" s="2515"/>
      <c r="Z793" s="2458">
        <v>10</v>
      </c>
      <c r="AA793" s="2458"/>
      <c r="AB793" s="2458"/>
      <c r="AC793" s="2458"/>
      <c r="AD793" s="2458"/>
      <c r="AE793" s="2458"/>
      <c r="AF793" s="2458">
        <f>IF(T793&gt;Z793,Z793,T793)</f>
        <v>10</v>
      </c>
      <c r="AG793" s="2458"/>
      <c r="AH793" s="2458"/>
      <c r="AI793" s="2458"/>
      <c r="AJ793" s="2458"/>
      <c r="AK793" s="2458"/>
      <c r="AL793" s="857"/>
      <c r="AM793" s="634"/>
    </row>
    <row r="794" spans="1:81">
      <c r="A794" s="573"/>
      <c r="B794" s="639"/>
      <c r="C794" s="2516" t="s">
        <v>1781</v>
      </c>
      <c r="D794" s="2516"/>
      <c r="E794" s="2516"/>
      <c r="F794" s="2516"/>
      <c r="G794" s="2516"/>
      <c r="H794" s="2516"/>
      <c r="I794" s="2516"/>
      <c r="J794" s="2516"/>
      <c r="K794" s="2516"/>
      <c r="L794" s="2516"/>
      <c r="M794" s="2516"/>
      <c r="N794" s="2516"/>
      <c r="O794" s="2516"/>
      <c r="P794" s="2516"/>
      <c r="Q794" s="2516"/>
      <c r="R794" s="2516"/>
      <c r="S794" s="2517"/>
      <c r="T794" s="2394">
        <f>AJ155</f>
        <v>7</v>
      </c>
      <c r="U794" s="2394"/>
      <c r="V794" s="2394"/>
      <c r="W794" s="2394"/>
      <c r="X794" s="2394"/>
      <c r="Y794" s="2394"/>
      <c r="Z794" s="2395">
        <v>7</v>
      </c>
      <c r="AA794" s="2395"/>
      <c r="AB794" s="2395"/>
      <c r="AC794" s="2395"/>
      <c r="AD794" s="2395"/>
      <c r="AE794" s="2395"/>
      <c r="AF794" s="2518"/>
      <c r="AG794" s="2518"/>
      <c r="AH794" s="2518"/>
      <c r="AI794" s="2518"/>
      <c r="AJ794" s="2518"/>
      <c r="AK794" s="2518"/>
      <c r="AL794" s="857"/>
      <c r="AM794" s="634"/>
    </row>
    <row r="795" spans="1:81">
      <c r="A795" s="638"/>
      <c r="B795" s="639"/>
      <c r="C795" s="2516" t="s">
        <v>1782</v>
      </c>
      <c r="D795" s="2516"/>
      <c r="E795" s="2516"/>
      <c r="F795" s="2516"/>
      <c r="G795" s="2516"/>
      <c r="H795" s="2516"/>
      <c r="I795" s="2516"/>
      <c r="J795" s="2516"/>
      <c r="K795" s="2516"/>
      <c r="L795" s="2516"/>
      <c r="M795" s="2516"/>
      <c r="N795" s="2516"/>
      <c r="O795" s="2516"/>
      <c r="P795" s="2516"/>
      <c r="Q795" s="2516"/>
      <c r="R795" s="2516"/>
      <c r="S795" s="2517"/>
      <c r="T795" s="2394">
        <f>AJ169</f>
        <v>3</v>
      </c>
      <c r="U795" s="2394"/>
      <c r="V795" s="2394"/>
      <c r="W795" s="2394"/>
      <c r="X795" s="2394"/>
      <c r="Y795" s="2394"/>
      <c r="Z795" s="2395">
        <v>3</v>
      </c>
      <c r="AA795" s="2395"/>
      <c r="AB795" s="2395"/>
      <c r="AC795" s="2395"/>
      <c r="AD795" s="2395"/>
      <c r="AE795" s="2395"/>
      <c r="AF795" s="2518"/>
      <c r="AG795" s="2518"/>
      <c r="AH795" s="2518"/>
      <c r="AI795" s="2518"/>
      <c r="AJ795" s="2518"/>
      <c r="AK795" s="2518"/>
      <c r="AL795" s="857"/>
      <c r="AM795" s="634"/>
      <c r="AO795" s="588"/>
    </row>
    <row r="796" spans="1:81">
      <c r="A796" s="859" t="s">
        <v>1558</v>
      </c>
      <c r="B796" s="2489" t="s">
        <v>1783</v>
      </c>
      <c r="C796" s="2489"/>
      <c r="D796" s="2489"/>
      <c r="E796" s="2489"/>
      <c r="F796" s="2489"/>
      <c r="G796" s="2489"/>
      <c r="H796" s="2489"/>
      <c r="I796" s="2489"/>
      <c r="J796" s="2489"/>
      <c r="K796" s="2489"/>
      <c r="L796" s="2489"/>
      <c r="M796" s="2489"/>
      <c r="N796" s="2489"/>
      <c r="O796" s="2489"/>
      <c r="P796" s="2489"/>
      <c r="Q796" s="2489"/>
      <c r="R796" s="2489"/>
      <c r="S796" s="2490"/>
      <c r="T796" s="2515">
        <f>AK180</f>
        <v>10</v>
      </c>
      <c r="U796" s="2515"/>
      <c r="V796" s="2515"/>
      <c r="W796" s="2515"/>
      <c r="X796" s="2515"/>
      <c r="Y796" s="2515"/>
      <c r="Z796" s="2458">
        <v>10</v>
      </c>
      <c r="AA796" s="2458"/>
      <c r="AB796" s="2458"/>
      <c r="AC796" s="2458"/>
      <c r="AD796" s="2458"/>
      <c r="AE796" s="2458"/>
      <c r="AF796" s="2458">
        <f>IF(T796&gt;Z796,Z796,T796)</f>
        <v>10</v>
      </c>
      <c r="AG796" s="2458"/>
      <c r="AH796" s="2458"/>
      <c r="AI796" s="2458"/>
      <c r="AJ796" s="2458"/>
      <c r="AK796" s="2458"/>
      <c r="AL796" s="857"/>
      <c r="AM796" s="634"/>
    </row>
    <row r="797" spans="1:81">
      <c r="A797" s="858" t="s">
        <v>1567</v>
      </c>
      <c r="B797" s="2489" t="s">
        <v>1568</v>
      </c>
      <c r="C797" s="2489"/>
      <c r="D797" s="2489"/>
      <c r="E797" s="2489"/>
      <c r="F797" s="2489"/>
      <c r="G797" s="2489"/>
      <c r="H797" s="2489"/>
      <c r="I797" s="2489"/>
      <c r="J797" s="2489"/>
      <c r="K797" s="2489"/>
      <c r="L797" s="2489"/>
      <c r="M797" s="2489"/>
      <c r="N797" s="2489"/>
      <c r="O797" s="2489"/>
      <c r="P797" s="2489"/>
      <c r="Q797" s="2489"/>
      <c r="R797" s="2489"/>
      <c r="S797" s="2490"/>
      <c r="T797" s="2515">
        <f>AK262</f>
        <v>8</v>
      </c>
      <c r="U797" s="2515"/>
      <c r="V797" s="2515"/>
      <c r="W797" s="2515"/>
      <c r="X797" s="2515"/>
      <c r="Y797" s="2515"/>
      <c r="Z797" s="2494">
        <v>8</v>
      </c>
      <c r="AA797" s="2492"/>
      <c r="AB797" s="2492"/>
      <c r="AC797" s="2492"/>
      <c r="AD797" s="2492"/>
      <c r="AE797" s="2493"/>
      <c r="AF797" s="2458">
        <f>IF(T797&gt;Z797,Z797,T797)</f>
        <v>8</v>
      </c>
      <c r="AG797" s="2458"/>
      <c r="AH797" s="2458"/>
      <c r="AI797" s="2458"/>
      <c r="AJ797" s="2458"/>
      <c r="AK797" s="2458"/>
      <c r="AL797" s="857"/>
      <c r="AM797" s="634"/>
    </row>
    <row r="798" spans="1:81" s="572" customFormat="1" hidden="1">
      <c r="A798" s="859" t="s">
        <v>616</v>
      </c>
      <c r="B798" s="2489" t="s">
        <v>1784</v>
      </c>
      <c r="C798" s="2489"/>
      <c r="D798" s="2489"/>
      <c r="E798" s="2489"/>
      <c r="F798" s="2489"/>
      <c r="G798" s="2489"/>
      <c r="H798" s="2489"/>
      <c r="I798" s="2489"/>
      <c r="J798" s="2489"/>
      <c r="K798" s="2489"/>
      <c r="L798" s="2489"/>
      <c r="M798" s="2489"/>
      <c r="N798" s="2489"/>
      <c r="O798" s="2489"/>
      <c r="P798" s="2489"/>
      <c r="Q798" s="2489"/>
      <c r="R798" s="2489"/>
      <c r="S798" s="2490"/>
      <c r="T798" s="2515">
        <f>IF(AK524&gt;5,5,AK524)</f>
        <v>0</v>
      </c>
      <c r="U798" s="2515"/>
      <c r="V798" s="2515"/>
      <c r="W798" s="2515"/>
      <c r="X798" s="2515"/>
      <c r="Y798" s="2515"/>
      <c r="Z798" s="2458">
        <v>5</v>
      </c>
      <c r="AA798" s="2458"/>
      <c r="AB798" s="2458"/>
      <c r="AC798" s="2458"/>
      <c r="AD798" s="2458"/>
      <c r="AE798" s="2458"/>
      <c r="AF798" s="2458">
        <f>IF(T798&gt;Z798,5,T798)</f>
        <v>0</v>
      </c>
      <c r="AG798" s="2458"/>
      <c r="AH798" s="2458"/>
      <c r="AI798" s="2458"/>
      <c r="AJ798" s="2458"/>
      <c r="AK798" s="2458"/>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1573</v>
      </c>
      <c r="B799" s="2489" t="s">
        <v>1785</v>
      </c>
      <c r="C799" s="2489"/>
      <c r="D799" s="2489"/>
      <c r="E799" s="2489"/>
      <c r="F799" s="2489"/>
      <c r="G799" s="2489"/>
      <c r="H799" s="2489"/>
      <c r="I799" s="2489"/>
      <c r="J799" s="2489"/>
      <c r="K799" s="2489"/>
      <c r="L799" s="2489"/>
      <c r="M799" s="2489"/>
      <c r="N799" s="2489"/>
      <c r="O799" s="2489"/>
      <c r="P799" s="2489"/>
      <c r="Q799" s="2489"/>
      <c r="R799" s="2489"/>
      <c r="S799" s="2490"/>
      <c r="T799" s="2515">
        <f>AK274</f>
        <v>10</v>
      </c>
      <c r="U799" s="2515"/>
      <c r="V799" s="2515"/>
      <c r="W799" s="2515"/>
      <c r="X799" s="2515"/>
      <c r="Y799" s="2515"/>
      <c r="Z799" s="2458">
        <v>10</v>
      </c>
      <c r="AA799" s="2458"/>
      <c r="AB799" s="2458"/>
      <c r="AC799" s="2458"/>
      <c r="AD799" s="2458"/>
      <c r="AE799" s="2458"/>
      <c r="AF799" s="2521">
        <f>IF(T799&gt;Z799,Z799,T799)</f>
        <v>10</v>
      </c>
      <c r="AG799" s="2522"/>
      <c r="AH799" s="2522"/>
      <c r="AI799" s="2522"/>
      <c r="AJ799" s="2522"/>
      <c r="AK799" s="2523"/>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1577</v>
      </c>
      <c r="B800" s="2489" t="s">
        <v>1578</v>
      </c>
      <c r="C800" s="2489"/>
      <c r="D800" s="2489"/>
      <c r="E800" s="2489"/>
      <c r="F800" s="2489"/>
      <c r="G800" s="2489"/>
      <c r="H800" s="2489"/>
      <c r="I800" s="2489"/>
      <c r="J800" s="2489"/>
      <c r="K800" s="2489"/>
      <c r="L800" s="2489"/>
      <c r="M800" s="2489"/>
      <c r="N800" s="2489"/>
      <c r="O800" s="2489"/>
      <c r="P800" s="2489"/>
      <c r="Q800" s="2489"/>
      <c r="R800" s="2489"/>
      <c r="S800" s="2490"/>
      <c r="T800" s="2515">
        <f>AK327</f>
        <v>10</v>
      </c>
      <c r="U800" s="2515"/>
      <c r="V800" s="2515"/>
      <c r="W800" s="2515"/>
      <c r="X800" s="2515"/>
      <c r="Y800" s="2515"/>
      <c r="Z800" s="2521">
        <v>10</v>
      </c>
      <c r="AA800" s="2522"/>
      <c r="AB800" s="2522"/>
      <c r="AC800" s="2522"/>
      <c r="AD800" s="2522"/>
      <c r="AE800" s="2523"/>
      <c r="AF800" s="2521">
        <f>IF(T800&gt;Z800,Z800,T800)</f>
        <v>10</v>
      </c>
      <c r="AG800" s="2522"/>
      <c r="AH800" s="2522"/>
      <c r="AI800" s="2522"/>
      <c r="AJ800" s="2522"/>
      <c r="AK800" s="2523"/>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1786</v>
      </c>
      <c r="D801" s="862"/>
      <c r="E801" s="862"/>
      <c r="F801" s="862"/>
      <c r="G801" s="862"/>
      <c r="H801" s="862"/>
      <c r="I801" s="862"/>
      <c r="J801" s="862"/>
      <c r="K801" s="862"/>
      <c r="L801" s="862"/>
      <c r="M801" s="862"/>
      <c r="N801" s="862"/>
      <c r="O801" s="862"/>
      <c r="P801" s="862"/>
      <c r="Q801" s="862"/>
      <c r="R801" s="860"/>
      <c r="S801" s="863"/>
      <c r="T801" s="2394">
        <f>AK327</f>
        <v>10</v>
      </c>
      <c r="U801" s="2394"/>
      <c r="V801" s="2394"/>
      <c r="W801" s="2394"/>
      <c r="X801" s="2394"/>
      <c r="Y801" s="2394"/>
      <c r="Z801" s="2399">
        <v>20</v>
      </c>
      <c r="AA801" s="2400"/>
      <c r="AB801" s="2400"/>
      <c r="AC801" s="2400"/>
      <c r="AD801" s="2400"/>
      <c r="AE801" s="2401"/>
      <c r="AF801" s="2518"/>
      <c r="AG801" s="2518"/>
      <c r="AH801" s="2518"/>
      <c r="AI801" s="2518"/>
      <c r="AJ801" s="2518"/>
      <c r="AK801" s="2518"/>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1654</v>
      </c>
      <c r="B802" s="2489" t="s">
        <v>893</v>
      </c>
      <c r="C802" s="2489"/>
      <c r="D802" s="2489"/>
      <c r="E802" s="2489"/>
      <c r="F802" s="2489"/>
      <c r="G802" s="2489"/>
      <c r="H802" s="2489"/>
      <c r="I802" s="2489"/>
      <c r="J802" s="2489"/>
      <c r="K802" s="2489"/>
      <c r="L802" s="2489"/>
      <c r="M802" s="2489"/>
      <c r="N802" s="2489"/>
      <c r="O802" s="2489"/>
      <c r="P802" s="2489"/>
      <c r="Q802" s="2489"/>
      <c r="R802" s="2489"/>
      <c r="S802" s="2490"/>
      <c r="T802" s="2515">
        <f>AK458</f>
        <v>10</v>
      </c>
      <c r="U802" s="2515"/>
      <c r="V802" s="2515"/>
      <c r="W802" s="2515"/>
      <c r="X802" s="2515"/>
      <c r="Y802" s="2515"/>
      <c r="Z802" s="2521">
        <v>10</v>
      </c>
      <c r="AA802" s="2522"/>
      <c r="AB802" s="2522"/>
      <c r="AC802" s="2522"/>
      <c r="AD802" s="2522"/>
      <c r="AE802" s="2523"/>
      <c r="AF802" s="2458">
        <f>IF(T802&gt;Z802,Z802,T802)</f>
        <v>10</v>
      </c>
      <c r="AG802" s="2458"/>
      <c r="AH802" s="2458"/>
      <c r="AI802" s="2458"/>
      <c r="AJ802" s="2458"/>
      <c r="AK802" s="2458"/>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1764</v>
      </c>
      <c r="B803" s="2489" t="s">
        <v>1765</v>
      </c>
      <c r="C803" s="2489"/>
      <c r="D803" s="2489"/>
      <c r="E803" s="2489"/>
      <c r="F803" s="2489"/>
      <c r="G803" s="2489"/>
      <c r="H803" s="2489"/>
      <c r="I803" s="2489"/>
      <c r="J803" s="2489"/>
      <c r="K803" s="2489"/>
      <c r="L803" s="2489"/>
      <c r="M803" s="2489"/>
      <c r="N803" s="2489"/>
      <c r="O803" s="2489"/>
      <c r="P803" s="2489"/>
      <c r="Q803" s="2489"/>
      <c r="R803" s="2489"/>
      <c r="S803" s="2490"/>
      <c r="T803" s="2515">
        <f>AK548</f>
        <v>12</v>
      </c>
      <c r="U803" s="2515"/>
      <c r="V803" s="2515"/>
      <c r="W803" s="2515"/>
      <c r="X803" s="2515"/>
      <c r="Y803" s="2515"/>
      <c r="Z803" s="2521">
        <v>12</v>
      </c>
      <c r="AA803" s="2522"/>
      <c r="AB803" s="2522"/>
      <c r="AC803" s="2522"/>
      <c r="AD803" s="2522"/>
      <c r="AE803" s="2523"/>
      <c r="AF803" s="2458">
        <f>IF(T803&gt;Z803,Z803,T803)</f>
        <v>12</v>
      </c>
      <c r="AG803" s="2458"/>
      <c r="AH803" s="2458"/>
      <c r="AI803" s="2458"/>
      <c r="AJ803" s="2458"/>
      <c r="AK803" s="2458"/>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2489</v>
      </c>
      <c r="B804" s="2489" t="s">
        <v>1787</v>
      </c>
      <c r="C804" s="2489"/>
      <c r="D804" s="2489"/>
      <c r="E804" s="2489"/>
      <c r="F804" s="2489"/>
      <c r="G804" s="2489"/>
      <c r="H804" s="2489"/>
      <c r="I804" s="2489"/>
      <c r="J804" s="2489"/>
      <c r="K804" s="2489"/>
      <c r="L804" s="2489"/>
      <c r="M804" s="2489"/>
      <c r="N804" s="2489"/>
      <c r="O804" s="2489"/>
      <c r="P804" s="2489"/>
      <c r="Q804" s="2489"/>
      <c r="R804" s="2489"/>
      <c r="S804" s="2490"/>
      <c r="T804" s="2515">
        <f>AK779</f>
        <v>10</v>
      </c>
      <c r="U804" s="2515"/>
      <c r="V804" s="2515"/>
      <c r="W804" s="2515"/>
      <c r="X804" s="2515"/>
      <c r="Y804" s="2515"/>
      <c r="Z804" s="2521">
        <v>10</v>
      </c>
      <c r="AA804" s="2522"/>
      <c r="AB804" s="2522"/>
      <c r="AC804" s="2522"/>
      <c r="AD804" s="2522"/>
      <c r="AE804" s="2523"/>
      <c r="AF804" s="2458">
        <f>IF(T804&gt;Z804,Z804,T804)</f>
        <v>10</v>
      </c>
      <c r="AG804" s="2458"/>
      <c r="AH804" s="2458"/>
      <c r="AI804" s="2458"/>
      <c r="AJ804" s="2458"/>
      <c r="AK804" s="2458"/>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519" t="s">
        <v>1788</v>
      </c>
      <c r="B805" s="2489"/>
      <c r="C805" s="2489"/>
      <c r="D805" s="2489"/>
      <c r="E805" s="2489"/>
      <c r="F805" s="2489"/>
      <c r="G805" s="2489"/>
      <c r="H805" s="2489"/>
      <c r="I805" s="2489"/>
      <c r="J805" s="2489"/>
      <c r="K805" s="2489"/>
      <c r="L805" s="2489"/>
      <c r="M805" s="2489"/>
      <c r="N805" s="2489"/>
      <c r="O805" s="2489"/>
      <c r="P805" s="2489"/>
      <c r="Q805" s="2489"/>
      <c r="R805" s="2489"/>
      <c r="S805" s="2490"/>
      <c r="T805" s="2520"/>
      <c r="U805" s="2520"/>
      <c r="V805" s="2520"/>
      <c r="W805" s="2520"/>
      <c r="X805" s="2520"/>
      <c r="Y805" s="2520"/>
      <c r="Z805" s="2395" t="s">
        <v>1789</v>
      </c>
      <c r="AA805" s="2395"/>
      <c r="AB805" s="2395"/>
      <c r="AC805" s="2395"/>
      <c r="AD805" s="2395"/>
      <c r="AE805" s="2395"/>
      <c r="AF805" s="2521">
        <f>IF(T805&gt;0,T805,0)</f>
        <v>0</v>
      </c>
      <c r="AG805" s="2522"/>
      <c r="AH805" s="2522"/>
      <c r="AI805" s="2522"/>
      <c r="AJ805" s="2522"/>
      <c r="AK805" s="2523"/>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524" t="s">
        <v>1790</v>
      </c>
      <c r="B806" s="2525"/>
      <c r="C806" s="2525"/>
      <c r="D806" s="2525"/>
      <c r="E806" s="2525"/>
      <c r="F806" s="2525"/>
      <c r="G806" s="2525"/>
      <c r="H806" s="2525"/>
      <c r="I806" s="2525"/>
      <c r="J806" s="2525"/>
      <c r="K806" s="2525"/>
      <c r="L806" s="2525"/>
      <c r="M806" s="2525"/>
      <c r="N806" s="2525"/>
      <c r="O806" s="2525"/>
      <c r="P806" s="2525"/>
      <c r="Q806" s="2525"/>
      <c r="R806" s="2525"/>
      <c r="S806" s="2525"/>
      <c r="T806" s="2525"/>
      <c r="U806" s="2525"/>
      <c r="V806" s="2525"/>
      <c r="W806" s="2525"/>
      <c r="X806" s="2525"/>
      <c r="Y806" s="2525"/>
      <c r="Z806" s="2525"/>
      <c r="AA806" s="2525"/>
      <c r="AB806" s="2525"/>
      <c r="AC806" s="2525"/>
      <c r="AD806" s="2525"/>
      <c r="AE806" s="2526"/>
      <c r="AF806" s="2530">
        <f>SUM(AF789:AK804)-AF805</f>
        <v>120</v>
      </c>
      <c r="AG806" s="2531"/>
      <c r="AH806" s="2531"/>
      <c r="AI806" s="2531"/>
      <c r="AJ806" s="2531"/>
      <c r="AK806" s="2532"/>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527"/>
      <c r="B807" s="2528"/>
      <c r="C807" s="2528"/>
      <c r="D807" s="2528"/>
      <c r="E807" s="2528"/>
      <c r="F807" s="2528"/>
      <c r="G807" s="2528"/>
      <c r="H807" s="2528"/>
      <c r="I807" s="2528"/>
      <c r="J807" s="2528"/>
      <c r="K807" s="2528"/>
      <c r="L807" s="2528"/>
      <c r="M807" s="2528"/>
      <c r="N807" s="2528"/>
      <c r="O807" s="2528"/>
      <c r="P807" s="2528"/>
      <c r="Q807" s="2528"/>
      <c r="R807" s="2528"/>
      <c r="S807" s="2528"/>
      <c r="T807" s="2528"/>
      <c r="U807" s="2528"/>
      <c r="V807" s="2528"/>
      <c r="W807" s="2528"/>
      <c r="X807" s="2528"/>
      <c r="Y807" s="2528"/>
      <c r="Z807" s="2528"/>
      <c r="AA807" s="2528"/>
      <c r="AB807" s="2528"/>
      <c r="AC807" s="2528"/>
      <c r="AD807" s="2528"/>
      <c r="AE807" s="2529"/>
      <c r="AF807" s="2533"/>
      <c r="AG807" s="2534"/>
      <c r="AH807" s="2534"/>
      <c r="AI807" s="2534"/>
      <c r="AJ807" s="2534"/>
      <c r="AK807" s="2535"/>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3"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2022-08-09T04:53:35Z</cp:lastPrinted>
  <dcterms:created xsi:type="dcterms:W3CDTF">2007-12-27T18:26:28Z</dcterms:created>
  <dcterms:modified xsi:type="dcterms:W3CDTF">2022-08-09T05:02:05Z</dcterms:modified>
</cp:coreProperties>
</file>