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quiquivix\Downloads\"/>
    </mc:Choice>
  </mc:AlternateContent>
  <bookViews>
    <workbookView xWindow="0" yWindow="0" windowWidth="24195" windowHeight="11985" tabRatio="905"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52" i="7" l="1"/>
  <c r="C7" i="7"/>
  <c r="Z681" i="3"/>
  <c r="Z680" i="3"/>
  <c r="Z679" i="3"/>
  <c r="Z678" i="3"/>
  <c r="Z673" i="3"/>
  <c r="Z672" i="3"/>
  <c r="Z671" i="3"/>
  <c r="Z670" i="3"/>
  <c r="G673" i="3"/>
  <c r="G672" i="3"/>
  <c r="G671" i="3"/>
  <c r="G670" i="3"/>
  <c r="Z665" i="3"/>
  <c r="Z664" i="3"/>
  <c r="Z663" i="3"/>
  <c r="Z662" i="3"/>
  <c r="H666" i="3"/>
  <c r="G665" i="3"/>
  <c r="G664" i="3"/>
  <c r="G663" i="3"/>
  <c r="G662" i="3"/>
  <c r="H658" i="3"/>
  <c r="G657" i="3"/>
  <c r="G656" i="3"/>
  <c r="G655" i="3"/>
  <c r="G654" i="3"/>
  <c r="G615" i="3"/>
  <c r="G614" i="3"/>
  <c r="G613" i="3"/>
  <c r="G612" i="3"/>
  <c r="Z607" i="3"/>
  <c r="Z606" i="3"/>
  <c r="Z605" i="3"/>
  <c r="Z604" i="3"/>
  <c r="AA600" i="3"/>
  <c r="Z599" i="3"/>
  <c r="Z598" i="3"/>
  <c r="Z597" i="3"/>
  <c r="Z596" i="3"/>
  <c r="Z582" i="3"/>
  <c r="Z581" i="3"/>
  <c r="Z580" i="3"/>
  <c r="Z579" i="3"/>
  <c r="Z591" i="3"/>
  <c r="Z590" i="3"/>
  <c r="Z589" i="3"/>
  <c r="Z588" i="3"/>
  <c r="F99" i="13"/>
  <c r="F94" i="13"/>
  <c r="F92" i="13"/>
  <c r="F89" i="13"/>
  <c r="F86" i="13"/>
  <c r="F85" i="13"/>
  <c r="F84" i="13"/>
  <c r="F80" i="13"/>
  <c r="F79" i="13"/>
  <c r="F69" i="13"/>
  <c r="F67" i="13"/>
  <c r="F65" i="13"/>
  <c r="C36" i="13"/>
  <c r="F53" i="13"/>
  <c r="F52" i="13"/>
  <c r="F51" i="13"/>
  <c r="F50" i="13"/>
  <c r="F46" i="13"/>
  <c r="F45" i="13"/>
  <c r="F43" i="13"/>
  <c r="F40" i="13"/>
  <c r="F36" i="13"/>
  <c r="F35" i="13"/>
  <c r="F34" i="13"/>
  <c r="F33" i="13"/>
  <c r="F32" i="13"/>
  <c r="F31" i="13"/>
  <c r="F30" i="13"/>
  <c r="F29" i="13"/>
  <c r="F10" i="13"/>
  <c r="S92" i="4"/>
  <c r="S99" i="4"/>
  <c r="S94" i="4"/>
  <c r="S89" i="4"/>
  <c r="S86" i="4"/>
  <c r="S85" i="4"/>
  <c r="S84" i="4"/>
  <c r="S80" i="4"/>
  <c r="S79" i="4"/>
  <c r="S67" i="4"/>
  <c r="S43" i="4"/>
  <c r="S40" i="4"/>
  <c r="S36" i="4"/>
  <c r="S35" i="4"/>
  <c r="S33" i="4"/>
  <c r="S32" i="4"/>
  <c r="S31" i="4"/>
  <c r="S30" i="4"/>
  <c r="S29" i="4"/>
  <c r="S10" i="4"/>
  <c r="E95" i="4"/>
  <c r="E94" i="4"/>
  <c r="E93" i="4"/>
  <c r="E92" i="4"/>
  <c r="E89" i="4"/>
  <c r="E90" i="4"/>
  <c r="E88" i="4"/>
  <c r="E86" i="4"/>
  <c r="E85" i="4"/>
  <c r="E84" i="4"/>
  <c r="E83" i="4"/>
  <c r="E80" i="4"/>
  <c r="E79" i="4"/>
  <c r="E76" i="4"/>
  <c r="E75" i="4"/>
  <c r="E69" i="4"/>
  <c r="E67" i="4"/>
  <c r="E65" i="4"/>
  <c r="E61" i="4"/>
  <c r="E58" i="4"/>
  <c r="E56" i="4"/>
  <c r="E53" i="4"/>
  <c r="E52" i="4"/>
  <c r="E51" i="4"/>
  <c r="E50" i="4"/>
  <c r="E15" i="4"/>
  <c r="E13" i="4"/>
  <c r="H308" i="3" l="1"/>
  <c r="H307" i="3"/>
  <c r="H306" i="3"/>
  <c r="H305" i="3"/>
  <c r="H304" i="3"/>
  <c r="H303" i="3"/>
  <c r="H302" i="3"/>
  <c r="C10" i="13"/>
  <c r="C99" i="13"/>
  <c r="C84" i="13"/>
  <c r="C85" i="13"/>
  <c r="C86" i="13"/>
  <c r="C87" i="13"/>
  <c r="C88" i="13"/>
  <c r="C89" i="13"/>
  <c r="C90" i="13"/>
  <c r="C91" i="13"/>
  <c r="C92" i="13"/>
  <c r="C93" i="13"/>
  <c r="C94" i="13"/>
  <c r="C95" i="13"/>
  <c r="C83" i="13"/>
  <c r="C80" i="13"/>
  <c r="C79" i="13"/>
  <c r="C76" i="13"/>
  <c r="C75" i="13"/>
  <c r="C66" i="13"/>
  <c r="C67" i="13"/>
  <c r="C68" i="13"/>
  <c r="C69" i="13"/>
  <c r="C65" i="13"/>
  <c r="C57" i="13"/>
  <c r="C58" i="13"/>
  <c r="C59" i="13"/>
  <c r="C60" i="13"/>
  <c r="C61" i="13"/>
  <c r="C56" i="13"/>
  <c r="C46" i="13"/>
  <c r="C47" i="13"/>
  <c r="C48" i="13"/>
  <c r="C49" i="13"/>
  <c r="C50" i="13"/>
  <c r="C51" i="13"/>
  <c r="C52" i="13"/>
  <c r="C53" i="13"/>
  <c r="C45" i="13"/>
  <c r="C43" i="13"/>
  <c r="C40" i="13"/>
  <c r="C30" i="13"/>
  <c r="C31" i="13"/>
  <c r="C32" i="13"/>
  <c r="C33" i="13"/>
  <c r="C29" i="13"/>
  <c r="C15" i="13"/>
  <c r="C13" i="13"/>
  <c r="C5" i="13"/>
  <c r="C6" i="13"/>
  <c r="C4" i="13"/>
  <c r="AO22" i="20" l="1"/>
  <c r="AO29" i="20"/>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G112" i="21" s="1"/>
  <c r="G114" i="21" s="1"/>
  <c r="I15" i="21" s="1"/>
  <c r="I9" i="21"/>
  <c r="BN610" i="3"/>
  <c r="BN611" i="3"/>
  <c r="BN612" i="3"/>
  <c r="BN613" i="3"/>
  <c r="BN614" i="3"/>
  <c r="BN615" i="3"/>
  <c r="BN616" i="3"/>
  <c r="BN617" i="3"/>
  <c r="BN618" i="3"/>
  <c r="DX618" i="3" s="1"/>
  <c r="BN619" i="3"/>
  <c r="BN620" i="3"/>
  <c r="BN621" i="3"/>
  <c r="BN640" i="3"/>
  <c r="BN644" i="3"/>
  <c r="BN648" i="3"/>
  <c r="BN649" i="3"/>
  <c r="BN658" i="3"/>
  <c r="BS610" i="3"/>
  <c r="BS611" i="3"/>
  <c r="BS612" i="3"/>
  <c r="BS613" i="3"/>
  <c r="BS614" i="3"/>
  <c r="BS615" i="3"/>
  <c r="EC615" i="3" s="1"/>
  <c r="BS616" i="3"/>
  <c r="BS617" i="3"/>
  <c r="BS618" i="3"/>
  <c r="BS619" i="3"/>
  <c r="BS620" i="3"/>
  <c r="BS621" i="3"/>
  <c r="BS640" i="3"/>
  <c r="BS644" i="3" s="1"/>
  <c r="BW645" i="3" s="1"/>
  <c r="BS648" i="3"/>
  <c r="BS649" i="3"/>
  <c r="BS658" i="3"/>
  <c r="BX610" i="3"/>
  <c r="BX611" i="3"/>
  <c r="BX612" i="3"/>
  <c r="BX613" i="3"/>
  <c r="BX614" i="3"/>
  <c r="EH614" i="3" s="1"/>
  <c r="BX615" i="3"/>
  <c r="BX616" i="3"/>
  <c r="BX617" i="3"/>
  <c r="BX618" i="3"/>
  <c r="BX619" i="3"/>
  <c r="BX620" i="3"/>
  <c r="BX621" i="3"/>
  <c r="BX640" i="3"/>
  <c r="BX644" i="3" s="1"/>
  <c r="CB645" i="3" s="1"/>
  <c r="BX648" i="3"/>
  <c r="BX649" i="3"/>
  <c r="BX658" i="3"/>
  <c r="R972" i="3"/>
  <c r="CC610" i="3"/>
  <c r="CC611" i="3"/>
  <c r="CC612" i="3"/>
  <c r="EM612" i="3" s="1"/>
  <c r="CC613" i="3"/>
  <c r="CC614" i="3"/>
  <c r="CC615" i="3"/>
  <c r="CC616" i="3"/>
  <c r="CC617" i="3"/>
  <c r="CC618" i="3"/>
  <c r="CC619" i="3"/>
  <c r="CC620" i="3"/>
  <c r="CC621" i="3"/>
  <c r="CC640" i="3"/>
  <c r="CC644" i="3" s="1"/>
  <c r="CG645" i="3" s="1"/>
  <c r="CC648" i="3"/>
  <c r="CC649" i="3"/>
  <c r="CC658" i="3"/>
  <c r="CM610" i="3"/>
  <c r="CM611" i="3"/>
  <c r="CM612" i="3"/>
  <c r="CM613" i="3"/>
  <c r="CM614" i="3"/>
  <c r="CM615" i="3"/>
  <c r="CM616" i="3"/>
  <c r="CM617" i="3"/>
  <c r="CM618" i="3"/>
  <c r="CM619" i="3"/>
  <c r="CM620" i="3"/>
  <c r="CM621" i="3"/>
  <c r="CM640" i="3"/>
  <c r="CM644" i="3" s="1"/>
  <c r="CQ645" i="3" s="1"/>
  <c r="CM648" i="3"/>
  <c r="CM649" i="3"/>
  <c r="CM658" i="3"/>
  <c r="CH610" i="3"/>
  <c r="CH611" i="3"/>
  <c r="CH612" i="3"/>
  <c r="CH613" i="3"/>
  <c r="CH614" i="3"/>
  <c r="CH615" i="3"/>
  <c r="CH616" i="3"/>
  <c r="ER616" i="3" s="1"/>
  <c r="CH617" i="3"/>
  <c r="CH618" i="3"/>
  <c r="CH619" i="3"/>
  <c r="CH620" i="3"/>
  <c r="CH621" i="3"/>
  <c r="CH640" i="3"/>
  <c r="CH644" i="3" s="1"/>
  <c r="CL645" i="3" s="1"/>
  <c r="CH648" i="3"/>
  <c r="CH649" i="3"/>
  <c r="CH658" i="3"/>
  <c r="AJ980" i="3"/>
  <c r="AJ990" i="3"/>
  <c r="AJ992" i="3"/>
  <c r="AJ995" i="3"/>
  <c r="AJ1011" i="3"/>
  <c r="AJ1015" i="3" s="1"/>
  <c r="I14" i="21" s="1"/>
  <c r="AJ1020" i="3"/>
  <c r="BE610" i="3"/>
  <c r="BG610" i="3" s="1"/>
  <c r="BE611" i="3"/>
  <c r="BG611" i="3"/>
  <c r="BE612" i="3"/>
  <c r="BG612" i="3" s="1"/>
  <c r="BE613" i="3"/>
  <c r="BG613" i="3" s="1"/>
  <c r="BE614" i="3"/>
  <c r="BG614" i="3" s="1"/>
  <c r="BE615" i="3"/>
  <c r="BG615" i="3"/>
  <c r="BE616" i="3"/>
  <c r="BG616" i="3" s="1"/>
  <c r="BE617" i="3"/>
  <c r="BG617" i="3" s="1"/>
  <c r="BE618" i="3"/>
  <c r="BG618" i="3" s="1"/>
  <c r="BE619" i="3"/>
  <c r="BG619" i="3"/>
  <c r="BE620" i="3"/>
  <c r="BG620" i="3"/>
  <c r="BE621" i="3"/>
  <c r="BG621" i="3"/>
  <c r="BE622" i="3"/>
  <c r="BG622" i="3"/>
  <c r="BI610" i="3"/>
  <c r="BK610" i="3" s="1"/>
  <c r="BI611" i="3"/>
  <c r="BK611" i="3"/>
  <c r="BI612" i="3"/>
  <c r="BK612" i="3"/>
  <c r="BI613" i="3"/>
  <c r="BK613" i="3"/>
  <c r="BI614" i="3"/>
  <c r="BK614" i="3"/>
  <c r="BI615" i="3"/>
  <c r="BK615" i="3" s="1"/>
  <c r="BI616" i="3"/>
  <c r="BK616" i="3"/>
  <c r="BI617" i="3"/>
  <c r="BK617" i="3"/>
  <c r="BI618" i="3"/>
  <c r="BK618" i="3"/>
  <c r="BI619" i="3"/>
  <c r="BK619" i="3"/>
  <c r="BI620" i="3"/>
  <c r="BK620" i="3"/>
  <c r="BI621" i="3"/>
  <c r="BK621" i="3"/>
  <c r="BI622" i="3"/>
  <c r="BK622" i="3"/>
  <c r="T25" i="15"/>
  <c r="Y7" i="15"/>
  <c r="AI11" i="15" s="1"/>
  <c r="AI23" i="15" s="1"/>
  <c r="AI26" i="15" s="1"/>
  <c r="S26" i="4"/>
  <c r="AO649" i="3"/>
  <c r="C26" i="4"/>
  <c r="Y67" i="15"/>
  <c r="G90" i="21"/>
  <c r="G94" i="21" s="1"/>
  <c r="G77" i="21"/>
  <c r="M20" i="21"/>
  <c r="S20" i="21"/>
  <c r="M21" i="21"/>
  <c r="S21" i="21"/>
  <c r="M22" i="21"/>
  <c r="S22" i="21"/>
  <c r="M23" i="21"/>
  <c r="T23" i="21" s="1"/>
  <c r="M24" i="21"/>
  <c r="S24" i="21"/>
  <c r="M25" i="21"/>
  <c r="S25" i="21"/>
  <c r="M26" i="21"/>
  <c r="S26" i="21"/>
  <c r="M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4" i="21" s="1" a="1"/>
  <c r="Q24" i="21" s="1"/>
  <c r="T21" i="21"/>
  <c r="T22" i="21"/>
  <c r="Q22" i="21" a="1"/>
  <c r="Q22" i="21" s="1"/>
  <c r="T24" i="21"/>
  <c r="T25" i="21"/>
  <c r="T26" i="21"/>
  <c r="T28" i="21"/>
  <c r="T29" i="21"/>
  <c r="T30" i="21"/>
  <c r="T31" i="21"/>
  <c r="T32" i="21"/>
  <c r="T33" i="21"/>
  <c r="T34" i="21"/>
  <c r="T35" i="21"/>
  <c r="T36" i="21"/>
  <c r="T37" i="21"/>
  <c r="T38" i="21"/>
  <c r="T39" i="21"/>
  <c r="T40" i="21"/>
  <c r="T41" i="21"/>
  <c r="T42" i="21"/>
  <c r="T43" i="21"/>
  <c r="T44" i="21"/>
  <c r="N20" i="21"/>
  <c r="N21" i="21"/>
  <c r="G53" i="21" s="1"/>
  <c r="N22" i="21"/>
  <c r="N23" i="21"/>
  <c r="N24" i="21"/>
  <c r="N25" i="21"/>
  <c r="N26" i="21"/>
  <c r="N27" i="21"/>
  <c r="N28" i="21"/>
  <c r="N29" i="21"/>
  <c r="N30" i="21"/>
  <c r="N31" i="21"/>
  <c r="N32" i="21"/>
  <c r="N33" i="21"/>
  <c r="N34" i="21"/>
  <c r="N35" i="21"/>
  <c r="N36" i="21"/>
  <c r="N37" i="21"/>
  <c r="N38" i="21"/>
  <c r="N39" i="21"/>
  <c r="N40" i="21"/>
  <c r="N41" i="21"/>
  <c r="N42" i="21"/>
  <c r="N43" i="21"/>
  <c r="N44" i="21"/>
  <c r="Q26" i="21" a="1"/>
  <c r="Q26" i="21" s="1"/>
  <c r="Q28" i="21" a="1"/>
  <c r="Q28" i="21" s="1"/>
  <c r="O29" i="21"/>
  <c r="P29" i="21" a="1"/>
  <c r="P29" i="21" s="1"/>
  <c r="Q29" i="21" a="1"/>
  <c r="Q29" i="21" s="1"/>
  <c r="R29" i="21"/>
  <c r="O30" i="21"/>
  <c r="P30" i="21" a="1"/>
  <c r="P30" i="21" s="1"/>
  <c r="Q30" i="21" a="1"/>
  <c r="Q30" i="21" s="1"/>
  <c r="R30" i="21"/>
  <c r="O31" i="21"/>
  <c r="P31" i="21" a="1"/>
  <c r="P31" i="21" s="1"/>
  <c r="Q31" i="21" a="1"/>
  <c r="Q31" i="21" s="1"/>
  <c r="R31" i="21"/>
  <c r="R32" i="21"/>
  <c r="R33" i="21"/>
  <c r="R34" i="21"/>
  <c r="R36" i="21"/>
  <c r="R37" i="21"/>
  <c r="R38" i="21"/>
  <c r="R39" i="21"/>
  <c r="R40" i="21"/>
  <c r="R41" i="21"/>
  <c r="R42" i="21"/>
  <c r="R43" i="21"/>
  <c r="R44" i="21"/>
  <c r="O753" i="3"/>
  <c r="O32" i="21"/>
  <c r="O33" i="21"/>
  <c r="O34"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Q34" i="21" a="1"/>
  <c r="Q34" i="21" s="1"/>
  <c r="P34" i="21" a="1"/>
  <c r="P34" i="21" s="1"/>
  <c r="Q33" i="21" a="1"/>
  <c r="Q33" i="21" s="1"/>
  <c r="P33" i="21" a="1"/>
  <c r="P33" i="21" s="1"/>
  <c r="Q32" i="21" a="1"/>
  <c r="Q32" i="21" s="1"/>
  <c r="P32" i="21" a="1"/>
  <c r="P32" i="21" s="1"/>
  <c r="B4" i="8"/>
  <c r="B5" i="8"/>
  <c r="B6" i="8"/>
  <c r="G102" i="21"/>
  <c r="G88" i="21"/>
  <c r="G92" i="21" s="1"/>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4" i="3" s="1"/>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D93" i="11" s="1"/>
  <c r="B94" i="11"/>
  <c r="B95" i="11"/>
  <c r="B96" i="11"/>
  <c r="A70" i="11"/>
  <c r="C67" i="11"/>
  <c r="C68" i="11"/>
  <c r="C69" i="11"/>
  <c r="C70" i="11"/>
  <c r="B67" i="11"/>
  <c r="B68" i="11"/>
  <c r="B69" i="11"/>
  <c r="B70" i="11"/>
  <c r="D70" i="11" s="1"/>
  <c r="A62" i="11"/>
  <c r="A54" i="11"/>
  <c r="A38" i="11"/>
  <c r="A26" i="11"/>
  <c r="C31" i="11"/>
  <c r="C32" i="11"/>
  <c r="C33" i="11"/>
  <c r="C34" i="11"/>
  <c r="D34" i="11" s="1"/>
  <c r="C35" i="11"/>
  <c r="D35" i="11" s="1"/>
  <c r="C36" i="11"/>
  <c r="D36" i="11" s="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G57" i="7" s="1"/>
  <c r="I54" i="7"/>
  <c r="K54" i="7" s="1"/>
  <c r="M54" i="7" s="1"/>
  <c r="O54" i="7" s="1"/>
  <c r="Q54" i="7" s="1"/>
  <c r="S54" i="7" s="1"/>
  <c r="U54" i="7" s="1"/>
  <c r="W54" i="7" s="1"/>
  <c r="Y54" i="7" s="1"/>
  <c r="AA54" i="7" s="1"/>
  <c r="AC54" i="7" s="1"/>
  <c r="AE54" i="7" s="1"/>
  <c r="AG54" i="7" s="1"/>
  <c r="G55" i="7"/>
  <c r="I55" i="7"/>
  <c r="K55" i="7"/>
  <c r="M55" i="7"/>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AH736" i="3" s="1"/>
  <c r="X736" i="3"/>
  <c r="BA679" i="3"/>
  <c r="X737" i="3"/>
  <c r="AH737" i="3"/>
  <c r="BA677" i="3"/>
  <c r="AH735" i="3" s="1"/>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G5" i="8"/>
  <c r="G6" i="8"/>
  <c r="G7" i="8"/>
  <c r="B8" i="8"/>
  <c r="G8" i="8" s="1"/>
  <c r="B9" i="8"/>
  <c r="G9" i="8" s="1"/>
  <c r="G10" i="8"/>
  <c r="B11" i="8"/>
  <c r="G11" i="8"/>
  <c r="B12" i="8"/>
  <c r="G12" i="8"/>
  <c r="B13" i="8"/>
  <c r="G13" i="8"/>
  <c r="B14" i="8"/>
  <c r="G14" i="8"/>
  <c r="B15" i="8"/>
  <c r="G15" i="8"/>
  <c r="B16" i="8"/>
  <c r="G16" i="8"/>
  <c r="B17" i="8"/>
  <c r="G17" i="8"/>
  <c r="B18" i="8"/>
  <c r="G18" i="8"/>
  <c r="B19" i="8"/>
  <c r="G19" i="8" s="1"/>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C35" i="13" s="1"/>
  <c r="B34" i="13"/>
  <c r="C34" i="13" s="1"/>
  <c r="C38" i="13" s="1"/>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D42" i="13"/>
  <c r="C42" i="13"/>
  <c r="J38" i="13"/>
  <c r="I38" i="13"/>
  <c r="G38" i="13"/>
  <c r="D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D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B41" i="11"/>
  <c r="D41" i="11" s="1"/>
  <c r="C41" i="11"/>
  <c r="C42" i="11"/>
  <c r="B42" i="11"/>
  <c r="B44" i="11"/>
  <c r="C44" i="11"/>
  <c r="B46" i="11"/>
  <c r="B55" i="11" s="1"/>
  <c r="C46" i="11"/>
  <c r="B47" i="11"/>
  <c r="C47" i="11"/>
  <c r="B48" i="11"/>
  <c r="B49" i="11"/>
  <c r="B50" i="11"/>
  <c r="B51" i="11"/>
  <c r="D51" i="11"/>
  <c r="B52" i="11"/>
  <c r="B53" i="11"/>
  <c r="C48" i="11"/>
  <c r="C49" i="11"/>
  <c r="C50" i="11"/>
  <c r="C51" i="11"/>
  <c r="C52" i="11"/>
  <c r="C53" i="11"/>
  <c r="D53" i="11" s="1"/>
  <c r="B57" i="11"/>
  <c r="B63" i="11" s="1"/>
  <c r="C57" i="11"/>
  <c r="B58" i="11"/>
  <c r="C58" i="11"/>
  <c r="B59" i="11"/>
  <c r="D59" i="11" s="1"/>
  <c r="C59" i="11"/>
  <c r="B60" i="11"/>
  <c r="C60" i="11"/>
  <c r="B61" i="11"/>
  <c r="C61" i="11"/>
  <c r="B62" i="11"/>
  <c r="C62" i="11"/>
  <c r="B66" i="11"/>
  <c r="C66" i="11"/>
  <c r="B73" i="11"/>
  <c r="C73" i="11"/>
  <c r="B74" i="11"/>
  <c r="C74" i="11"/>
  <c r="B75" i="11"/>
  <c r="C75" i="11"/>
  <c r="B76" i="11"/>
  <c r="C76" i="11"/>
  <c r="B77" i="11"/>
  <c r="D77" i="11" s="1"/>
  <c r="C77" i="11"/>
  <c r="B84" i="11"/>
  <c r="C84" i="11"/>
  <c r="D84" i="11" s="1"/>
  <c r="B100" i="11"/>
  <c r="C100" i="11"/>
  <c r="C105" i="11" s="1"/>
  <c r="D105" i="11" s="1"/>
  <c r="A4" i="8"/>
  <c r="G4" i="8"/>
  <c r="D4" i="8"/>
  <c r="I4" i="8"/>
  <c r="J4" i="8"/>
  <c r="A5" i="8"/>
  <c r="D5" i="8"/>
  <c r="I5" i="8"/>
  <c r="J5" i="8" s="1"/>
  <c r="A6" i="8"/>
  <c r="D6" i="8"/>
  <c r="I6" i="8"/>
  <c r="J6" i="8" s="1"/>
  <c r="A7" i="8"/>
  <c r="D7" i="8"/>
  <c r="I7" i="8"/>
  <c r="J7" i="8" s="1"/>
  <c r="A8" i="8"/>
  <c r="D8" i="8"/>
  <c r="I8" i="8"/>
  <c r="J8" i="8" s="1"/>
  <c r="A9" i="8"/>
  <c r="D9" i="8"/>
  <c r="I9" i="8"/>
  <c r="J9" i="8" s="1"/>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Q42" i="7" s="1"/>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7" i="3"/>
  <c r="DX619" i="3"/>
  <c r="DX620" i="3"/>
  <c r="DX621" i="3"/>
  <c r="DX622" i="3"/>
  <c r="DX623" i="3"/>
  <c r="DX624" i="3"/>
  <c r="DX625" i="3"/>
  <c r="DX626" i="3"/>
  <c r="DX627" i="3"/>
  <c r="DX628" i="3"/>
  <c r="DX629" i="3"/>
  <c r="DX630" i="3"/>
  <c r="DX631" i="3"/>
  <c r="DX632" i="3"/>
  <c r="DX633" i="3"/>
  <c r="DX634" i="3"/>
  <c r="EC611" i="3"/>
  <c r="EC612" i="3"/>
  <c r="EC613" i="3"/>
  <c r="EC614"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5" i="3"/>
  <c r="EH616" i="3"/>
  <c r="EH617" i="3"/>
  <c r="EH618" i="3"/>
  <c r="EH619" i="3"/>
  <c r="EH620" i="3"/>
  <c r="EH621" i="3"/>
  <c r="EH622" i="3"/>
  <c r="EH623" i="3"/>
  <c r="EH624" i="3"/>
  <c r="EH625" i="3"/>
  <c r="EH626" i="3"/>
  <c r="EH627" i="3"/>
  <c r="EH628" i="3"/>
  <c r="EH629" i="3"/>
  <c r="EH630" i="3"/>
  <c r="EH631" i="3"/>
  <c r="EH632" i="3"/>
  <c r="EH633" i="3"/>
  <c r="EH634" i="3"/>
  <c r="EM610" i="3"/>
  <c r="EM611"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1" i="3"/>
  <c r="ER612" i="3"/>
  <c r="ER613" i="3"/>
  <c r="ER614" i="3"/>
  <c r="ER615" i="3"/>
  <c r="ER617" i="3"/>
  <c r="ER618" i="3"/>
  <c r="ER619" i="3"/>
  <c r="ER620" i="3"/>
  <c r="ER621" i="3"/>
  <c r="ER622" i="3"/>
  <c r="ER623" i="3"/>
  <c r="ER624" i="3"/>
  <c r="ER625" i="3"/>
  <c r="ER626" i="3"/>
  <c r="ER627" i="3"/>
  <c r="ER628" i="3"/>
  <c r="ER629" i="3"/>
  <c r="ER630" i="3"/>
  <c r="ER631" i="3"/>
  <c r="ER632" i="3"/>
  <c r="ER633" i="3"/>
  <c r="ER634" i="3"/>
  <c r="C11" i="4"/>
  <c r="B11" i="4" s="1"/>
  <c r="B26" i="13"/>
  <c r="C38" i="4"/>
  <c r="B38" i="4" s="1"/>
  <c r="C54" i="4"/>
  <c r="B54" i="13" s="1"/>
  <c r="C62" i="4"/>
  <c r="B62" i="4" s="1"/>
  <c r="C77" i="4"/>
  <c r="B77" i="13" s="1"/>
  <c r="C96" i="4"/>
  <c r="B96" i="13" s="1"/>
  <c r="B104" i="13"/>
  <c r="D8" i="4"/>
  <c r="D11" i="4"/>
  <c r="D26" i="4"/>
  <c r="D38" i="4"/>
  <c r="D42" i="4"/>
  <c r="D54" i="4"/>
  <c r="D62" i="4"/>
  <c r="D77" i="4"/>
  <c r="D96" i="4"/>
  <c r="D104" i="4"/>
  <c r="B104" i="4"/>
  <c r="AO651" i="3"/>
  <c r="E26" i="13"/>
  <c r="S38" i="4"/>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43" i="3" s="1"/>
  <c r="BO245" i="3" s="1"/>
  <c r="T266" i="3" s="1"/>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H729" i="3" s="1"/>
  <c r="BG683" i="3"/>
  <c r="BG684" i="3"/>
  <c r="BG685" i="3"/>
  <c r="BG686" i="3"/>
  <c r="BG687" i="3"/>
  <c r="BG688" i="3"/>
  <c r="BG689" i="3"/>
  <c r="BG690" i="3"/>
  <c r="BG691" i="3"/>
  <c r="BG692" i="3"/>
  <c r="BG693" i="3"/>
  <c r="BG694" i="3"/>
  <c r="BG695" i="3"/>
  <c r="BA672" i="3"/>
  <c r="BA673" i="3"/>
  <c r="G677" i="3"/>
  <c r="Z677" i="3"/>
  <c r="BA674" i="3"/>
  <c r="BA675" i="3"/>
  <c r="BA676" i="3"/>
  <c r="AH734" i="3" s="1"/>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B77" i="4"/>
  <c r="B27" i="11"/>
  <c r="D49" i="11"/>
  <c r="D50" i="11"/>
  <c r="C27" i="11"/>
  <c r="I63" i="13"/>
  <c r="I97" i="13"/>
  <c r="I105" i="13"/>
  <c r="I107" i="13"/>
  <c r="B81" i="13"/>
  <c r="D54" i="11"/>
  <c r="J63" i="13"/>
  <c r="J97" i="13"/>
  <c r="J105" i="13"/>
  <c r="J107" i="13"/>
  <c r="L12" i="4"/>
  <c r="D48" i="11"/>
  <c r="AH732" i="3"/>
  <c r="D5" i="11"/>
  <c r="D80" i="11"/>
  <c r="D52" i="11"/>
  <c r="I12" i="4"/>
  <c r="G12" i="4"/>
  <c r="D6" i="11"/>
  <c r="L63" i="4"/>
  <c r="L97" i="4"/>
  <c r="L105" i="4"/>
  <c r="Q12" i="4"/>
  <c r="O63" i="4"/>
  <c r="O97" i="4"/>
  <c r="O105" i="4"/>
  <c r="D18" i="11"/>
  <c r="R70" i="4"/>
  <c r="B8" i="4"/>
  <c r="D10" i="11"/>
  <c r="G63" i="13"/>
  <c r="G97" i="13"/>
  <c r="G105" i="13"/>
  <c r="G107" i="13"/>
  <c r="D61" i="11"/>
  <c r="D20" i="11"/>
  <c r="D8" i="11"/>
  <c r="D85" i="11"/>
  <c r="B43" i="11"/>
  <c r="D43" i="11" s="1"/>
  <c r="D102" i="11"/>
  <c r="D94" i="11"/>
  <c r="K12" i="4"/>
  <c r="C43" i="11"/>
  <c r="C12" i="13"/>
  <c r="D63" i="4"/>
  <c r="D97" i="4"/>
  <c r="D105" i="4"/>
  <c r="D7" i="11"/>
  <c r="J12" i="4"/>
  <c r="D22" i="11"/>
  <c r="O12" i="4"/>
  <c r="I63" i="4"/>
  <c r="I97" i="4" s="1"/>
  <c r="I105" i="4" s="1"/>
  <c r="D95" i="11"/>
  <c r="D25" i="11"/>
  <c r="B82" i="11"/>
  <c r="D82" i="11" s="1"/>
  <c r="B11" i="13"/>
  <c r="D12" i="4"/>
  <c r="H12" i="4"/>
  <c r="C82" i="11"/>
  <c r="B9" i="11"/>
  <c r="D23" i="11"/>
  <c r="D19" i="11"/>
  <c r="D89" i="11"/>
  <c r="D73" i="11"/>
  <c r="D44" i="11"/>
  <c r="D76" i="11"/>
  <c r="D31" i="11"/>
  <c r="D32" i="11"/>
  <c r="D15" i="11"/>
  <c r="D63" i="13"/>
  <c r="D97" i="13"/>
  <c r="D105" i="13"/>
  <c r="Q63" i="4"/>
  <c r="Q97" i="4"/>
  <c r="Q105" i="4"/>
  <c r="D87" i="11"/>
  <c r="N63" i="4"/>
  <c r="N97" i="4"/>
  <c r="N105" i="4"/>
  <c r="N12" i="4"/>
  <c r="H63" i="4"/>
  <c r="H97" i="4" s="1"/>
  <c r="H105" i="4" s="1"/>
  <c r="F12" i="4"/>
  <c r="D60" i="11"/>
  <c r="M12" i="4"/>
  <c r="R8" i="4"/>
  <c r="D74" i="11"/>
  <c r="D38" i="11"/>
  <c r="R42" i="4"/>
  <c r="P63" i="4"/>
  <c r="P97" i="4"/>
  <c r="P105" i="4"/>
  <c r="C63" i="11"/>
  <c r="D12" i="13"/>
  <c r="D58" i="11"/>
  <c r="D100" i="11"/>
  <c r="D62" i="11"/>
  <c r="D24" i="11"/>
  <c r="D101" i="11"/>
  <c r="D90" i="11"/>
  <c r="R62" i="4"/>
  <c r="D66" i="11"/>
  <c r="D92" i="11"/>
  <c r="D75" i="11"/>
  <c r="B71" i="11"/>
  <c r="D28" i="11"/>
  <c r="D103" i="11"/>
  <c r="D88" i="11"/>
  <c r="D42" i="11"/>
  <c r="D21" i="11"/>
  <c r="D16" i="11"/>
  <c r="R26" i="4"/>
  <c r="D81" i="11"/>
  <c r="D86" i="11"/>
  <c r="AH733" i="3"/>
  <c r="AH731" i="3"/>
  <c r="AH730" i="3"/>
  <c r="AH728" i="3"/>
  <c r="AD199" i="20"/>
  <c r="B42" i="4"/>
  <c r="D47" i="11"/>
  <c r="C71" i="11"/>
  <c r="M63" i="4"/>
  <c r="M97" i="4"/>
  <c r="M105" i="4"/>
  <c r="D91" i="11"/>
  <c r="J63" i="4"/>
  <c r="J97" i="4" s="1"/>
  <c r="J105" i="4" s="1"/>
  <c r="C12" i="11"/>
  <c r="B105" i="11"/>
  <c r="U39" i="7"/>
  <c r="U42" i="7"/>
  <c r="S39" i="7"/>
  <c r="S42" i="7" s="1"/>
  <c r="E42" i="7"/>
  <c r="I39" i="7"/>
  <c r="I42" i="7" s="1"/>
  <c r="K39" i="7"/>
  <c r="K42" i="7"/>
  <c r="W39" i="7"/>
  <c r="Y39" i="7"/>
  <c r="Y42" i="7" s="1"/>
  <c r="AD7" i="15"/>
  <c r="G39" i="7"/>
  <c r="O39" i="7"/>
  <c r="O42" i="7"/>
  <c r="BR645" i="3"/>
  <c r="AE39" i="7"/>
  <c r="AE42" i="7"/>
  <c r="AA39" i="7"/>
  <c r="AG39" i="7"/>
  <c r="AG42" i="7" s="1"/>
  <c r="Q39" i="7"/>
  <c r="AC39" i="7"/>
  <c r="AC42" i="7" s="1"/>
  <c r="T7" i="15"/>
  <c r="K27" i="7"/>
  <c r="O27" i="7"/>
  <c r="I27" i="7"/>
  <c r="W27" i="7"/>
  <c r="S27" i="7"/>
  <c r="Y27" i="7"/>
  <c r="AC27" i="7"/>
  <c r="AG27" i="7"/>
  <c r="M27" i="7"/>
  <c r="G27" i="7"/>
  <c r="AA27" i="7"/>
  <c r="Q27" i="7"/>
  <c r="U27" i="7"/>
  <c r="AC776" i="3"/>
  <c r="Y798" i="3" s="1"/>
  <c r="BA995" i="3"/>
  <c r="AC796" i="3"/>
  <c r="D104" i="11"/>
  <c r="B96" i="4"/>
  <c r="T63" i="4"/>
  <c r="T97" i="4"/>
  <c r="D11" i="11"/>
  <c r="CS660" i="3"/>
  <c r="D26" i="11"/>
  <c r="D27" i="11"/>
  <c r="D30" i="8"/>
  <c r="H63" i="13"/>
  <c r="T105" i="4"/>
  <c r="H97" i="13"/>
  <c r="T107" i="4"/>
  <c r="H105" i="13"/>
  <c r="H107" i="13"/>
  <c r="AD11" i="15"/>
  <c r="AD23" i="15"/>
  <c r="AD26" i="15"/>
  <c r="BG696" i="3" l="1"/>
  <c r="BH694" i="3" s="1"/>
  <c r="BI694" i="3" s="1"/>
  <c r="CM635" i="3"/>
  <c r="EW646" i="3" s="1"/>
  <c r="J27" i="25"/>
  <c r="K52" i="7"/>
  <c r="I57" i="7"/>
  <c r="AA42" i="7"/>
  <c r="W42" i="7"/>
  <c r="G42" i="7"/>
  <c r="J30" i="8"/>
  <c r="Z807" i="3" s="1"/>
  <c r="E6" i="7" s="1"/>
  <c r="E7" i="7" s="1"/>
  <c r="F105" i="13"/>
  <c r="F107" i="13" s="1"/>
  <c r="S63" i="4"/>
  <c r="S97" i="4" s="1"/>
  <c r="E97" i="13" s="1"/>
  <c r="E38" i="13"/>
  <c r="R96" i="4"/>
  <c r="R81" i="4"/>
  <c r="R54" i="4"/>
  <c r="R63" i="4" s="1"/>
  <c r="R12" i="4"/>
  <c r="E12" i="4"/>
  <c r="E63" i="4"/>
  <c r="E97" i="4" s="1"/>
  <c r="E105" i="4" s="1"/>
  <c r="AC881" i="3"/>
  <c r="AC883" i="3" s="1"/>
  <c r="I14" i="7"/>
  <c r="G21" i="7"/>
  <c r="G34" i="7" s="1"/>
  <c r="E21" i="7"/>
  <c r="E34" i="7" s="1"/>
  <c r="E9" i="7"/>
  <c r="G8" i="7"/>
  <c r="CS645" i="3"/>
  <c r="Y799" i="3"/>
  <c r="E4" i="7" s="1"/>
  <c r="CS644" i="3"/>
  <c r="AB48" i="15"/>
  <c r="AI27" i="15"/>
  <c r="AI28" i="15" s="1"/>
  <c r="T27" i="15"/>
  <c r="Y27" i="15"/>
  <c r="AD27" i="15"/>
  <c r="AD28" i="15" s="1"/>
  <c r="C63" i="13"/>
  <c r="C97" i="13" s="1"/>
  <c r="C105" i="13" s="1"/>
  <c r="C97" i="11"/>
  <c r="D97" i="11" s="1"/>
  <c r="B97" i="11"/>
  <c r="C78" i="11"/>
  <c r="B78" i="11"/>
  <c r="D71" i="11"/>
  <c r="B70" i="13"/>
  <c r="D63" i="11"/>
  <c r="B62" i="13"/>
  <c r="D57" i="11"/>
  <c r="C55" i="11"/>
  <c r="D55" i="11" s="1"/>
  <c r="B54" i="4"/>
  <c r="B63" i="4" s="1"/>
  <c r="D46" i="11"/>
  <c r="C12" i="4"/>
  <c r="B12" i="13" s="1"/>
  <c r="B13" i="11"/>
  <c r="B12" i="4"/>
  <c r="C9" i="11"/>
  <c r="C13" i="11" s="1"/>
  <c r="D13" i="11" s="1"/>
  <c r="B39" i="11"/>
  <c r="B64" i="11" s="1"/>
  <c r="B38" i="13"/>
  <c r="C39" i="11"/>
  <c r="D39" i="11" s="1"/>
  <c r="C63" i="4"/>
  <c r="B63" i="13" s="1"/>
  <c r="D9" i="11"/>
  <c r="N158" i="25"/>
  <c r="N164" i="25" s="1"/>
  <c r="Q21" i="21" a="1"/>
  <c r="Q21" i="21" s="1"/>
  <c r="R970" i="3"/>
  <c r="Q20" i="21" a="1"/>
  <c r="Q20" i="21" s="1"/>
  <c r="R969" i="3"/>
  <c r="R973" i="3"/>
  <c r="Q27" i="21" a="1"/>
  <c r="Q27" i="21" s="1"/>
  <c r="Q25" i="21" a="1"/>
  <c r="Q25" i="21" s="1"/>
  <c r="G30" i="8"/>
  <c r="BH693" i="3"/>
  <c r="BI693" i="3" s="1"/>
  <c r="BH675" i="3"/>
  <c r="BI675" i="3" s="1"/>
  <c r="BH677" i="3"/>
  <c r="BI677" i="3" s="1"/>
  <c r="BH683" i="3"/>
  <c r="BI683" i="3" s="1"/>
  <c r="BH680" i="3"/>
  <c r="BI680" i="3" s="1"/>
  <c r="BH689" i="3"/>
  <c r="BI689" i="3" s="1"/>
  <c r="BH679" i="3"/>
  <c r="BI679" i="3" s="1"/>
  <c r="BH684" i="3"/>
  <c r="BI684" i="3" s="1"/>
  <c r="BH687" i="3"/>
  <c r="BI687" i="3" s="1"/>
  <c r="BH695" i="3"/>
  <c r="BI695" i="3" s="1"/>
  <c r="BH691" i="3"/>
  <c r="BI691" i="3" s="1"/>
  <c r="BH678" i="3"/>
  <c r="BI678" i="3" s="1"/>
  <c r="S18" i="21"/>
  <c r="G44" i="21" s="1"/>
  <c r="G79" i="21" s="1"/>
  <c r="Q23" i="21" a="1"/>
  <c r="Q23" i="21" s="1"/>
  <c r="EW635" i="3"/>
  <c r="G35" i="21" a="1"/>
  <c r="G35" i="21" s="1"/>
  <c r="G36" i="21" s="1"/>
  <c r="S27" i="21"/>
  <c r="S23" i="21"/>
  <c r="T27" i="21"/>
  <c r="BK635" i="3"/>
  <c r="X1031" i="3" s="1"/>
  <c r="AG1028" i="3" s="1"/>
  <c r="BG635" i="3"/>
  <c r="X1027" i="3" s="1"/>
  <c r="AG1024" i="3" s="1"/>
  <c r="BG728" i="3"/>
  <c r="BH727" i="3" s="1"/>
  <c r="BI727" i="3" s="1"/>
  <c r="BN635" i="3"/>
  <c r="DX655" i="3" s="1"/>
  <c r="EW658" i="3"/>
  <c r="EW661" i="3"/>
  <c r="EW648" i="3"/>
  <c r="EW642" i="3"/>
  <c r="CQ637" i="3"/>
  <c r="EW654" i="3"/>
  <c r="EW662" i="3"/>
  <c r="EW660" i="3"/>
  <c r="EW653" i="3"/>
  <c r="EW652" i="3"/>
  <c r="EW659" i="3"/>
  <c r="EW640" i="3"/>
  <c r="EW657" i="3"/>
  <c r="EW649" i="3"/>
  <c r="EW647" i="3"/>
  <c r="EW643" i="3"/>
  <c r="EW655" i="3"/>
  <c r="EW656" i="3"/>
  <c r="EW651" i="3"/>
  <c r="EW644" i="3"/>
  <c r="EW650" i="3"/>
  <c r="EM635" i="3"/>
  <c r="DH635" i="3"/>
  <c r="EH635" i="3"/>
  <c r="CC635" i="3"/>
  <c r="EM640" i="3" s="1"/>
  <c r="DC635" i="3"/>
  <c r="CX635" i="3"/>
  <c r="E23" i="21"/>
  <c r="F23" i="21" s="1"/>
  <c r="G23" i="21" s="1"/>
  <c r="BX635" i="3"/>
  <c r="EH640" i="3" s="1"/>
  <c r="DX635" i="3"/>
  <c r="CS635" i="3"/>
  <c r="DR635" i="3"/>
  <c r="DM635" i="3"/>
  <c r="AB29" i="25"/>
  <c r="J25" i="25"/>
  <c r="J26" i="25"/>
  <c r="AH29" i="25"/>
  <c r="J22" i="25"/>
  <c r="J19" i="25"/>
  <c r="AN29" i="25"/>
  <c r="J23" i="25"/>
  <c r="V29" i="25"/>
  <c r="J24" i="25"/>
  <c r="J20" i="25"/>
  <c r="EW638" i="3"/>
  <c r="E5" i="7"/>
  <c r="BH714" i="3"/>
  <c r="BI714" i="3" s="1"/>
  <c r="BH716" i="3"/>
  <c r="BI716" i="3" s="1"/>
  <c r="BH704" i="3"/>
  <c r="BI704" i="3" s="1"/>
  <c r="BH709" i="3"/>
  <c r="BI709" i="3" s="1"/>
  <c r="BH711" i="3"/>
  <c r="BI711" i="3" s="1"/>
  <c r="BH708" i="3"/>
  <c r="BI708" i="3" s="1"/>
  <c r="BH710" i="3"/>
  <c r="BI710" i="3" s="1"/>
  <c r="BH724" i="3"/>
  <c r="BI724" i="3" s="1"/>
  <c r="BH718" i="3"/>
  <c r="BI718" i="3" s="1"/>
  <c r="BH725" i="3"/>
  <c r="BI725" i="3" s="1"/>
  <c r="BH705" i="3"/>
  <c r="BI705" i="3" s="1"/>
  <c r="BH707" i="3"/>
  <c r="BI707" i="3" s="1"/>
  <c r="BH719" i="3"/>
  <c r="BI719" i="3" s="1"/>
  <c r="BH717" i="3"/>
  <c r="BI717" i="3" s="1"/>
  <c r="BH715" i="3"/>
  <c r="BI715" i="3" s="1"/>
  <c r="EM649" i="3"/>
  <c r="EM654" i="3"/>
  <c r="EM647" i="3"/>
  <c r="EM646" i="3"/>
  <c r="EM655" i="3"/>
  <c r="EM653" i="3"/>
  <c r="EM644" i="3"/>
  <c r="EM641" i="3"/>
  <c r="EM661" i="3"/>
  <c r="EM652" i="3"/>
  <c r="EM658" i="3"/>
  <c r="G4" i="7"/>
  <c r="BS635" i="3"/>
  <c r="EC644" i="3" s="1"/>
  <c r="EC610" i="3"/>
  <c r="EC635" i="3" s="1"/>
  <c r="CH635" i="3"/>
  <c r="ER656" i="3" s="1"/>
  <c r="ER610" i="3"/>
  <c r="ER635" i="3" s="1"/>
  <c r="BH703" i="3"/>
  <c r="I1031" i="3"/>
  <c r="E99" i="20"/>
  <c r="E98" i="20"/>
  <c r="J21" i="25"/>
  <c r="P29" i="25"/>
  <c r="E22" i="21"/>
  <c r="E26" i="21"/>
  <c r="E25" i="21"/>
  <c r="E2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EM650" i="3" l="1"/>
  <c r="EM656" i="3"/>
  <c r="BH671" i="3"/>
  <c r="BI671" i="3" s="1"/>
  <c r="BI696" i="3" s="1"/>
  <c r="AC753" i="3" s="1"/>
  <c r="BH681" i="3"/>
  <c r="BI681" i="3" s="1"/>
  <c r="BH674" i="3"/>
  <c r="BI674" i="3" s="1"/>
  <c r="BH676" i="3"/>
  <c r="BI676" i="3" s="1"/>
  <c r="BH682" i="3"/>
  <c r="BI682" i="3" s="1"/>
  <c r="BH686" i="3"/>
  <c r="BI686" i="3" s="1"/>
  <c r="BH672" i="3"/>
  <c r="BI672" i="3" s="1"/>
  <c r="BH688" i="3"/>
  <c r="BI688" i="3" s="1"/>
  <c r="BH685" i="3"/>
  <c r="BI685" i="3" s="1"/>
  <c r="BH690" i="3"/>
  <c r="BI690" i="3" s="1"/>
  <c r="EH652" i="3"/>
  <c r="EM651" i="3"/>
  <c r="EM639" i="3"/>
  <c r="BH673" i="3"/>
  <c r="BI673" i="3" s="1"/>
  <c r="BH692" i="3"/>
  <c r="BI692" i="3" s="1"/>
  <c r="EW641" i="3"/>
  <c r="EW645" i="3"/>
  <c r="BH726" i="3"/>
  <c r="BI726" i="3" s="1"/>
  <c r="BH712" i="3"/>
  <c r="BI712" i="3" s="1"/>
  <c r="EW639" i="3"/>
  <c r="BH706" i="3"/>
  <c r="BI706" i="3" s="1"/>
  <c r="BH721" i="3"/>
  <c r="BI721" i="3" s="1"/>
  <c r="CM663" i="3"/>
  <c r="O28" i="21"/>
  <c r="P28" i="21" s="1" a="1"/>
  <c r="P28" i="21" s="1"/>
  <c r="R28" i="21" s="1"/>
  <c r="O35" i="21"/>
  <c r="P35" i="21" s="1" a="1"/>
  <c r="P35" i="21" s="1"/>
  <c r="R35" i="21" s="1"/>
  <c r="DX654" i="3"/>
  <c r="BN663" i="3"/>
  <c r="AB969" i="3" s="1"/>
  <c r="AJ969" i="3" s="1"/>
  <c r="DX646" i="3"/>
  <c r="DX660" i="3"/>
  <c r="EH645" i="3"/>
  <c r="DX661" i="3"/>
  <c r="DX645" i="3"/>
  <c r="DX642" i="3"/>
  <c r="DX641" i="3"/>
  <c r="DX639" i="3"/>
  <c r="DX651" i="3"/>
  <c r="BR637" i="3"/>
  <c r="EH653" i="3"/>
  <c r="DX652" i="3"/>
  <c r="DX659" i="3"/>
  <c r="EH639" i="3"/>
  <c r="EM660" i="3"/>
  <c r="EM642" i="3"/>
  <c r="DX638" i="3"/>
  <c r="DX644" i="3"/>
  <c r="DX662" i="3"/>
  <c r="CB637" i="3"/>
  <c r="EH650" i="3"/>
  <c r="EH660" i="3"/>
  <c r="DX647" i="3"/>
  <c r="DX657" i="3"/>
  <c r="EH642" i="3"/>
  <c r="EM638" i="3"/>
  <c r="EM659" i="3"/>
  <c r="EM645" i="3"/>
  <c r="DX649" i="3"/>
  <c r="DX650" i="3"/>
  <c r="EH659" i="3"/>
  <c r="EH661" i="3"/>
  <c r="EH657" i="3"/>
  <c r="EH649" i="3"/>
  <c r="EH644" i="3"/>
  <c r="EH638" i="3"/>
  <c r="EH651" i="3"/>
  <c r="EH654" i="3"/>
  <c r="EH646" i="3"/>
  <c r="EH658" i="3"/>
  <c r="EH641" i="3"/>
  <c r="EH647" i="3"/>
  <c r="EH648" i="3"/>
  <c r="EH643" i="3"/>
  <c r="EH655" i="3"/>
  <c r="EH656" i="3"/>
  <c r="EH662" i="3"/>
  <c r="BX663" i="3"/>
  <c r="AB971" i="3" s="1"/>
  <c r="AJ971" i="3" s="1"/>
  <c r="EM643" i="3"/>
  <c r="CC663" i="3"/>
  <c r="AB972" i="3" s="1"/>
  <c r="AJ972" i="3" s="1"/>
  <c r="K57" i="7"/>
  <c r="M52" i="7"/>
  <c r="E10" i="7"/>
  <c r="E36" i="7" s="1"/>
  <c r="E44" i="7" s="1"/>
  <c r="Z816" i="3"/>
  <c r="G6" i="7"/>
  <c r="E63" i="13"/>
  <c r="S105" i="4"/>
  <c r="S107" i="4" s="1"/>
  <c r="R97" i="4"/>
  <c r="R105" i="4" s="1"/>
  <c r="K14" i="7"/>
  <c r="I21" i="7"/>
  <c r="I34" i="7" s="1"/>
  <c r="G9" i="7"/>
  <c r="I8" i="7"/>
  <c r="D78" i="11"/>
  <c r="B98" i="11"/>
  <c r="B106" i="11" s="1"/>
  <c r="C97" i="4"/>
  <c r="B97" i="4" s="1"/>
  <c r="C64" i="11"/>
  <c r="C98" i="11" s="1"/>
  <c r="ER661" i="3"/>
  <c r="O24" i="21"/>
  <c r="P24" i="21" s="1" a="1"/>
  <c r="P24" i="21" s="1"/>
  <c r="R24" i="21" s="1"/>
  <c r="ER653" i="3"/>
  <c r="BA989" i="3"/>
  <c r="DX658" i="3"/>
  <c r="DX653" i="3"/>
  <c r="DX648" i="3"/>
  <c r="O23" i="21"/>
  <c r="P23" i="21" s="1" a="1"/>
  <c r="P23" i="21" s="1"/>
  <c r="R23" i="21" s="1"/>
  <c r="ER659" i="3"/>
  <c r="ER642" i="3"/>
  <c r="BH696" i="3"/>
  <c r="O25" i="21"/>
  <c r="P25" i="21" s="1" a="1"/>
  <c r="P25" i="21" s="1"/>
  <c r="R25" i="21" s="1"/>
  <c r="DX640" i="3"/>
  <c r="ER643" i="3"/>
  <c r="O26" i="21"/>
  <c r="P26" i="21" s="1" a="1"/>
  <c r="P26" i="21" s="1"/>
  <c r="R26" i="21" s="1"/>
  <c r="CH663" i="3"/>
  <c r="BA990" i="3"/>
  <c r="ER647" i="3"/>
  <c r="DX656" i="3"/>
  <c r="DX643" i="3"/>
  <c r="BH723" i="3"/>
  <c r="BI723" i="3" s="1"/>
  <c r="BH722" i="3"/>
  <c r="BI722" i="3" s="1"/>
  <c r="BH720" i="3"/>
  <c r="BI720" i="3" s="1"/>
  <c r="BH713" i="3"/>
  <c r="BI713" i="3" s="1"/>
  <c r="ER652" i="3"/>
  <c r="ER645" i="3"/>
  <c r="O20" i="21"/>
  <c r="P20" i="21" s="1" a="1"/>
  <c r="P20" i="21" s="1"/>
  <c r="R20" i="21" s="1"/>
  <c r="O21" i="21"/>
  <c r="P21" i="21" s="1" a="1"/>
  <c r="P21" i="21" s="1"/>
  <c r="R21" i="21" s="1"/>
  <c r="O22" i="21"/>
  <c r="P22" i="21" s="1" a="1"/>
  <c r="P22" i="21" s="1"/>
  <c r="R22" i="21" s="1"/>
  <c r="O27" i="21"/>
  <c r="P27" i="21" s="1" a="1"/>
  <c r="P27" i="21" s="1"/>
  <c r="R27" i="21" s="1"/>
  <c r="CM636" i="3"/>
  <c r="EC643" i="3"/>
  <c r="EC659" i="3"/>
  <c r="EC662" i="3"/>
  <c r="EC649" i="3"/>
  <c r="EC660" i="3"/>
  <c r="EC657" i="3"/>
  <c r="EW663" i="3"/>
  <c r="AD124" i="20" s="1"/>
  <c r="AD127" i="20" s="1"/>
  <c r="EC640" i="3"/>
  <c r="EC661" i="3"/>
  <c r="BW637" i="3"/>
  <c r="EC641" i="3"/>
  <c r="EC650" i="3"/>
  <c r="EC645" i="3"/>
  <c r="EC652" i="3"/>
  <c r="EC642" i="3"/>
  <c r="EC651" i="3"/>
  <c r="EC648" i="3"/>
  <c r="BS663" i="3"/>
  <c r="AB970" i="3" s="1"/>
  <c r="AJ970" i="3" s="1"/>
  <c r="EC658" i="3"/>
  <c r="EC656" i="3"/>
  <c r="EC639" i="3"/>
  <c r="EC646" i="3"/>
  <c r="EC653" i="3"/>
  <c r="EC655" i="3"/>
  <c r="EC647" i="3"/>
  <c r="CG637" i="3"/>
  <c r="EM662" i="3"/>
  <c r="EM657" i="3"/>
  <c r="EM648" i="3"/>
  <c r="EC654" i="3"/>
  <c r="J29" i="25"/>
  <c r="AT20" i="25" s="1"/>
  <c r="EC638" i="3"/>
  <c r="ER648" i="3"/>
  <c r="ER655" i="3"/>
  <c r="ER640" i="3"/>
  <c r="ER649" i="3"/>
  <c r="CL637" i="3"/>
  <c r="ER662" i="3"/>
  <c r="ER641" i="3"/>
  <c r="ER638" i="3"/>
  <c r="ER644" i="3"/>
  <c r="ER654" i="3"/>
  <c r="ER646" i="3"/>
  <c r="I4" i="7"/>
  <c r="G5" i="7"/>
  <c r="ER651" i="3"/>
  <c r="ER660" i="3"/>
  <c r="ER650" i="3"/>
  <c r="ER658" i="3"/>
  <c r="BH728" i="3"/>
  <c r="BI703" i="3"/>
  <c r="G7" i="7"/>
  <c r="I6" i="7"/>
  <c r="ER639" i="3"/>
  <c r="ER657" i="3"/>
  <c r="F22" i="21"/>
  <c r="E27" i="21"/>
  <c r="AS349" i="20"/>
  <c r="AW112" i="20"/>
  <c r="AW114" i="20"/>
  <c r="AW110" i="20"/>
  <c r="AS351" i="20"/>
  <c r="AS347" i="20" s="1"/>
  <c r="AK458" i="20" s="1"/>
  <c r="T802" i="20" s="1"/>
  <c r="AF802" i="20" s="1"/>
  <c r="AW115" i="20"/>
  <c r="T789" i="20"/>
  <c r="AF789" i="20" s="1"/>
  <c r="AK78" i="20"/>
  <c r="AW111" i="20"/>
  <c r="E87" i="20" l="1"/>
  <c r="E88" i="20" s="1"/>
  <c r="E89" i="20" s="1"/>
  <c r="AP89" i="20" s="1"/>
  <c r="AK103" i="20" s="1"/>
  <c r="T791" i="20" s="1"/>
  <c r="AF791" i="20" s="1"/>
  <c r="E97" i="20"/>
  <c r="E100" i="20" s="1"/>
  <c r="BI728" i="3"/>
  <c r="AH753" i="3" s="1"/>
  <c r="AB973" i="3"/>
  <c r="AJ973" i="3" s="1"/>
  <c r="AJ975" i="3" s="1"/>
  <c r="AP539" i="20" s="1"/>
  <c r="EH663" i="3"/>
  <c r="O124" i="20" s="1"/>
  <c r="O127" i="20" s="1"/>
  <c r="O130" i="20" s="1"/>
  <c r="DX663" i="3"/>
  <c r="E124" i="20" s="1"/>
  <c r="E127" i="20" s="1"/>
  <c r="E130" i="20" s="1"/>
  <c r="AU46" i="25"/>
  <c r="AD130" i="20"/>
  <c r="CS637" i="3"/>
  <c r="CS663" i="3" s="1"/>
  <c r="U362" i="20" s="1"/>
  <c r="O52" i="7"/>
  <c r="M57" i="7"/>
  <c r="E105" i="13"/>
  <c r="AC455" i="3"/>
  <c r="AF540" i="20"/>
  <c r="E107" i="13"/>
  <c r="E48" i="7"/>
  <c r="K21" i="7"/>
  <c r="K34" i="7" s="1"/>
  <c r="M14" i="7"/>
  <c r="I9" i="7"/>
  <c r="K8" i="7"/>
  <c r="AU44" i="25"/>
  <c r="AT27" i="25"/>
  <c r="D98" i="11"/>
  <c r="B97" i="13"/>
  <c r="C105" i="4"/>
  <c r="AG258" i="20" s="1"/>
  <c r="D64" i="11"/>
  <c r="C106" i="11"/>
  <c r="D106" i="11" s="1"/>
  <c r="G38" i="21"/>
  <c r="G40" i="21" s="1"/>
  <c r="E10" i="21" s="1"/>
  <c r="AT22" i="25"/>
  <c r="AT21" i="25"/>
  <c r="AU40" i="25"/>
  <c r="AT26" i="25"/>
  <c r="AU39" i="25"/>
  <c r="AU45" i="25"/>
  <c r="AU43" i="25"/>
  <c r="EC663" i="3"/>
  <c r="J124" i="20" s="1"/>
  <c r="J127" i="20" s="1"/>
  <c r="J130" i="20" s="1"/>
  <c r="AU38" i="25"/>
  <c r="AT19" i="25"/>
  <c r="AT23" i="25"/>
  <c r="AU47" i="25"/>
  <c r="AB974" i="3"/>
  <c r="EM663" i="3"/>
  <c r="T124" i="20" s="1"/>
  <c r="T127" i="20" s="1"/>
  <c r="T130" i="20" s="1"/>
  <c r="ER663" i="3"/>
  <c r="Y124" i="20" s="1"/>
  <c r="Y127" i="20" s="1"/>
  <c r="Y130" i="20" s="1"/>
  <c r="AU37" i="25"/>
  <c r="AU36" i="25"/>
  <c r="AT29" i="25"/>
  <c r="AU42" i="25"/>
  <c r="AT25" i="25"/>
  <c r="AT28" i="25"/>
  <c r="AU41" i="25"/>
  <c r="AT24" i="25"/>
  <c r="G10" i="7"/>
  <c r="G36" i="7" s="1"/>
  <c r="G48" i="7" s="1"/>
  <c r="I5" i="7"/>
  <c r="K4" i="7"/>
  <c r="AW116" i="20"/>
  <c r="I7" i="7"/>
  <c r="K6" i="7"/>
  <c r="E59" i="7"/>
  <c r="E61" i="7" s="1"/>
  <c r="E47" i="7"/>
  <c r="E46" i="7"/>
  <c r="G54" i="21"/>
  <c r="G56" i="21" s="1"/>
  <c r="G58" i="21" s="1"/>
  <c r="E12" i="21" s="1"/>
  <c r="F25" i="21"/>
  <c r="F26" i="21"/>
  <c r="G26" i="21" s="1"/>
  <c r="G45" i="21"/>
  <c r="G47" i="21" s="1"/>
  <c r="G49" i="21" s="1"/>
  <c r="E11" i="21" s="1"/>
  <c r="G22" i="21"/>
  <c r="T790" i="20"/>
  <c r="AF790" i="20" s="1"/>
  <c r="AK180" i="20"/>
  <c r="T796" i="20" s="1"/>
  <c r="AF796" i="20" s="1"/>
  <c r="P420" i="3" l="1"/>
  <c r="O756" i="3"/>
  <c r="AJ1024" i="3"/>
  <c r="AP541" i="20" s="1"/>
  <c r="AJ1008" i="3"/>
  <c r="AJ977" i="3"/>
  <c r="I13" i="21" s="1"/>
  <c r="AJ986" i="3"/>
  <c r="B1039" i="3"/>
  <c r="AJ1028" i="3"/>
  <c r="AP542" i="20" s="1"/>
  <c r="O57" i="7"/>
  <c r="Q52" i="7"/>
  <c r="T11" i="15"/>
  <c r="T23" i="15" s="1"/>
  <c r="T26" i="15" s="1"/>
  <c r="T28" i="15" s="1"/>
  <c r="Y11" i="15"/>
  <c r="Y23" i="15" s="1"/>
  <c r="Y26" i="15" s="1"/>
  <c r="Y28" i="15" s="1"/>
  <c r="Y64" i="15" s="1"/>
  <c r="Y68" i="15" s="1"/>
  <c r="O14" i="7"/>
  <c r="M21" i="7"/>
  <c r="M34" i="7" s="1"/>
  <c r="M8" i="7"/>
  <c r="K9" i="7"/>
  <c r="B105" i="4"/>
  <c r="AC453" i="3" s="1"/>
  <c r="B105" i="13"/>
  <c r="AC454" i="3"/>
  <c r="I10" i="7"/>
  <c r="I36" i="7" s="1"/>
  <c r="I48" i="7" s="1"/>
  <c r="E132" i="20"/>
  <c r="E133" i="20" s="1"/>
  <c r="AK137" i="20" s="1"/>
  <c r="T792" i="20" s="1"/>
  <c r="AF792" i="20" s="1"/>
  <c r="G44" i="7"/>
  <c r="G47" i="7" s="1"/>
  <c r="M4" i="7"/>
  <c r="K5" i="7"/>
  <c r="M6" i="7"/>
  <c r="K7" i="7"/>
  <c r="G25" i="21"/>
  <c r="F24" i="21"/>
  <c r="AJ1032" i="3" l="1"/>
  <c r="AP546" i="20" s="1"/>
  <c r="AP545" i="20" s="1"/>
  <c r="AP543" i="20"/>
  <c r="AZ846" i="3"/>
  <c r="AZ849" i="3"/>
  <c r="Q57" i="7"/>
  <c r="S52" i="7"/>
  <c r="T29" i="15"/>
  <c r="O21" i="7"/>
  <c r="O34" i="7" s="1"/>
  <c r="Q14" i="7"/>
  <c r="O8" i="7"/>
  <c r="M9" i="7"/>
  <c r="AB255" i="20"/>
  <c r="AG257" i="20" s="1"/>
  <c r="AG259" i="20" s="1"/>
  <c r="AK262" i="20" s="1"/>
  <c r="T797" i="20" s="1"/>
  <c r="AF797" i="20" s="1"/>
  <c r="AB47" i="15"/>
  <c r="AB49" i="15" s="1"/>
  <c r="AB54" i="15" s="1"/>
  <c r="AB55" i="15" s="1"/>
  <c r="N154" i="25"/>
  <c r="N155" i="25" s="1"/>
  <c r="G59" i="7"/>
  <c r="G46" i="7"/>
  <c r="K10" i="7"/>
  <c r="K36" i="7" s="1"/>
  <c r="K44" i="7" s="1"/>
  <c r="I44" i="7"/>
  <c r="I46" i="7" s="1"/>
  <c r="E69" i="7"/>
  <c r="E71" i="7" s="1"/>
  <c r="O4" i="7"/>
  <c r="M5" i="7"/>
  <c r="O6" i="7"/>
  <c r="M7" i="7"/>
  <c r="G24" i="21"/>
  <c r="F27" i="21"/>
  <c r="G27" i="21"/>
  <c r="T24" i="15" l="1"/>
  <c r="Y38" i="15" s="1"/>
  <c r="Y40" i="15" s="1"/>
  <c r="AP548" i="20"/>
  <c r="AF541" i="20" s="1"/>
  <c r="AF542" i="20" s="1"/>
  <c r="AK548" i="20" s="1"/>
  <c r="T803" i="20" s="1"/>
  <c r="AF803" i="20" s="1"/>
  <c r="AF806" i="20" s="1"/>
  <c r="AZ854" i="3"/>
  <c r="U52" i="7"/>
  <c r="S57" i="7"/>
  <c r="S14" i="7"/>
  <c r="Q21" i="7"/>
  <c r="Q34" i="7" s="1"/>
  <c r="O9" i="7"/>
  <c r="Q8" i="7"/>
  <c r="K48" i="7"/>
  <c r="I59" i="7"/>
  <c r="I47" i="7"/>
  <c r="N165" i="25"/>
  <c r="AD38" i="15"/>
  <c r="AD40" i="15" s="1"/>
  <c r="Y41" i="15" s="1"/>
  <c r="AB56" i="15" s="1"/>
  <c r="M26" i="3" s="1"/>
  <c r="P203" i="3" s="1"/>
  <c r="G61" i="7"/>
  <c r="G69" i="7"/>
  <c r="M10" i="7"/>
  <c r="M36" i="7" s="1"/>
  <c r="M44" i="7" s="1"/>
  <c r="Q6" i="7"/>
  <c r="O7" i="7"/>
  <c r="Q4" i="7"/>
  <c r="O5" i="7"/>
  <c r="K47" i="7"/>
  <c r="K46" i="7"/>
  <c r="K59" i="7"/>
  <c r="G95" i="21"/>
  <c r="G96" i="21" s="1"/>
  <c r="G104" i="21"/>
  <c r="G106" i="21" s="1"/>
  <c r="G29" i="21"/>
  <c r="G31" i="21" s="1"/>
  <c r="E9" i="21" s="1"/>
  <c r="G64" i="21"/>
  <c r="U57" i="7" l="1"/>
  <c r="W52" i="7"/>
  <c r="I61" i="7"/>
  <c r="I69" i="7"/>
  <c r="U14" i="7"/>
  <c r="S21" i="7"/>
  <c r="S34" i="7" s="1"/>
  <c r="Q9" i="7"/>
  <c r="S8" i="7"/>
  <c r="G71" i="7"/>
  <c r="M48" i="7"/>
  <c r="AB57" i="15"/>
  <c r="AB59" i="15" s="1"/>
  <c r="AB76" i="15" s="1"/>
  <c r="AB77" i="15" s="1"/>
  <c r="I10" i="21" s="1"/>
  <c r="I11" i="21" s="1"/>
  <c r="I16" i="21" s="1"/>
  <c r="H4" i="21" s="1"/>
  <c r="O10" i="7"/>
  <c r="O36" i="7" s="1"/>
  <c r="O44" i="7" s="1"/>
  <c r="S6" i="7"/>
  <c r="Q7" i="7"/>
  <c r="K61" i="7"/>
  <c r="Q5" i="7"/>
  <c r="S4" i="7"/>
  <c r="M47" i="7"/>
  <c r="M46" i="7"/>
  <c r="M59" i="7"/>
  <c r="G81" i="21"/>
  <c r="G65" i="21"/>
  <c r="G69" i="21"/>
  <c r="E14" i="21"/>
  <c r="E15" i="21" s="1"/>
  <c r="Y52" i="7" l="1"/>
  <c r="W57" i="7"/>
  <c r="Q10" i="7"/>
  <c r="Q36" i="7" s="1"/>
  <c r="Q48" i="7" s="1"/>
  <c r="I71" i="7"/>
  <c r="U21" i="7"/>
  <c r="U34" i="7" s="1"/>
  <c r="W14" i="7"/>
  <c r="S9" i="7"/>
  <c r="U8" i="7"/>
  <c r="AB78" i="15"/>
  <c r="AB80" i="15" s="1"/>
  <c r="J81" i="15" s="1"/>
  <c r="M27" i="3"/>
  <c r="P204" i="3" s="1"/>
  <c r="O48" i="7"/>
  <c r="M61" i="7"/>
  <c r="M69" i="7"/>
  <c r="K69" i="7"/>
  <c r="K71" i="7" s="1"/>
  <c r="U4" i="7"/>
  <c r="S5" i="7"/>
  <c r="O59" i="7"/>
  <c r="O46" i="7"/>
  <c r="O47" i="7"/>
  <c r="S7" i="7"/>
  <c r="U6" i="7"/>
  <c r="G83" i="21"/>
  <c r="E13" i="21" s="1"/>
  <c r="E16" i="21" s="1"/>
  <c r="H3" i="21" s="1"/>
  <c r="H5" i="21" s="1"/>
  <c r="AA52" i="7" l="1"/>
  <c r="Y57" i="7"/>
  <c r="Q44" i="7"/>
  <c r="Q47" i="7" s="1"/>
  <c r="W21" i="7"/>
  <c r="W34" i="7" s="1"/>
  <c r="Y14" i="7"/>
  <c r="W8" i="7"/>
  <c r="U9" i="7"/>
  <c r="M71" i="7"/>
  <c r="S10" i="7"/>
  <c r="S36" i="7" s="1"/>
  <c r="S44" i="7" s="1"/>
  <c r="W6" i="7"/>
  <c r="U7" i="7"/>
  <c r="O61" i="7"/>
  <c r="W4" i="7"/>
  <c r="U5" i="7"/>
  <c r="AC52" i="7" l="1"/>
  <c r="AA57" i="7"/>
  <c r="Q59" i="7"/>
  <c r="Q46" i="7"/>
  <c r="U10" i="7"/>
  <c r="U36" i="7" s="1"/>
  <c r="U44" i="7" s="1"/>
  <c r="Y21" i="7"/>
  <c r="Y34" i="7" s="1"/>
  <c r="AA14" i="7"/>
  <c r="Y8" i="7"/>
  <c r="W9" i="7"/>
  <c r="S48" i="7"/>
  <c r="O69" i="7"/>
  <c r="O71" i="7" s="1"/>
  <c r="Y4" i="7"/>
  <c r="W5" i="7"/>
  <c r="S59" i="7"/>
  <c r="U59" i="7" s="1"/>
  <c r="S47" i="7"/>
  <c r="S46" i="7"/>
  <c r="Y6" i="7"/>
  <c r="W7" i="7"/>
  <c r="AE52" i="7" l="1"/>
  <c r="AC57" i="7"/>
  <c r="Q61" i="7"/>
  <c r="Q69" i="7"/>
  <c r="U48" i="7"/>
  <c r="AC14" i="7"/>
  <c r="AA21" i="7"/>
  <c r="AA34" i="7" s="1"/>
  <c r="AA8" i="7"/>
  <c r="Y9" i="7"/>
  <c r="W10" i="7"/>
  <c r="W36" i="7" s="1"/>
  <c r="W44" i="7" s="1"/>
  <c r="W59" i="7" s="1"/>
  <c r="AA4" i="7"/>
  <c r="Y5" i="7"/>
  <c r="AA6" i="7"/>
  <c r="Y7" i="7"/>
  <c r="S61" i="7"/>
  <c r="U47" i="7"/>
  <c r="U46" i="7"/>
  <c r="W67" i="7" l="1"/>
  <c r="W65" i="7"/>
  <c r="W66" i="7"/>
  <c r="AE57" i="7"/>
  <c r="AG52" i="7"/>
  <c r="AG57" i="7" s="1"/>
  <c r="Q71" i="7"/>
  <c r="AE14" i="7"/>
  <c r="AC21" i="7"/>
  <c r="AC34" i="7" s="1"/>
  <c r="AC8" i="7"/>
  <c r="AA9" i="7"/>
  <c r="S69" i="7"/>
  <c r="S71" i="7" s="1"/>
  <c r="W48" i="7"/>
  <c r="Y10" i="7"/>
  <c r="Y36" i="7" s="1"/>
  <c r="Y44" i="7" s="1"/>
  <c r="AA7" i="7"/>
  <c r="AC6" i="7"/>
  <c r="U61" i="7"/>
  <c r="AC4" i="7"/>
  <c r="AA5" i="7"/>
  <c r="W47" i="7"/>
  <c r="W46" i="7"/>
  <c r="Y48" i="7" l="1"/>
  <c r="AG14" i="7"/>
  <c r="AG21" i="7" s="1"/>
  <c r="AG34" i="7" s="1"/>
  <c r="AE21" i="7"/>
  <c r="AE34" i="7" s="1"/>
  <c r="AE8" i="7"/>
  <c r="AC9" i="7"/>
  <c r="AA10" i="7"/>
  <c r="AA36" i="7" s="1"/>
  <c r="AA48" i="7" s="1"/>
  <c r="U69" i="7"/>
  <c r="U71" i="7" s="1"/>
  <c r="AC7" i="7"/>
  <c r="AE6" i="7"/>
  <c r="AE4" i="7"/>
  <c r="AC5" i="7"/>
  <c r="Y59" i="7"/>
  <c r="Y47" i="7"/>
  <c r="Y46" i="7"/>
  <c r="Y67" i="7" l="1"/>
  <c r="Y65" i="7"/>
  <c r="Y66" i="7"/>
  <c r="AE9" i="7"/>
  <c r="AG8" i="7"/>
  <c r="AG9" i="7" s="1"/>
  <c r="AA44" i="7"/>
  <c r="AA46" i="7" s="1"/>
  <c r="AC10" i="7"/>
  <c r="AC36" i="7" s="1"/>
  <c r="AC44" i="7" s="1"/>
  <c r="W69" i="7"/>
  <c r="W71" i="7" s="1"/>
  <c r="AE7" i="7"/>
  <c r="AG6" i="7"/>
  <c r="AG7" i="7" s="1"/>
  <c r="AE5" i="7"/>
  <c r="AG4" i="7"/>
  <c r="AA47" i="7" l="1"/>
  <c r="AA59" i="7"/>
  <c r="AC48" i="7"/>
  <c r="AE10" i="7"/>
  <c r="AE36" i="7" s="1"/>
  <c r="AE44" i="7" s="1"/>
  <c r="Y69" i="7"/>
  <c r="Y71" i="7" s="1"/>
  <c r="AG5" i="7"/>
  <c r="AG10" i="7" s="1"/>
  <c r="AG36" i="7" s="1"/>
  <c r="AC59" i="7"/>
  <c r="AC46" i="7"/>
  <c r="AC47" i="7"/>
  <c r="AC65" i="7" l="1"/>
  <c r="AC67" i="7"/>
  <c r="AC66" i="7"/>
  <c r="AA66" i="7"/>
  <c r="AA65" i="7"/>
  <c r="AA67" i="7"/>
  <c r="AE48" i="7"/>
  <c r="AE46" i="7"/>
  <c r="AE59" i="7"/>
  <c r="AE47" i="7"/>
  <c r="AG48" i="7"/>
  <c r="AG44" i="7"/>
  <c r="AA69" i="7" l="1"/>
  <c r="AA71" i="7" s="1"/>
  <c r="AE67" i="7"/>
  <c r="AE66" i="7"/>
  <c r="AE65" i="7"/>
  <c r="AG46" i="7"/>
  <c r="AG47" i="7"/>
  <c r="AG59" i="7"/>
  <c r="AC69" i="7"/>
  <c r="AC71" i="7" s="1"/>
  <c r="AG66" i="7" l="1"/>
  <c r="AG65" i="7"/>
  <c r="AG67"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<sst xmlns="http://schemas.openxmlformats.org/spreadsheetml/2006/main" count="5177" uniqueCount="2762">
  <si>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</si>
  <si>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</si>
  <si>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</si>
  <si>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</si>
  <si>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</si>
  <si>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</si>
  <si>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</si>
  <si>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</si>
  <si>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</si>
  <si>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</si>
  <si>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</si>
  <si>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</si>
  <si>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</si>
  <si>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</si>
  <si>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</si>
  <si>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</si>
  <si>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</si>
  <si>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</si>
  <si>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</si>
  <si>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</si>
  <si>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</si>
  <si>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</si>
  <si>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</si>
  <si>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</si>
  <si>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</si>
  <si>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</si>
  <si>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</si>
  <si>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</si>
  <si>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</si>
  <si>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</si>
  <si>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</si>
  <si>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</si>
  <si>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</si>
  <si>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</si>
  <si>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</si>
  <si>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</si>
  <si>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</si>
  <si>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</si>
  <si>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</si>
  <si>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</si>
  <si>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</si>
  <si>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</si>
  <si>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</si>
  <si>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</si>
  <si>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</si>
  <si>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</si>
  <si>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</si>
  <si>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</si>
  <si>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</si>
  <si>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</si>
  <si>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</si>
  <si>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</si>
  <si>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</si>
  <si>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</si>
  <si>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</si>
  <si>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</si>
  <si>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</si>
  <si>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</si>
  <si>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</si>
  <si>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</si>
  <si>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</si>
  <si>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</si>
  <si>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</si>
  <si>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</si>
  <si>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</si>
  <si>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</si>
  <si>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</si>
  <si>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</si>
  <si>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</si>
  <si>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</si>
  <si>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</si>
  <si>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</si>
  <si>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</si>
  <si>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</si>
  <si>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</si>
  <si>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</si>
  <si>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</si>
  <si>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</si>
  <si>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</si>
  <si>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</si>
  <si>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</si>
  <si>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</si>
  <si>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</si>
  <si>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</si>
  <si>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</si>
  <si>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</si>
  <si>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</si>
  <si>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</si>
  <si>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</si>
  <si>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</si>
  <si>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</si>
  <si>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</si>
  <si>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</si>
  <si>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</si>
  <si>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</si>
  <si>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</si>
  <si>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</si>
  <si>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</si>
  <si>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</si>
  <si>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</si>
  <si>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</si>
  <si>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</si>
  <si>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</si>
  <si>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</si>
  <si>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</si>
  <si>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</si>
  <si>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</si>
  <si>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</si>
  <si>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</si>
  <si>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</si>
  <si>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</si>
  <si>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</si>
  <si>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</si>
  <si>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</si>
  <si>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</si>
  <si>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</si>
  <si>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</si>
  <si>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</si>
  <si>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</si>
  <si>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</si>
  <si>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</si>
  <si>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</si>
  <si>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</si>
  <si>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</si>
  <si>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</si>
  <si>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</si>
  <si>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</si>
  <si>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</si>
  <si>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</si>
  <si>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</si>
  <si>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</si>
  <si>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</si>
  <si>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</si>
  <si>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</si>
  <si>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</si>
  <si>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</si>
  <si>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</si>
  <si>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</si>
  <si>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</si>
  <si>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</si>
  <si>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</si>
  <si>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</si>
  <si>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</si>
  <si>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</si>
  <si>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</si>
  <si>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</si>
  <si>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</si>
  <si>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</si>
  <si>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</si>
  <si>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</si>
  <si>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</si>
  <si>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</si>
  <si>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</si>
  <si>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</si>
  <si>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</si>
  <si>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</si>
  <si>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</si>
  <si>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</si>
  <si>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</si>
  <si>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</si>
  <si>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</si>
  <si>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</si>
  <si>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</si>
  <si>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</si>
  <si>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</si>
  <si>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</si>
  <si>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</si>
  <si>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</si>
  <si>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</si>
  <si>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</si>
  <si>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</si>
  <si>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</si>
  <si>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</si>
  <si>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</si>
  <si>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</si>
  <si>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</si>
  <si>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</si>
  <si>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</si>
  <si>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</si>
  <si>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</si>
  <si>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</si>
  <si>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</si>
  <si>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</si>
  <si>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</si>
  <si>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</si>
  <si>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</si>
  <si>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</si>
  <si>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</si>
  <si>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</si>
  <si>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</si>
  <si>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</si>
  <si>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</si>
  <si>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</si>
  <si>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</si>
  <si>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</si>
  <si>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</si>
  <si>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</si>
  <si>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</si>
  <si>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</si>
  <si>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</si>
  <si>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</si>
  <si>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</si>
  <si>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</si>
  <si>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</si>
  <si>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</si>
  <si>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</si>
  <si>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</si>
  <si>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</si>
  <si>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</si>
  <si>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</si>
  <si>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</si>
  <si>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</si>
  <si>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</si>
  <si>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</si>
  <si>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</si>
  <si>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</si>
  <si>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</si>
  <si>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</si>
  <si>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</si>
  <si>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</si>
  <si>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</si>
  <si>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</si>
  <si>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</si>
  <si>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</si>
  <si>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</si>
  <si>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</si>
  <si>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</si>
  <si>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</si>
  <si>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</si>
  <si>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</si>
  <si>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</si>
  <si>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</si>
  <si>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</si>
  <si>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</si>
  <si>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</si>
  <si>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</si>
  <si>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</si>
  <si>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</si>
  <si>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</si>
  <si>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</si>
  <si>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</si>
  <si>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</si>
  <si>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</si>
  <si>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</si>
  <si>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</si>
  <si>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</si>
  <si>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</si>
  <si>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</si>
  <si>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</si>
  <si>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</si>
  <si>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</si>
  <si>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</si>
  <si>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</si>
  <si>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</si>
  <si>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</si>
  <si>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</si>
  <si>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</si>
  <si>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</si>
  <si>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</si>
  <si>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</si>
  <si>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</si>
  <si>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</si>
  <si>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</si>
  <si>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</si>
  <si>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</si>
  <si>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</si>
  <si>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</si>
  <si>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</si>
  <si>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</si>
  <si>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</si>
  <si>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</si>
  <si>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</si>
  <si>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</si>
  <si>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</si>
  <si>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</si>
  <si>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</si>
  <si>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</si>
  <si>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</si>
  <si>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</si>
  <si>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</si>
  <si>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</si>
  <si>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</si>
  <si>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</si>
  <si>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</si>
  <si>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</si>
  <si>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</si>
  <si>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</si>
  <si>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</si>
  <si>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</si>
  <si>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</si>
  <si>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</si>
  <si>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</si>
  <si>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</si>
  <si>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</si>
  <si>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</si>
  <si>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</si>
  <si>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</si>
  <si>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</si>
  <si>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</si>
  <si>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</si>
  <si>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</si>
  <si>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</si>
  <si>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</si>
  <si>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</si>
  <si>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</si>
  <si>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</si>
  <si>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</si>
  <si>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</si>
  <si>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</si>
  <si>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</si>
  <si>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</si>
  <si>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</si>
  <si>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</si>
  <si>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</si>
  <si>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</si>
  <si>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</si>
  <si>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</si>
  <si>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</si>
  <si>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</si>
  <si>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</si>
  <si>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</si>
  <si>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</si>
  <si>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</si>
  <si>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</si>
  <si>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</si>
  <si>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</si>
  <si>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</si>
  <si>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</si>
  <si>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</si>
  <si>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</si>
  <si>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</si>
  <si>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</si>
  <si>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</si>
  <si>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</si>
  <si>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</si>
  <si>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</si>
  <si>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</si>
  <si>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</si>
  <si>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</si>
  <si>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</si>
  <si>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</si>
  <si>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</si>
  <si>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</si>
  <si>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</si>
  <si>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</si>
  <si>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</si>
  <si>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</si>
  <si>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</si>
  <si>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</si>
  <si>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</si>
  <si>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</si>
  <si>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</si>
  <si>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</si>
  <si>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</si>
  <si>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</si>
  <si>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</si>
  <si>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</si>
  <si>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</si>
  <si>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</si>
  <si>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</si>
  <si>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</si>
  <si>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</si>
  <si>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</si>
  <si>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</si>
  <si>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</si>
  <si>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</si>
  <si>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</si>
  <si>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</si>
  <si>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</si>
  <si>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</si>
  <si>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</si>
  <si>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</si>
  <si>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</si>
  <si>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</si>
  <si>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</si>
  <si>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</si>
  <si>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</si>
  <si>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</si>
  <si>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</si>
  <si>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</si>
  <si>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</si>
  <si>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</si>
  <si>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</si>
  <si>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</si>
  <si>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</si>
  <si>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</si>
  <si>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</si>
  <si>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</si>
  <si>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</si>
  <si>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</si>
  <si>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</si>
  <si>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</si>
  <si>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</si>
  <si>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</si>
  <si>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</si>
  <si>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</si>
  <si>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</si>
  <si>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</si>
  <si>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</si>
  <si>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</si>
  <si>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</si>
  <si>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</si>
  <si>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</si>
  <si>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</si>
  <si>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</si>
  <si>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</si>
  <si>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</si>
  <si>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</si>
  <si>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</si>
  <si>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</si>
  <si>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</si>
  <si>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</si>
  <si>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</si>
  <si>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</si>
  <si>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</si>
  <si>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</si>
  <si>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</si>
  <si>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</si>
  <si>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</si>
  <si>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</si>
  <si>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</si>
  <si>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</si>
  <si>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</si>
  <si>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</si>
  <si>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</si>
  <si>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</si>
  <si>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</si>
  <si>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</si>
  <si>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</si>
  <si>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</si>
  <si>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</si>
  <si>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</si>
  <si>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</si>
  <si>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</si>
  <si>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</si>
  <si>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</si>
  <si>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</si>
  <si>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</si>
  <si>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</si>
  <si>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</si>
  <si>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</si>
  <si>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</si>
  <si>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</si>
  <si>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</si>
  <si>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</si>
  <si>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</si>
  <si>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</si>
  <si>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</si>
  <si>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</si>
  <si>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</si>
  <si>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</si>
  <si>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</si>
  <si>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</si>
  <si>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</si>
  <si>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</si>
  <si>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</si>
  <si>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</si>
  <si>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</si>
  <si>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</si>
  <si>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</si>
  <si>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</si>
  <si>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</si>
  <si>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</si>
  <si>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</si>
  <si>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</si>
  <si>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</si>
  <si>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</si>
  <si>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</si>
  <si>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</si>
  <si>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</si>
  <si>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</si>
  <si>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</si>
  <si>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</si>
  <si>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</si>
  <si>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</si>
  <si>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</si>
  <si>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</si>
  <si>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</si>
  <si>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</si>
  <si>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</si>
  <si>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</si>
  <si>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</si>
  <si>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</si>
  <si>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</si>
  <si>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</si>
  <si>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</si>
  <si>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</si>
  <si>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</si>
  <si>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</si>
  <si>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</si>
  <si>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</si>
  <si>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</si>
  <si>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</si>
  <si>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</si>
  <si>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</si>
  <si>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</si>
  <si>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</si>
  <si>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</si>
  <si>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</si>
  <si>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</si>
  <si>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</si>
  <si>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</si>
  <si>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</si>
  <si>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</si>
  <si>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</si>
  <si>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</si>
  <si>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</si>
  <si>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</si>
  <si>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</si>
  <si>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</si>
  <si>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</si>
  <si>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</si>
  <si>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</si>
  <si>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</si>
  <si>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</si>
  <si>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</si>
  <si>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</si>
  <si>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</si>
  <si>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</si>
  <si>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</si>
  <si>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</si>
  <si>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</si>
  <si>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</si>
  <si>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</si>
  <si>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</si>
  <si>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</si>
  <si>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</si>
  <si>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</si>
  <si>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</si>
  <si>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</si>
  <si>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</si>
  <si>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</si>
  <si>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</si>
  <si>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</si>
  <si>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</si>
  <si>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</si>
  <si>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</si>
  <si>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</si>
  <si>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</si>
  <si>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</si>
  <si>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</si>
  <si>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</si>
  <si>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</si>
  <si>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</si>
  <si>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</si>
  <si>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</si>
  <si>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</si>
  <si>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</si>
  <si>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</si>
  <si>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</si>
  <si>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</si>
  <si>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</si>
  <si>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</si>
  <si>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</si>
  <si>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</si>
  <si>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</si>
  <si>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</si>
  <si>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</si>
  <si>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</si>
  <si>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</si>
  <si>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</si>
  <si>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</si>
  <si>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</si>
  <si>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</si>
  <si>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</si>
  <si>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</si>
  <si>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</si>
  <si>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</si>
  <si>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</si>
  <si>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</si>
  <si>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</si>
  <si>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</si>
  <si>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</si>
  <si>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</si>
  <si>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</si>
  <si>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</si>
  <si>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</si>
  <si>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</si>
  <si>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</si>
  <si>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</si>
  <si>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</si>
  <si>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</si>
  <si>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</si>
  <si>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</si>
  <si>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</si>
  <si>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</si>
  <si>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</si>
  <si>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</si>
  <si>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</si>
  <si>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</si>
  <si>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</si>
  <si>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</si>
  <si>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</si>
  <si>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</si>
  <si>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</si>
  <si>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</si>
  <si>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</si>
  <si>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</si>
  <si>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</si>
  <si>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</si>
  <si>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</si>
  <si>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</si>
  <si>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</si>
  <si>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</si>
  <si>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</si>
  <si>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</si>
  <si>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</si>
  <si>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</si>
  <si>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</si>
  <si>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</si>
  <si>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</si>
  <si>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</si>
  <si>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</si>
  <si>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</si>
  <si>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</si>
  <si>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</si>
  <si>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</si>
  <si>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</si>
  <si>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</si>
  <si>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</si>
  <si>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</si>
  <si>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</si>
  <si>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</si>
  <si>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</si>
  <si>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</si>
  <si>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</si>
  <si>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</si>
  <si>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</si>
  <si>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</si>
  <si>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</si>
  <si>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</si>
  <si>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</si>
  <si>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</si>
  <si>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</si>
  <si>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</si>
  <si>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</si>
  <si>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</si>
  <si>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</si>
  <si>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</si>
  <si>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</si>
  <si>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</si>
  <si>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</si>
  <si>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</si>
  <si>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</si>
  <si>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</si>
  <si>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</si>
  <si>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</si>
  <si>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</si>
  <si>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</si>
  <si>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</si>
  <si>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</si>
  <si>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</si>
  <si>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</si>
  <si>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</si>
  <si>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</si>
  <si>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</si>
  <si>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</si>
  <si>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</si>
  <si>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</si>
  <si>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</si>
  <si>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</si>
  <si>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</si>
  <si>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</si>
  <si>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</si>
  <si>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</si>
  <si>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</si>
  <si>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</si>
  <si>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</si>
  <si>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</si>
  <si>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</si>
  <si>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</si>
  <si>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</si>
  <si>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</si>
  <si>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</si>
  <si>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</si>
  <si>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</si>
  <si>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</si>
  <si>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</si>
  <si>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</si>
  <si>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</si>
  <si>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</si>
  <si>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</si>
  <si>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</si>
  <si>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</si>
  <si>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</si>
  <si>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</si>
  <si>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</si>
  <si>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</si>
  <si>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</si>
  <si>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</si>
  <si>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</si>
  <si>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</si>
  <si>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</si>
  <si>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</si>
  <si>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</si>
  <si>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</si>
  <si>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</si>
  <si>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</si>
  <si>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</si>
  <si>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</si>
  <si>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</si>
  <si>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</si>
  <si>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</si>
  <si>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</si>
  <si>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</si>
  <si>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</si>
  <si>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</si>
  <si>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</si>
  <si>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</si>
  <si>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</si>
  <si>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</si>
  <si>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</si>
  <si>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</si>
  <si>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</si>
  <si>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</si>
  <si>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</si>
  <si>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</si>
  <si>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</si>
  <si>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</si>
  <si>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</si>
  <si>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</si>
  <si>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</si>
  <si>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</si>
  <si>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</si>
  <si>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</si>
  <si>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</si>
  <si>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</si>
  <si>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</si>
  <si>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</si>
  <si>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</si>
  <si>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</si>
  <si>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</si>
  <si>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</si>
  <si>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</si>
  <si>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</si>
  <si>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</si>
  <si>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</si>
  <si>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</si>
  <si>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</si>
  <si>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</si>
  <si>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</si>
  <si>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</si>
  <si>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</si>
  <si>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</si>
  <si>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</si>
  <si>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</si>
  <si>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</si>
  <si>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</si>
  <si>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</si>
  <si>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</si>
  <si>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</si>
  <si>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</si>
  <si>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</si>
  <si>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</si>
  <si>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</si>
  <si>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</si>
  <si>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</si>
  <si>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</si>
  <si>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</si>
  <si>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</si>
  <si>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</si>
  <si>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</si>
  <si>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</si>
  <si>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</si>
  <si>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</si>
  <si>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</si>
  <si>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</si>
  <si>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</si>
  <si>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</si>
  <si>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</si>
  <si>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</si>
  <si>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</si>
  <si>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</si>
  <si>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</si>
  <si>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</si>
  <si>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</si>
  <si>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</si>
  <si>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</si>
  <si>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</si>
  <si>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</si>
  <si>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</si>
  <si>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</si>
  <si>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</si>
  <si>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</si>
  <si>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</si>
  <si>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</si>
  <si>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</si>
  <si>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</si>
  <si>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</si>
  <si>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</si>
  <si>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</si>
  <si>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</si>
  <si>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</si>
  <si>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</si>
  <si>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</si>
  <si>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</si>
  <si>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</si>
  <si>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</si>
  <si>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</si>
  <si>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</si>
  <si>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</si>
  <si>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</si>
  <si>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</si>
  <si>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</si>
  <si>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</si>
  <si>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</si>
  <si>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</si>
  <si>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</si>
  <si>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</si>
  <si>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</si>
  <si>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</si>
  <si>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</si>
  <si>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</si>
  <si>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</si>
  <si>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</si>
  <si>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</si>
  <si>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</si>
  <si>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</si>
  <si>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</si>
  <si>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</si>
  <si>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</si>
  <si>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</si>
  <si>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</si>
  <si>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</si>
  <si>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</si>
  <si>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</si>
  <si>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</si>
  <si>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</si>
  <si>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</si>
  <si>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</si>
  <si>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</si>
  <si>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</si>
  <si>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</si>
  <si>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</si>
  <si>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</si>
  <si>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</si>
  <si>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</si>
  <si>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</si>
  <si>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</si>
  <si>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</si>
  <si>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</si>
  <si>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</si>
  <si>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</si>
  <si>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</si>
  <si>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</si>
  <si>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</si>
  <si>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</si>
  <si>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</si>
  <si>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</si>
  <si>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</si>
  <si>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</si>
  <si>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</si>
  <si>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</si>
  <si>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</si>
  <si>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</si>
  <si>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</si>
  <si>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</si>
  <si>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</si>
  <si>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</si>
  <si>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</si>
  <si>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</si>
  <si>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</si>
  <si>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</si>
  <si>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</si>
  <si>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</si>
  <si>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</si>
  <si>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</si>
  <si>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</si>
  <si>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</si>
  <si>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</si>
  <si>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</si>
  <si>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</si>
  <si>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</si>
  <si>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</si>
  <si>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</si>
  <si>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</si>
  <si>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</si>
  <si>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</si>
  <si>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</si>
  <si>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</si>
  <si>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</si>
  <si>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</si>
  <si>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</si>
  <si>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</si>
  <si>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</si>
  <si>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</si>
  <si>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</si>
  <si>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</si>
  <si>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</si>
  <si>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</si>
  <si>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</si>
  <si>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</si>
  <si>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</si>
  <si>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</si>
  <si>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</si>
  <si>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</si>
  <si>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</si>
  <si>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</si>
  <si>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</si>
  <si>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</si>
  <si>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</si>
  <si>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</si>
  <si>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</si>
  <si>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</si>
  <si>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</si>
  <si>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</si>
  <si>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</si>
  <si>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</si>
  <si>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</si>
  <si>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</si>
  <si>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</si>
  <si>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</si>
  <si>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</si>
  <si>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</si>
  <si>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</si>
  <si>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</si>
  <si>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</si>
  <si>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</si>
  <si>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</si>
  <si>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</si>
  <si>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</si>
  <si>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</si>
  <si>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</si>
  <si>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</si>
  <si>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</si>
  <si>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</si>
  <si>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</si>
  <si>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</si>
  <si>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</si>
  <si>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</si>
  <si>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</si>
  <si>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</si>
  <si>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</si>
  <si>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</si>
  <si>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</si>
  <si>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</si>
  <si>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</si>
  <si>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</si>
  <si>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</si>
  <si>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</si>
  <si>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</si>
  <si>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</si>
  <si>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</si>
  <si>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</si>
  <si>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</si>
  <si>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</si>
  <si>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</si>
  <si>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</si>
  <si>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</si>
  <si>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</si>
  <si>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</si>
  <si>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</si>
  <si>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</si>
  <si>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</si>
  <si>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</si>
  <si>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</si>
  <si>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</si>
  <si>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</si>
  <si>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</si>
  <si>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</si>
  <si>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</si>
  <si>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</si>
  <si>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</si>
  <si>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</si>
  <si>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</si>
  <si>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</si>
  <si>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</si>
  <si>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</si>
  <si>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</si>
  <si>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</si>
  <si>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</si>
  <si>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</si>
  <si>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</si>
  <si>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</si>
  <si>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</si>
  <si>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</si>
  <si>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</si>
  <si>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</si>
  <si>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</si>
  <si>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</si>
  <si>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</si>
  <si>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</si>
  <si>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</si>
  <si>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</si>
  <si>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</si>
  <si>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</si>
  <si>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</si>
  <si>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</si>
  <si>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</si>
  <si>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</si>
  <si>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</si>
  <si>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</si>
  <si>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</si>
  <si>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</si>
  <si>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</si>
  <si>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</si>
  <si>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</si>
  <si>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</si>
  <si>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</si>
  <si>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</si>
  <si>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</si>
  <si>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</si>
  <si>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</si>
  <si>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</si>
  <si>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</si>
  <si>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</si>
  <si>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</si>
  <si>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</si>
  <si>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</si>
  <si>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</si>
  <si>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</si>
  <si>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</si>
  <si>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</si>
  <si>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</si>
  <si>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</si>
  <si>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</si>
  <si>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</si>
  <si>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</si>
  <si>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</si>
  <si>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</si>
  <si>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</si>
  <si>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</si>
  <si>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</si>
  <si>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</si>
  <si>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</si>
  <si>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</si>
  <si>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</si>
  <si>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</si>
  <si>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</si>
  <si>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</si>
  <si>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</si>
  <si>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</si>
  <si>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</si>
  <si>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</si>
  <si>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</si>
  <si>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</si>
  <si>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</si>
  <si>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</si>
  <si>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</si>
  <si>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</si>
  <si>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</si>
  <si>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</si>
  <si>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</si>
  <si>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</si>
  <si>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</si>
  <si>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</si>
  <si>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</si>
  <si>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</si>
  <si>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</si>
  <si>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</si>
  <si>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</si>
  <si>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</si>
  <si>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</si>
  <si>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</si>
  <si>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</si>
  <si>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</si>
  <si>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</si>
  <si>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</si>
  <si>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</si>
  <si>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</si>
  <si>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</si>
  <si>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</si>
  <si>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</si>
  <si>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</si>
  <si>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</si>
  <si>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</si>
  <si>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</si>
  <si>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</si>
  <si>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</si>
  <si>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</si>
  <si>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</si>
  <si>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</si>
  <si>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</si>
  <si>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</si>
  <si>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</si>
  <si>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</si>
  <si>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</si>
  <si>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</si>
  <si>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</si>
  <si>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</si>
  <si>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</si>
  <si>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</si>
  <si>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</si>
  <si>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</si>
  <si>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</si>
  <si>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</si>
  <si>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</si>
  <si>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</si>
  <si>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</si>
  <si>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</si>
  <si>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</si>
  <si>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</si>
  <si>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</si>
  <si>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</si>
  <si>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</si>
  <si>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</si>
  <si>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</si>
  <si>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</si>
  <si>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</si>
  <si>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</si>
  <si>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</si>
  <si>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</si>
  <si>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</si>
  <si>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</si>
  <si>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</si>
  <si>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</si>
  <si>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</si>
  <si>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</si>
  <si>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</si>
  <si>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</si>
  <si>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</si>
  <si>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</si>
  <si>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</si>
  <si>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</si>
  <si>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</si>
  <si>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</si>
  <si>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</si>
  <si>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</si>
  <si>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</si>
  <si>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</si>
  <si>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</si>
  <si>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</si>
  <si>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</si>
  <si>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</si>
  <si>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</si>
  <si>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</si>
  <si>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</si>
  <si>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</si>
  <si>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</si>
  <si>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</si>
  <si>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</si>
  <si>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</si>
  <si>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</si>
  <si>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</si>
  <si>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</si>
  <si>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</si>
  <si>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</si>
  <si>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</si>
  <si>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</si>
  <si>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</si>
  <si>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</si>
  <si>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</si>
  <si>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</si>
  <si>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</si>
  <si>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</si>
  <si>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</si>
  <si>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</si>
  <si>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</si>
  <si>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</si>
  <si>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</si>
  <si>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</si>
  <si>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</si>
  <si>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</si>
  <si>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</si>
  <si>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</si>
  <si>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</si>
  <si>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</si>
  <si>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</si>
  <si>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</si>
  <si>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</si>
  <si>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</si>
  <si>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</si>
  <si>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</si>
  <si>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</si>
  <si>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</si>
  <si>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</si>
  <si>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</si>
  <si>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</si>
  <si>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</si>
  <si>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</si>
  <si>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</si>
  <si>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</si>
  <si>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</si>
  <si>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</si>
  <si>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</si>
  <si>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</si>
  <si>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</si>
  <si>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</si>
  <si>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</si>
  <si>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</si>
  <si>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</si>
  <si>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</si>
  <si>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</si>
  <si>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</si>
  <si>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</si>
  <si>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</si>
  <si>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</si>
  <si>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</si>
  <si>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</si>
  <si>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</si>
  <si>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</si>
  <si>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</si>
  <si>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</si>
  <si>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</si>
  <si>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</si>
  <si>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</si>
  <si>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</si>
  <si>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</si>
  <si>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</si>
  <si>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</si>
  <si>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</si>
  <si>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</si>
  <si>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</si>
  <si>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</si>
  <si>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</si>
  <si>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</si>
  <si>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</si>
  <si>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</si>
  <si>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</si>
  <si>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</si>
  <si>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</si>
  <si>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</si>
  <si>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</si>
  <si>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</si>
  <si>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</si>
  <si>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</si>
  <si>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</si>
  <si>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</si>
  <si>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</si>
  <si>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</si>
  <si>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</si>
  <si>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</si>
  <si>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</si>
  <si>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</si>
  <si>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</si>
  <si>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</si>
  <si>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</si>
  <si>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</si>
  <si>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</si>
  <si>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</si>
  <si>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</si>
  <si>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</si>
  <si>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</si>
  <si>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</si>
  <si>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</si>
  <si>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</si>
  <si>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</si>
  <si>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</si>
  <si>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</si>
  <si>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</si>
  <si>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</si>
  <si>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</si>
  <si>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</si>
  <si>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</si>
  <si>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</si>
  <si>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</si>
  <si>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</si>
  <si>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</si>
  <si>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</si>
  <si>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</si>
  <si>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</si>
  <si>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</si>
  <si>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</si>
  <si>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</si>
  <si>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</si>
  <si>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</si>
  <si>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</si>
  <si>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</si>
  <si>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</si>
  <si>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</si>
  <si>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</si>
  <si>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</si>
  <si>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</si>
  <si>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</si>
  <si>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</si>
  <si>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</si>
  <si>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</si>
  <si>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</si>
  <si>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</si>
  <si>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</si>
  <si>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</si>
  <si>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</si>
  <si>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</si>
  <si>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</si>
  <si>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</si>
  <si>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</si>
  <si>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</si>
  <si>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</si>
  <si>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</si>
  <si>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</si>
  <si>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</si>
  <si>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</si>
  <si>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</si>
  <si>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</si>
  <si>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</si>
  <si>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</si>
  <si>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</si>
  <si>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</si>
  <si>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</si>
  <si>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</si>
  <si>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</si>
  <si>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</si>
  <si>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</si>
  <si>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</si>
  <si>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</si>
  <si>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</si>
  <si>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</si>
  <si>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</si>
  <si>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</si>
  <si>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</si>
  <si>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</si>
  <si>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</si>
  <si>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</si>
  <si>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</si>
  <si>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</si>
  <si>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</si>
  <si>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</si>
  <si>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</si>
  <si>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</si>
  <si>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</si>
  <si>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</si>
  <si>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</si>
  <si>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</si>
  <si>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</si>
  <si>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</si>
  <si>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</si>
  <si>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</si>
  <si>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</si>
  <si>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</si>
  <si>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</si>
  <si>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</si>
  <si>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</si>
  <si>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</si>
  <si>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</si>
  <si>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</si>
  <si>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</si>
  <si>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</si>
  <si>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</si>
  <si>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</si>
  <si>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</si>
  <si>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</si>
  <si>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</si>
  <si>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</si>
  <si>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</si>
  <si>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</si>
  <si>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</si>
  <si>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</si>
  <si>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</si>
  <si>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</si>
  <si>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</si>
  <si>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</si>
  <si>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</si>
  <si>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</si>
  <si>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</si>
  <si>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</si>
  <si>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</si>
  <si>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</si>
  <si>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</si>
  <si>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</si>
  <si>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</si>
  <si>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</si>
  <si>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</si>
  <si>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</si>
  <si>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</si>
  <si>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</si>
  <si>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</si>
  <si>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</si>
  <si>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</si>
  <si>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</si>
  <si>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</si>
  <si>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</si>
  <si>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</si>
  <si>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</si>
  <si>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</si>
  <si>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</si>
  <si>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</si>
  <si>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</si>
  <si>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</si>
  <si>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</si>
  <si>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</si>
  <si>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</si>
  <si>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</si>
  <si>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</si>
  <si>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</si>
  <si>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</si>
  <si>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</si>
  <si>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</si>
  <si>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</si>
  <si>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</si>
  <si>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</si>
  <si>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</si>
  <si>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</si>
  <si>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</si>
  <si>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</si>
  <si>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</si>
  <si>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</si>
  <si>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</si>
  <si>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</si>
  <si>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</si>
  <si>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</si>
  <si>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</si>
  <si>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</si>
  <si>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</si>
  <si>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</si>
  <si>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</si>
  <si>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</si>
  <si>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</si>
  <si>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</si>
  <si>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</si>
  <si>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</si>
  <si>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</si>
  <si>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</si>
  <si>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</si>
  <si>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</si>
  <si>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</si>
  <si>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</si>
  <si>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</si>
  <si>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</si>
  <si>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</si>
  <si>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</si>
  <si>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</si>
  <si>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</si>
  <si>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</si>
  <si>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</si>
  <si>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</si>
  <si>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</si>
  <si>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</si>
  <si>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</si>
  <si>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</si>
  <si>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</si>
  <si>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</si>
  <si>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</si>
  <si>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</si>
  <si>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</si>
  <si>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</si>
  <si>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</si>
  <si>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</si>
  <si>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</si>
  <si>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</si>
  <si>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</si>
  <si>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</si>
  <si>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</si>
  <si>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</si>
  <si>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</si>
  <si>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</si>
  <si>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</si>
  <si>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</si>
  <si>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</si>
  <si>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</si>
  <si>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</si>
  <si>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</si>
  <si>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</si>
  <si>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</si>
  <si>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</si>
  <si>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</si>
  <si>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</si>
  <si>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</si>
  <si>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</si>
  <si>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</si>
  <si>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</si>
  <si>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</si>
  <si>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</si>
  <si>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</si>
  <si>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</si>
  <si>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</si>
  <si>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</si>
  <si>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</si>
  <si>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</si>
  <si>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</si>
  <si>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</si>
  <si>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</si>
  <si>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</si>
  <si>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</si>
  <si>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</si>
  <si>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</si>
  <si>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</si>
  <si>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</si>
  <si>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</si>
  <si>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</si>
  <si>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</si>
  <si>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</si>
  <si>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</si>
  <si>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</si>
  <si>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</si>
  <si>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</si>
  <si>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</si>
  <si>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</si>
  <si>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</si>
  <si>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</si>
  <si>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</si>
  <si>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</si>
  <si>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</si>
  <si>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</si>
  <si>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</si>
  <si>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</si>
  <si>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</si>
  <si>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</si>
  <si>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</si>
  <si>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</si>
  <si>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</si>
  <si>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</si>
  <si>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</si>
  <si>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</si>
  <si>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</si>
  <si>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</si>
  <si>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</si>
  <si>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</si>
  <si>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</si>
  <si>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</si>
  <si>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</si>
  <si>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</si>
  <si>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</si>
  <si>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</si>
  <si>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</si>
  <si>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</si>
  <si>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</si>
  <si>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</si>
  <si>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</si>
  <si>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</si>
  <si>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</si>
  <si>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</si>
  <si>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</si>
  <si>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</si>
  <si>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</si>
  <si>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</si>
  <si>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</si>
  <si>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</si>
  <si>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</si>
  <si>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</si>
  <si>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</si>
  <si>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</si>
  <si>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</si>
  <si>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</si>
  <si>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</si>
  <si>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</si>
  <si>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</si>
  <si>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</si>
  <si>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</si>
  <si>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</si>
  <si>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</si>
  <si>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</si>
  <si>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</si>
  <si>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</si>
  <si>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</si>
  <si>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</si>
  <si>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</si>
  <si>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</si>
  <si>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</si>
  <si>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</si>
  <si>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</si>
  <si>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</si>
  <si>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</si>
  <si>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</si>
  <si>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</si>
  <si>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</si>
  <si>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</si>
  <si>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</si>
  <si>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</si>
  <si>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</si>
  <si>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</si>
  <si>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</si>
  <si>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</si>
  <si>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</si>
  <si>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</si>
  <si>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</si>
  <si>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</si>
  <si>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</si>
  <si>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</si>
  <si>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</si>
  <si>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</si>
  <si>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</si>
  <si>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</si>
  <si>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</si>
  <si>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</si>
  <si>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</si>
  <si>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</si>
  <si>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</si>
  <si>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</si>
  <si>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</si>
  <si>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</si>
  <si>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</si>
  <si>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</si>
  <si>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</si>
  <si>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</si>
  <si>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</si>
  <si>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</si>
  <si>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</si>
  <si>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</si>
  <si>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</si>
  <si>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</si>
  <si>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</si>
  <si>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</si>
  <si>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</si>
  <si>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</si>
  <si>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</si>
  <si>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</si>
  <si>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</si>
  <si>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</si>
  <si>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</si>
  <si>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</si>
  <si>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</si>
  <si>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</si>
  <si>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</si>
  <si>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</si>
  <si>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</si>
  <si>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</si>
  <si>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</si>
  <si>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</si>
  <si>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</si>
  <si>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</si>
  <si>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</si>
  <si>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</si>
  <si>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</si>
  <si>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</si>
  <si>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</si>
  <si>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</si>
  <si>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</si>
  <si>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</si>
  <si>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</si>
  <si>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</si>
  <si>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</si>
  <si>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</si>
  <si>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</si>
  <si>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</si>
  <si>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</si>
  <si>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</si>
  <si>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</si>
  <si>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</si>
  <si>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</si>
  <si>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</si>
  <si>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</si>
  <si>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</si>
  <si>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</si>
  <si>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</si>
  <si>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</si>
  <si>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</si>
  <si>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</si>
  <si>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</si>
  <si>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</si>
  <si>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</si>
  <si>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</si>
  <si>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</si>
  <si>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</si>
  <si>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</si>
  <si>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</si>
  <si>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</si>
  <si>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</si>
  <si>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</si>
  <si>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</si>
  <si>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</si>
  <si>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</si>
  <si>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</si>
  <si>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</si>
  <si>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</si>
  <si>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</si>
  <si>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</si>
  <si>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</si>
  <si>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</si>
  <si>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</si>
  <si>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</si>
  <si>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</si>
  <si>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</si>
  <si>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</si>
  <si>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</si>
  <si>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</si>
  <si>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</si>
  <si>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</si>
  <si>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</si>
  <si>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</si>
  <si>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</si>
  <si>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</si>
  <si>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</si>
  <si>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</si>
  <si>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</si>
  <si>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</si>
  <si>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</si>
  <si>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</si>
  <si>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</si>
  <si>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</si>
  <si>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</si>
  <si>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</si>
  <si>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</si>
  <si>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</si>
  <si>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</si>
  <si>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</si>
  <si>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</si>
  <si>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</si>
  <si>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</si>
  <si>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</si>
  <si>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</si>
  <si>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</si>
  <si>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</si>
  <si>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</si>
  <si>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</si>
  <si>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</si>
  <si>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</si>
  <si>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</si>
  <si>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</si>
  <si>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</si>
  <si>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</si>
  <si>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</si>
  <si>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</si>
  <si>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</si>
  <si>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</si>
  <si>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</si>
  <si>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</si>
  <si>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</si>
  <si>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</si>
  <si>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</si>
  <si>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</si>
  <si>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</si>
  <si>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</si>
  <si>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</si>
  <si>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</si>
  <si>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</si>
  <si>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</si>
  <si>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</si>
  <si>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</si>
  <si>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</si>
  <si>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</si>
  <si>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</si>
  <si>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</si>
  <si>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</si>
  <si>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</si>
  <si>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</si>
  <si>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</si>
  <si>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</si>
  <si>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</si>
  <si>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</si>
  <si>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</si>
  <si>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</si>
  <si>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</si>
  <si>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</si>
  <si>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</si>
  <si>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</si>
  <si>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</si>
  <si>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</si>
  <si>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</si>
  <si>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</si>
  <si>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</si>
  <si>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</si>
  <si>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</si>
  <si>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</si>
  <si>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</si>
  <si>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</si>
  <si>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</si>
  <si>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</si>
  <si>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</si>
  <si>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</si>
  <si>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</si>
  <si>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</si>
  <si>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</si>
  <si>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</si>
  <si>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</si>
  <si>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</si>
  <si>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</si>
  <si>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</si>
  <si>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</si>
  <si>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</si>
  <si>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</si>
  <si>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</si>
  <si>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</si>
  <si>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</si>
  <si>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</si>
  <si>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</si>
  <si>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</si>
  <si>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</si>
  <si>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</si>
  <si>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</si>
  <si>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</si>
  <si>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</si>
  <si>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</si>
  <si>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</si>
  <si>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</si>
  <si>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</si>
  <si>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</si>
  <si>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</si>
  <si>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</si>
  <si>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</si>
  <si>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</si>
  <si>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</si>
  <si>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</si>
  <si>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</si>
  <si>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</si>
  <si>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</si>
  <si>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</si>
  <si>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</si>
  <si>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</si>
  <si>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</si>
  <si>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</si>
  <si>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</si>
  <si>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</si>
  <si>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</si>
  <si>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</si>
  <si>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</si>
  <si>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</si>
  <si>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</si>
  <si>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</si>
  <si>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</si>
  <si>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</si>
  <si>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</si>
  <si>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</si>
  <si>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</si>
  <si>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</si>
  <si>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</si>
  <si>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</si>
  <si>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</si>
  <si>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</si>
  <si>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</si>
  <si>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</si>
  <si>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</si>
  <si>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</si>
  <si>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</si>
  <si>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</si>
  <si>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</si>
  <si>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</si>
  <si>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</si>
  <si>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</si>
  <si>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</si>
  <si>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</si>
  <si>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</si>
  <si>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</si>
  <si>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</si>
  <si>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</si>
  <si>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</si>
  <si>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</si>
  <si>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</si>
  <si>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</si>
  <si>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</si>
  <si>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</si>
  <si>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</si>
  <si>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</si>
  <si>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</si>
  <si>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</si>
  <si>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</si>
  <si>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</si>
  <si>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</si>
  <si>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</si>
  <si>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</si>
  <si>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</si>
  <si>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</si>
  <si>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</si>
  <si>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</si>
  <si>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</si>
  <si>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</si>
  <si>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</si>
  <si>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</si>
  <si>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</si>
  <si>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</si>
  <si>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</si>
  <si>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</si>
  <si>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</si>
  <si>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</si>
  <si>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</si>
  <si>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</si>
  <si>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</si>
  <si>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</si>
  <si>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</si>
  <si>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</si>
  <si>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</si>
  <si>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</si>
  <si>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</si>
  <si>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</si>
  <si>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</si>
  <si>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</si>
  <si>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</si>
  <si>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</si>
  <si>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</si>
  <si>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</si>
  <si>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</si>
  <si>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</si>
  <si>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</si>
  <si>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</si>
  <si>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</si>
  <si>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</si>
  <si>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</si>
  <si>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</si>
  <si>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</si>
  <si>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</si>
  <si>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</si>
  <si>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</si>
  <si>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</si>
  <si>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</si>
  <si>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</si>
  <si>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</si>
  <si>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</si>
  <si>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</si>
  <si>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</si>
  <si>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</si>
  <si>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</si>
  <si>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</si>
  <si>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</si>
  <si>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</si>
  <si>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</si>
  <si>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</si>
  <si>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</si>
  <si>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</si>
  <si>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</si>
  <si>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</si>
  <si>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</si>
  <si>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</si>
  <si>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</si>
  <si>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</si>
  <si>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</si>
  <si>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</si>
  <si>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</si>
  <si>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</si>
  <si>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</si>
  <si>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</si>
  <si>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</si>
  <si>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</si>
  <si>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</si>
  <si>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</si>
  <si>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</si>
  <si>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</si>
  <si>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</si>
  <si>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</si>
  <si>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</si>
  <si>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</si>
  <si>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</si>
  <si>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</si>
  <si>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</si>
  <si>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</si>
  <si>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</si>
  <si>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</si>
  <si>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</si>
  <si>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</si>
  <si>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</si>
  <si>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</si>
  <si>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</si>
  <si>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</si>
  <si>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</si>
  <si>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</si>
  <si>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</si>
  <si>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</si>
  <si>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</si>
  <si>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</si>
  <si>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</si>
  <si>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</si>
  <si>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</si>
  <si>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</si>
  <si>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</si>
  <si>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</si>
  <si>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</si>
  <si>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</si>
  <si>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</si>
  <si>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</si>
  <si>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</si>
  <si>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</si>
  <si>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</si>
  <si>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</si>
  <si>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</si>
  <si>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</si>
  <si>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</si>
  <si>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</si>
  <si>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</si>
  <si>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</si>
  <si>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</si>
  <si>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</si>
  <si>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</si>
  <si>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</si>
  <si>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</si>
  <si>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</si>
  <si>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</si>
  <si>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</si>
  <si>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</si>
  <si>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</si>
  <si>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</si>
  <si>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</si>
  <si>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</si>
  <si>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</si>
  <si>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</si>
  <si>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</si>
  <si>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</si>
  <si>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</si>
  <si>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</si>
  <si>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</si>
  <si>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</si>
  <si>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</si>
  <si>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</si>
  <si>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</si>
  <si>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</si>
  <si>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</si>
  <si>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</si>
  <si>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</si>
  <si>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</si>
  <si>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</si>
  <si>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</si>
  <si>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</si>
  <si>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</si>
  <si>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</si>
  <si>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</si>
  <si>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</si>
  <si>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</si>
  <si>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</si>
  <si>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</si>
  <si>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</si>
  <si>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</si>
  <si>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</si>
  <si>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</si>
  <si>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</si>
  <si>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</si>
  <si>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</si>
  <si>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</si>
  <si>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</si>
  <si>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</si>
  <si>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</si>
  <si>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</si>
  <si>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</si>
  <si>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</si>
  <si>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</si>
  <si>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</si>
  <si>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</si>
  <si>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</si>
  <si>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</si>
  <si>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</si>
  <si>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</si>
  <si>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</si>
  <si>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</si>
  <si>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</si>
  <si>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</si>
  <si>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</si>
  <si>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</si>
  <si>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</si>
  <si>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</si>
  <si>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</si>
  <si>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</si>
  <si>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</si>
  <si>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</si>
  <si>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</si>
  <si>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</si>
  <si>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</si>
  <si>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</si>
  <si>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</si>
  <si>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</si>
  <si>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</si>
  <si>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</si>
  <si>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</si>
  <si>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</si>
  <si>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</si>
  <si>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</si>
  <si>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</si>
  <si>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</si>
  <si>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</si>
  <si>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</si>
  <si>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</si>
  <si>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</si>
  <si>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</si>
  <si>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</si>
  <si>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</si>
  <si>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</si>
  <si>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</si>
  <si>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</si>
  <si>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</si>
  <si>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</si>
  <si>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</si>
  <si>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</si>
  <si>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</si>
  <si>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</si>
  <si>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</si>
  <si>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</si>
  <si>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</si>
  <si>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</si>
  <si>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</si>
  <si>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</si>
  <si>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</si>
  <si>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</si>
  <si>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</si>
  <si>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</si>
  <si>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</si>
  <si>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</si>
  <si>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</si>
  <si>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</si>
  <si>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</si>
  <si>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</si>
  <si>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</si>
  <si>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</si>
  <si>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</si>
  <si>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</si>
  <si>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</si>
  <si>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</si>
  <si>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</si>
  <si>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</si>
  <si>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</si>
  <si>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</si>
  <si>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</si>
  <si>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</si>
  <si>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</si>
  <si>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</si>
  <si>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</si>
  <si>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</si>
  <si>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</si>
  <si>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</si>
  <si>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</si>
  <si>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</si>
  <si>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</si>
  <si>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</si>
  <si>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</si>
  <si>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</si>
  <si>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</si>
  <si>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</si>
  <si>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</si>
  <si>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</si>
  <si>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</si>
  <si>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</si>
  <si>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</si>
  <si>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</si>
  <si>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</si>
  <si>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</si>
  <si>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</si>
  <si>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</si>
  <si>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</si>
  <si>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</si>
  <si>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</si>
  <si>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</si>
  <si>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</si>
  <si>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</si>
  <si>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</si>
  <si>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</si>
  <si>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</si>
  <si>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</si>
  <si>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</si>
  <si>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</si>
  <si>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</si>
  <si>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</si>
  <si>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</si>
  <si>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</si>
  <si>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</si>
  <si>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</si>
  <si>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</si>
  <si>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</si>
  <si>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</si>
  <si>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</si>
  <si>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</si>
  <si>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</si>
  <si>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</si>
  <si>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</si>
  <si>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</si>
  <si>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</si>
  <si>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</si>
  <si>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</si>
  <si>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</si>
  <si>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</si>
  <si>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</si>
  <si>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</si>
  <si>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</si>
  <si>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</si>
  <si>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</si>
  <si>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</si>
  <si>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</si>
  <si>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</si>
  <si>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</si>
  <si>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</si>
  <si>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</si>
  <si>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</si>
  <si>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</si>
  <si>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</si>
  <si>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</si>
  <si>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</si>
  <si>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</si>
  <si>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</si>
  <si>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</si>
  <si>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</si>
  <si>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</si>
  <si>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</si>
  <si>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</si>
  <si>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</si>
  <si>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</si>
  <si>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</si>
  <si>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</si>
  <si>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</si>
  <si>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</si>
  <si>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</si>
  <si>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</si>
  <si>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</si>
  <si>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</si>
  <si>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</si>
  <si>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</si>
  <si>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</si>
  <si>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</si>
  <si>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</si>
  <si>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</si>
  <si>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</si>
  <si>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</si>
  <si>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</si>
  <si>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</si>
  <si>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</si>
  <si>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</si>
  <si>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</si>
  <si>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</si>
  <si>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</si>
  <si>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</si>
  <si>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</si>
  <si>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</si>
  <si>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</si>
  <si>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</si>
  <si>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</si>
  <si>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</si>
  <si>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</si>
  <si>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</si>
  <si>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</si>
  <si>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</si>
  <si>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</si>
  <si>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</si>
  <si>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</si>
  <si>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</si>
  <si>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</si>
  <si>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</si>
  <si>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</si>
  <si>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</si>
  <si>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</si>
  <si>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</si>
  <si>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</si>
  <si>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</si>
  <si>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</si>
  <si>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</si>
  <si>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</si>
  <si>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</si>
  <si>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</si>
  <si>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</si>
  <si>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</si>
  <si>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</si>
  <si>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</si>
  <si>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</si>
  <si>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</si>
  <si>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</si>
  <si>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</si>
  <si>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</si>
  <si>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</si>
  <si>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</si>
  <si>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</si>
  <si>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</si>
  <si>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</si>
  <si>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</si>
  <si>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</si>
  <si>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</si>
  <si>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</si>
  <si>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</si>
  <si>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</si>
  <si>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</si>
  <si>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</si>
  <si>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</si>
  <si>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</si>
  <si>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</si>
  <si>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</si>
  <si>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</si>
  <si>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</si>
  <si>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</si>
  <si>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</si>
  <si>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</si>
  <si>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</si>
  <si>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</si>
  <si>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</si>
  <si>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</si>
  <si>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</si>
  <si>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</si>
  <si>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</si>
  <si>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</si>
  <si>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</si>
  <si>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</si>
  <si>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</si>
  <si>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</si>
  <si>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</si>
  <si>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</si>
  <si>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</si>
  <si>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</si>
  <si>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</si>
  <si>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</si>
  <si>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</si>
  <si>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</si>
  <si>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</si>
  <si>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</si>
  <si>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</si>
  <si>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</si>
  <si>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</si>
  <si>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</si>
  <si>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</si>
  <si>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</si>
  <si>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</si>
  <si>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</si>
  <si>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</si>
  <si>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</si>
  <si>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</si>
  <si>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</si>
  <si>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</si>
  <si>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</si>
  <si>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</si>
  <si>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</si>
  <si>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</si>
  <si>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</si>
  <si>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</si>
  <si>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</si>
  <si>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</si>
  <si>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</si>
  <si>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</si>
  <si>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</si>
  <si>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</si>
  <si>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</si>
  <si>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</si>
  <si>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</si>
  <si>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</si>
  <si>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</si>
  <si>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</si>
  <si>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</si>
  <si>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</si>
  <si>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</si>
  <si>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</si>
  <si>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</si>
  <si>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</si>
  <si>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</si>
  <si>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</si>
  <si>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</si>
  <si>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</si>
  <si>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</si>
  <si>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</si>
  <si>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</si>
  <si>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</si>
  <si>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</si>
  <si>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</si>
  <si>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</si>
  <si>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</si>
  <si>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</si>
  <si>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</si>
  <si>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</si>
  <si>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</si>
  <si>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</si>
  <si>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</si>
  <si>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</si>
  <si>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</si>
  <si>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</si>
  <si>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</si>
  <si>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</si>
  <si>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</si>
  <si>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</si>
  <si>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</si>
  <si>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</si>
  <si>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</si>
  <si>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</si>
  <si>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</si>
  <si>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</si>
  <si>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</si>
  <si>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</si>
  <si>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</si>
  <si>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</si>
  <si>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</si>
  <si>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</si>
  <si>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</si>
  <si>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</si>
  <si>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</si>
  <si>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</si>
  <si>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</si>
  <si>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</si>
  <si>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</si>
  <si>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</si>
  <si>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</si>
  <si>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</si>
  <si>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</si>
  <si>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</si>
  <si>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</si>
  <si>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</si>
  <si>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</si>
  <si>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</si>
  <si>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</si>
  <si>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</si>
  <si>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</si>
  <si>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</si>
  <si>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</si>
  <si>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</si>
  <si>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</si>
  <si>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</si>
  <si>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</si>
  <si>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</si>
  <si>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</si>
  <si>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</si>
  <si>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</si>
  <si>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</si>
  <si>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</si>
  <si>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</si>
  <si>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</si>
  <si>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</si>
  <si>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</si>
  <si>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</si>
  <si>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</si>
  <si>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</si>
  <si>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</si>
  <si>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</si>
  <si>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</si>
  <si>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</si>
  <si>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</si>
  <si>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</si>
  <si>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</si>
  <si>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</si>
  <si>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</si>
  <si>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</si>
  <si>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</si>
  <si>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</si>
  <si>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</si>
  <si>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</si>
  <si>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</si>
  <si>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</si>
  <si>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</si>
  <si>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</si>
  <si>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</si>
  <si>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</si>
  <si>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</si>
  <si>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</si>
  <si>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</si>
  <si>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</si>
  <si>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</si>
  <si>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</si>
  <si>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</si>
  <si>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</si>
  <si>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</si>
  <si>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</si>
  <si>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</si>
  <si>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</si>
  <si>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</si>
  <si>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</si>
  <si>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</si>
  <si>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</si>
  <si>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</si>
  <si>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</si>
  <si>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</si>
  <si>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</si>
  <si>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</si>
  <si>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</si>
  <si>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</si>
  <si>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</si>
  <si>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</si>
  <si>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</si>
  <si>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</si>
  <si>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</si>
  <si>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</si>
  <si>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</si>
  <si>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</si>
  <si>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</si>
  <si>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</si>
  <si>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</si>
  <si>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</si>
  <si>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</si>
  <si>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</si>
  <si>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</si>
  <si>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</si>
  <si>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</si>
  <si>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</si>
  <si>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</si>
  <si>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</si>
  <si>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</si>
  <si>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</si>
  <si>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</si>
  <si>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</si>
  <si>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</si>
  <si>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</si>
  <si>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</si>
  <si>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</si>
  <si>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</si>
  <si>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</si>
  <si>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</si>
  <si>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</si>
  <si>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</si>
  <si>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</si>
  <si>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</si>
  <si>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</si>
  <si>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</si>
  <si>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</si>
  <si>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</si>
  <si>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</si>
  <si>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</si>
  <si>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</si>
  <si>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</si>
  <si>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</si>
  <si>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</si>
  <si>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</si>
  <si>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</si>
  <si>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</si>
  <si>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</si>
  <si>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</si>
  <si>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</si>
  <si>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</si>
  <si>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</si>
  <si>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</si>
  <si>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</si>
  <si>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</si>
  <si>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</si>
  <si>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</si>
  <si>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</si>
  <si>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</si>
  <si>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</si>
  <si>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</si>
  <si>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</si>
  <si>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</si>
  <si>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</si>
  <si>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</si>
  <si>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</si>
  <si>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</si>
  <si>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</si>
  <si>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</si>
  <si>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</si>
  <si>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</si>
  <si>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</si>
  <si>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</si>
  <si>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</si>
  <si>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</si>
  <si>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</si>
  <si>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</si>
  <si>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</si>
  <si>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</si>
  <si>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</si>
  <si>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</si>
  <si>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</si>
  <si>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</si>
  <si>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</si>
  <si>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</si>
  <si>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</si>
  <si>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</si>
  <si>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</si>
  <si>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</si>
  <si>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</si>
  <si>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</si>
  <si>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</si>
  <si>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</si>
  <si>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</si>
  <si>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</si>
  <si>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</si>
  <si>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</si>
  <si>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</si>
  <si>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</si>
  <si>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</si>
  <si>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</si>
  <si>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</si>
  <si>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</si>
  <si>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</si>
  <si>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</si>
  <si>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</si>
  <si>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</si>
  <si>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</si>
  <si>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</si>
  <si>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</si>
  <si>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</si>
  <si>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</si>
  <si>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</si>
  <si>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</si>
  <si>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</si>
  <si>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</si>
  <si>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</si>
  <si>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</si>
  <si>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</si>
  <si>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</si>
  <si>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</si>
  <si>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</si>
  <si>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</si>
  <si>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</si>
  <si>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</si>
  <si>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</si>
  <si>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</si>
  <si>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</si>
  <si>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</si>
  <si>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</si>
  <si>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</si>
  <si>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</si>
  <si>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</si>
  <si>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</si>
  <si>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</si>
  <si>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</si>
  <si>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</si>
  <si>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</si>
  <si>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</si>
  <si>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</si>
  <si>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</si>
  <si>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</si>
  <si>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</si>
  <si>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</si>
  <si>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</si>
  <si>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</si>
  <si>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</si>
  <si>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</si>
  <si>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</si>
  <si>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</si>
  <si>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</si>
  <si>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</si>
  <si>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</si>
  <si>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</si>
  <si>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</si>
  <si>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</si>
  <si>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</si>
  <si>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</si>
  <si>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</si>
  <si>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</si>
  <si>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</si>
  <si>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</si>
  <si>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</si>
  <si>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</si>
  <si>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</si>
  <si>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</si>
  <si>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</si>
  <si>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</si>
  <si>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</si>
  <si>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</si>
  <si>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</si>
  <si>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</si>
  <si>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</si>
  <si>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</si>
  <si>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</si>
  <si>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</si>
  <si>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</si>
  <si>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</si>
  <si>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</si>
  <si>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</si>
  <si>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</si>
  <si>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Huntington Square, L.P.</t>
  </si>
  <si>
    <t>Huntington Square</t>
  </si>
  <si>
    <t>City of Huntingtion Park, Community Development Department</t>
  </si>
  <si>
    <t>Mr. Manny Acosta</t>
  </si>
  <si>
    <t>6550 Miles Avenue</t>
  </si>
  <si>
    <t>Huntington Park</t>
  </si>
  <si>
    <t>323-584-6213</t>
  </si>
  <si>
    <t>323-588-4577</t>
  </si>
  <si>
    <t>macosta@huntingtonpark.org</t>
  </si>
  <si>
    <t>6101 State Street</t>
  </si>
  <si>
    <t>037 5325.00</t>
  </si>
  <si>
    <t>6310-025-042</t>
  </si>
  <si>
    <t>Low Resource</t>
  </si>
  <si>
    <t>40%/60%</t>
  </si>
  <si>
    <t>3701 Wilshire Blvd, Ste 700</t>
  </si>
  <si>
    <t>CA</t>
  </si>
  <si>
    <t>Mee Heh Risdon</t>
  </si>
  <si>
    <t>213-480-0809</t>
  </si>
  <si>
    <t>213-480-4189</t>
  </si>
  <si>
    <t>mrisdon@acof.org</t>
  </si>
  <si>
    <t>A Community of Friends</t>
  </si>
  <si>
    <t>Supportive Housing LLC</t>
  </si>
  <si>
    <t>Managing GP</t>
  </si>
  <si>
    <t>3701 Wishire Blvd,Ste 700</t>
  </si>
  <si>
    <t>Dora Leong Gallo</t>
  </si>
  <si>
    <t>dgallo@acof.org</t>
  </si>
  <si>
    <t>Director of Housing, Developer</t>
  </si>
  <si>
    <t>3701 Wilshire Blvd, Suite 700</t>
  </si>
  <si>
    <t>FSY Architects</t>
  </si>
  <si>
    <t>2902 Knox Ave, 2nd Floor</t>
  </si>
  <si>
    <t>Los Angeles, CA 90039</t>
  </si>
  <si>
    <t>Los Angeles, CA 90010</t>
  </si>
  <si>
    <t>To be determined</t>
  </si>
  <si>
    <t>Vijay Sehgal</t>
  </si>
  <si>
    <t>323-255-4343</t>
  </si>
  <si>
    <t>vsehgal@fsyarchitects.com</t>
  </si>
  <si>
    <t>NA</t>
  </si>
  <si>
    <t>505 14th Street, Suite 450</t>
  </si>
  <si>
    <t>Oakland, CA 94612</t>
  </si>
  <si>
    <t>Sarah Perez</t>
  </si>
  <si>
    <t>415-781-6600</t>
  </si>
  <si>
    <t>415-781-6967</t>
  </si>
  <si>
    <t>sperez@gubbandbarshay.com</t>
  </si>
  <si>
    <t>Partner Energy</t>
  </si>
  <si>
    <t>680 Knox Street, Suite 150</t>
  </si>
  <si>
    <t>Los Angeles, CA 90502</t>
  </si>
  <si>
    <t>Karen Bragg</t>
  </si>
  <si>
    <t>310-220-6265</t>
  </si>
  <si>
    <t>310-862-2399</t>
  </si>
  <si>
    <t>kbragg@ptrenergy.com</t>
  </si>
  <si>
    <t>Dauby, O'Connor &amp; Zaleski, LLC</t>
  </si>
  <si>
    <t>501 Congressional Blvd., Suite 300</t>
  </si>
  <si>
    <t>Carmel, IN 46032</t>
  </si>
  <si>
    <t>Ryan M. Strutz</t>
  </si>
  <si>
    <t>317-819-6135</t>
  </si>
  <si>
    <t>317-815-6140</t>
  </si>
  <si>
    <t>rstrutz@doz.net</t>
  </si>
  <si>
    <t>Market Insights Consulting, LLC</t>
  </si>
  <si>
    <t>30021 Tomas Street, Suite 300</t>
  </si>
  <si>
    <t>Rancho Santa Margarita, CA 92688</t>
  </si>
  <si>
    <t>Buck Panchal</t>
  </si>
  <si>
    <t>949-709-1938</t>
  </si>
  <si>
    <t>949-713-7399</t>
  </si>
  <si>
    <t>panchal@marketinsights.info</t>
  </si>
  <si>
    <t>California Housing Partnership</t>
  </si>
  <si>
    <t>600 Wilshire Blvd Suite 890</t>
  </si>
  <si>
    <t>Other: Owner Legal</t>
  </si>
  <si>
    <t>Other: Perm Lender Expenses</t>
  </si>
  <si>
    <t>Other: Construction Lender Expenses</t>
  </si>
  <si>
    <t>Other: Transition Reserve</t>
  </si>
  <si>
    <t>Other: Predevelopment Loan Interest</t>
  </si>
  <si>
    <t>Other:  Utility Connection</t>
  </si>
  <si>
    <t>Other:  Security after PIS</t>
  </si>
  <si>
    <t>1 bedroom</t>
  </si>
  <si>
    <t>Los Angeles, CA 90017</t>
  </si>
  <si>
    <t>Ben Creed</t>
  </si>
  <si>
    <t>213-347-4980</t>
  </si>
  <si>
    <t>bcreed@chpc.net</t>
  </si>
  <si>
    <t>Gubb &amp; Barshay LLP</t>
  </si>
  <si>
    <t>Novogradac &amp; Company LLP</t>
  </si>
  <si>
    <t>7227 Metcalf Ave, Suite 250</t>
  </si>
  <si>
    <t>Overland Park, KS 66204</t>
  </si>
  <si>
    <t>Rebecca S. Arthur</t>
  </si>
  <si>
    <t>(913) 677-4600</t>
  </si>
  <si>
    <t>rebecca.arthur@novoco.com</t>
  </si>
  <si>
    <t>Los Angeles Community Development Authority</t>
  </si>
  <si>
    <t>700 Main Street</t>
  </si>
  <si>
    <t>Alhambra, CA 91801</t>
  </si>
  <si>
    <t>Vittorio Banez</t>
  </si>
  <si>
    <t>626-586-1668</t>
  </si>
  <si>
    <t>vittorio.banez@lacda.org</t>
  </si>
  <si>
    <t>Diedra Mosley</t>
  </si>
  <si>
    <t>dmosley@acof.org</t>
  </si>
  <si>
    <t>Not applicable</t>
  </si>
  <si>
    <t>Aga Morad Investments Corporation</t>
  </si>
  <si>
    <t>Veterans - per VHHP Standards</t>
  </si>
  <si>
    <t>All 35 Units for formerly homeless/homeless will also be Veterans.</t>
  </si>
  <si>
    <t>All 20 units for persons with mental disabilities will be homeless and</t>
  </si>
  <si>
    <t>Veterans</t>
  </si>
  <si>
    <t>CG</t>
  </si>
  <si>
    <t>CG - Density: 70 dwelling units per acre</t>
  </si>
  <si>
    <t>CG with Affordable Housing Overlay - Density: 100 du/acre</t>
  </si>
  <si>
    <t>7 units restricted to Lower Income Housholds per HSC</t>
  </si>
  <si>
    <t>40'</t>
  </si>
  <si>
    <t>.5 spaces per units or 24 spaces</t>
  </si>
  <si>
    <t>Tax-Exempt Construction Loan</t>
  </si>
  <si>
    <t>Taxable Construction Loan</t>
  </si>
  <si>
    <t>CalHFA/LACDMH SNHP</t>
  </si>
  <si>
    <t>Accrued Deferred Interest - SNHP</t>
  </si>
  <si>
    <t>LA County Development Authority - AHTF</t>
  </si>
  <si>
    <t>Accrued Deferred Interest - LACDA</t>
  </si>
  <si>
    <t>Costs Deferred Until Conversion</t>
  </si>
  <si>
    <t>Tax Credit Equity</t>
  </si>
  <si>
    <t>Variable</t>
  </si>
  <si>
    <t>Fixed</t>
  </si>
  <si>
    <t>Tax-Exempt Permanent Loan</t>
  </si>
  <si>
    <t>CA HCD - VHHP</t>
  </si>
  <si>
    <t>Los Angeles County Development Authority</t>
  </si>
  <si>
    <t>Tax and Benefits</t>
  </si>
  <si>
    <t>SNHP Fee</t>
  </si>
  <si>
    <t>Business Tax/License</t>
  </si>
  <si>
    <t>LACDA AHTF Monitoring Fees</t>
  </si>
  <si>
    <t>LACDA VASH</t>
  </si>
  <si>
    <t>Project-based vouchers (PBVs)</t>
  </si>
  <si>
    <t>LACDA PBV</t>
  </si>
  <si>
    <t>LACDA and PBVs</t>
  </si>
  <si>
    <t>Jacob Shadpour</t>
  </si>
  <si>
    <t>Chief Financial Officer</t>
  </si>
  <si>
    <t>5139 Pacific Blvd, Los Angeles, CA 90058</t>
  </si>
  <si>
    <t>300 South Grand Avenue, Ste 3110</t>
  </si>
  <si>
    <t>Los Angeles, CA 90071</t>
  </si>
  <si>
    <t>Hao Li</t>
  </si>
  <si>
    <t>213-239-1914</t>
  </si>
  <si>
    <t>Tax Exempt Loan</t>
  </si>
  <si>
    <t>Residual Receipt Loan</t>
  </si>
  <si>
    <t>695 S. Vermont, 10th Floor</t>
  </si>
  <si>
    <t>Reina Turner</t>
  </si>
  <si>
    <t>213-943-8504</t>
  </si>
  <si>
    <t>Los Angeles, CA 9005</t>
  </si>
  <si>
    <t>Accrued Deferred Interest</t>
  </si>
  <si>
    <t>Mat Lust</t>
  </si>
  <si>
    <t>626-586-1809</t>
  </si>
  <si>
    <t>Deferred costs until conversion</t>
  </si>
  <si>
    <t>Deferred developer fee</t>
  </si>
  <si>
    <t>2020 W. El Camino Ave, Suite 670</t>
  </si>
  <si>
    <t>Sacramento, CA 94252</t>
  </si>
  <si>
    <t>Jennifer Seeger</t>
  </si>
  <si>
    <t>916-263-2771</t>
  </si>
  <si>
    <t>Residual Receipts Loan</t>
  </si>
  <si>
    <t>Deferred Fee</t>
  </si>
  <si>
    <t>Contributed Developer Fee</t>
  </si>
  <si>
    <t>HCD VHHP Mandatory Interest</t>
  </si>
  <si>
    <t>Bond Issuer &amp; Trustee Fees</t>
  </si>
  <si>
    <t>Above residual receipts line for cash flow</t>
  </si>
  <si>
    <t>LACDA AHTF</t>
  </si>
  <si>
    <t>HCD VHHP</t>
  </si>
  <si>
    <t>CAalHFA/LACDMH SNHP</t>
  </si>
  <si>
    <t>Inner City Infill Site</t>
  </si>
  <si>
    <t>Provided</t>
  </si>
  <si>
    <t>Not Applicable</t>
  </si>
  <si>
    <t>$500M</t>
  </si>
  <si>
    <t>Below residual receipts line for cash flow</t>
  </si>
  <si>
    <t>Recontributed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</si>
</sst>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34045">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62"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70"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4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3" fillId="0" borderId="0" xfId="0" applyFont="1" applyAlignment="1" applyProtection="1">
      <alignment horizontal="center"/>
    </xf>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2" fillId="0" borderId="3" xfId="0" applyFont="1" applyBorder="1" applyAlignment="1" applyProtection="1">
      <alignment horizontal="left" vertical="top"/>
    </xf>
    <xf numFmtId="0" fontId="52" fillId="0" borderId="13" xfId="0" applyFont="1" applyBorder="1" applyAlignment="1" applyProtection="1">
      <alignment horizontal="center" wrapText="1"/>
    </xf>
    <xf numFmtId="0" fontId="52" fillId="0" borderId="13" xfId="0" applyFont="1" applyFill="1" applyBorder="1" applyAlignment="1" applyProtection="1">
      <alignment horizontal="center" vertical="top" wrapText="1"/>
    </xf>
    <xf numFmtId="0" fontId="52" fillId="2" borderId="13" xfId="0" applyFont="1" applyFill="1" applyBorder="1" applyAlignment="1" applyProtection="1">
      <alignment horizontal="center" wrapText="1"/>
    </xf>
    <xf numFmtId="0" fontId="53" fillId="2" borderId="11" xfId="0" applyFont="1" applyFill="1" applyBorder="1" applyAlignment="1" applyProtection="1">
      <alignment horizontal="left" vertical="top" wrapText="1"/>
    </xf>
    <xf numFmtId="0" fontId="54" fillId="4" borderId="11" xfId="0" applyFont="1" applyFill="1" applyBorder="1" applyAlignment="1" applyProtection="1">
      <alignment vertical="top" wrapText="1"/>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pplyProtection="1">
      <alignment horizontal="center"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4" fillId="4" borderId="11" xfId="0" applyNumberFormat="1" applyFont="1" applyFill="1" applyBorder="1" applyAlignment="1" applyProtection="1">
      <alignment vertical="top" wrapText="1"/>
    </xf>
    <xf numFmtId="0" fontId="54" fillId="5" borderId="11" xfId="0" applyFont="1" applyFill="1" applyBorder="1" applyAlignment="1" applyProtection="1">
      <alignment horizontal="right" vertical="top" wrapText="1"/>
      <protection locked="0"/>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4" fillId="0" borderId="11" xfId="0" applyFont="1" applyFill="1" applyBorder="1" applyAlignment="1" applyProtection="1">
      <alignment horizontal="right" vertical="top" wrapText="1"/>
      <protection locked="0"/>
    </xf>
    <xf numFmtId="0" fontId="52" fillId="0" borderId="0" xfId="0" applyFont="1" applyBorder="1" applyAlignment="1" applyProtection="1">
      <alignment horizontal="left" vertical="top"/>
    </xf>
    <xf numFmtId="0" fontId="54" fillId="0" borderId="0" xfId="0" applyFont="1" applyBorder="1" applyAlignment="1" applyProtection="1">
      <alignment horizontal="left" vertical="top"/>
    </xf>
    <xf numFmtId="0" fontId="54" fillId="0" borderId="0" xfId="0" applyFont="1" applyBorder="1" applyAlignment="1" applyProtection="1">
      <alignment vertical="top" wrapText="1"/>
    </xf>
    <xf numFmtId="0" fontId="54" fillId="0" borderId="0" xfId="0" applyFont="1" applyBorder="1" applyAlignment="1" applyProtection="1">
      <alignment vertical="top"/>
    </xf>
    <xf numFmtId="0" fontId="52" fillId="0" borderId="0" xfId="0" applyFont="1" applyBorder="1" applyAlignment="1" applyProtection="1">
      <alignment horizontal="right" vertical="top"/>
    </xf>
    <xf numFmtId="0" fontId="54" fillId="2" borderId="0" xfId="0" applyFont="1" applyFill="1" applyBorder="1" applyAlignment="1" applyProtection="1">
      <alignment vertical="top" wrapText="1"/>
    </xf>
    <xf numFmtId="0" fontId="52" fillId="0" borderId="0" xfId="0" applyFont="1" applyBorder="1" applyAlignment="1" applyProtection="1">
      <alignment vertical="top"/>
    </xf>
    <xf numFmtId="168" fontId="52"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5"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7" fillId="0" borderId="0" xfId="0" applyFont="1"/>
    <xf numFmtId="0" fontId="14" fillId="0" borderId="0" xfId="0" applyFont="1" applyFill="1" applyBorder="1" applyAlignment="1" applyProtection="1">
      <alignment horizontal="left"/>
    </xf>
    <xf numFmtId="0" fontId="32" fillId="0" borderId="0" xfId="0" applyFont="1" applyAlignment="1" applyProtection="1">
      <alignment horizontal="center"/>
    </xf>
    <xf numFmtId="0" fontId="32" fillId="0" borderId="0" xfId="0" applyFont="1" applyAlignment="1" applyProtection="1"/>
    <xf numFmtId="0" fontId="32" fillId="0" borderId="0" xfId="0" applyFont="1" applyFill="1" applyAlignment="1" applyProtection="1">
      <alignment horizontal="center"/>
    </xf>
    <xf numFmtId="0" fontId="32" fillId="0" borderId="0" xfId="0" applyFont="1" applyAlignment="1" applyProtection="1">
      <alignment horizontal="left"/>
    </xf>
    <xf numFmtId="0" fontId="32" fillId="0" borderId="0" xfId="0" applyFont="1" applyProtection="1"/>
    <xf numFmtId="49" fontId="21" fillId="0" borderId="0" xfId="0" applyNumberFormat="1" applyFont="1" applyAlignment="1" applyProtection="1">
      <alignment horizontal="center"/>
    </xf>
    <xf numFmtId="0" fontId="49" fillId="0" borderId="0" xfId="0" applyFont="1" applyAlignment="1" applyProtection="1">
      <alignment horizontal="center"/>
    </xf>
    <xf numFmtId="0" fontId="48" fillId="0" borderId="0" xfId="244" applyFont="1" applyAlignment="1" applyProtection="1">
      <alignment horizontal="center"/>
    </xf>
    <xf numFmtId="0" fontId="23" fillId="0" borderId="0" xfId="0" quotePrefix="1" applyFont="1" applyAlignment="1" applyProtection="1">
      <alignment horizontal="left"/>
    </xf>
    <xf numFmtId="0" fontId="21" fillId="0" borderId="0" xfId="0" applyFont="1" applyBorder="1" applyAlignment="1" applyProtection="1"/>
    <xf numFmtId="0" fontId="23" fillId="0" borderId="0" xfId="0" applyFont="1" applyBorder="1" applyAlignment="1" applyProtection="1">
      <alignment horizontal="center"/>
    </xf>
    <xf numFmtId="49" fontId="23" fillId="0" borderId="0" xfId="0" applyNumberFormat="1" applyFont="1" applyAlignment="1" applyProtection="1">
      <alignment horizontal="center"/>
    </xf>
    <xf numFmtId="0" fontId="32" fillId="0" borderId="0" xfId="0" applyFont="1" applyBorder="1" applyAlignment="1" applyProtection="1">
      <alignment horizontal="center"/>
    </xf>
    <xf numFmtId="0" fontId="21" fillId="0" borderId="0" xfId="0" quotePrefix="1" applyFont="1" applyAlignment="1" applyProtection="1">
      <alignment horizontal="center"/>
    </xf>
    <xf numFmtId="49" fontId="0" fillId="0" borderId="0" xfId="0" applyNumberFormat="1" applyProtection="1"/>
    <xf numFmtId="0" fontId="46" fillId="0" borderId="0" xfId="0" applyFont="1" applyAlignment="1" applyProtection="1">
      <alignment horizontal="left"/>
    </xf>
    <xf numFmtId="49" fontId="23" fillId="0" borderId="0" xfId="0" applyNumberFormat="1" applyFont="1" applyProtection="1"/>
    <xf numFmtId="49" fontId="0" fillId="0" borderId="0" xfId="0" applyNumberFormat="1" applyFill="1" applyProtection="1"/>
    <xf numFmtId="0" fontId="23" fillId="0" borderId="0" xfId="0" applyFont="1" applyFill="1" applyAlignment="1" applyProtection="1">
      <alignment horizontal="center"/>
    </xf>
    <xf numFmtId="0" fontId="23" fillId="0" borderId="0" xfId="0" applyFont="1" applyFill="1" applyAlignment="1" applyProtection="1">
      <alignment horizontal="left"/>
    </xf>
    <xf numFmtId="49" fontId="23" fillId="0" borderId="0" xfId="0" applyNumberFormat="1" applyFont="1" applyFill="1" applyProtection="1"/>
    <xf numFmtId="49" fontId="21" fillId="0" borderId="0" xfId="0" applyNumberFormat="1" applyFont="1" applyAlignment="1" applyProtection="1">
      <alignment horizontal="left"/>
    </xf>
    <xf numFmtId="0" fontId="32" fillId="0" borderId="0" xfId="0" applyFont="1" applyBorder="1" applyAlignment="1" applyProtection="1">
      <alignment horizontal="left"/>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1"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2" fillId="0" borderId="4" xfId="0" applyFont="1" applyBorder="1" applyAlignment="1" applyProtection="1">
      <alignment horizontal="right"/>
    </xf>
    <xf numFmtId="0" fontId="59"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23" fillId="0" borderId="0" xfId="0" applyFont="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pplyProtection="1">
      <alignment horizontal="right" vertical="top"/>
    </xf>
    <xf numFmtId="0" fontId="54" fillId="0" borderId="0" xfId="0" applyFont="1" applyBorder="1" applyAlignment="1" applyProtection="1">
      <alignment horizontal="right" vertical="top" wrapText="1"/>
    </xf>
    <xf numFmtId="0" fontId="54" fillId="2" borderId="12" xfId="0" applyFont="1" applyFill="1" applyBorder="1" applyAlignment="1" applyProtection="1">
      <alignment vertical="top" wrapText="1"/>
    </xf>
    <xf numFmtId="0" fontId="54" fillId="0" borderId="14" xfId="0" applyFont="1" applyBorder="1" applyAlignment="1" applyProtection="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Fill="1" applyBorder="1" applyAlignment="1" applyProtection="1">
      <alignment vertical="top"/>
    </xf>
    <xf numFmtId="168" fontId="54"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 fontId="23" fillId="0" borderId="0" xfId="0" applyNumberFormat="1" applyFont="1" applyProtection="1"/>
    <xf numFmtId="0" fontId="32"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horizontal="left"/>
    </xf>
    <xf numFmtId="49" fontId="23"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4" fillId="0" borderId="0" xfId="0" applyFont="1"/>
    <xf numFmtId="0" fontId="62" fillId="0" borderId="0" xfId="0" applyFont="1"/>
    <xf numFmtId="0" fontId="34" fillId="0" borderId="0" xfId="543"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2" fillId="0" borderId="6" xfId="0" applyFont="1" applyBorder="1" applyAlignment="1">
      <alignment horizontal="center"/>
    </xf>
    <xf numFmtId="3" fontId="66" fillId="0" borderId="6" xfId="0" applyNumberFormat="1" applyFont="1" applyBorder="1"/>
    <xf numFmtId="172" fontId="23" fillId="0" borderId="0" xfId="0" applyNumberFormat="1" applyFont="1" applyAlignment="1">
      <alignment horizontal="center"/>
    </xf>
    <xf numFmtId="10" fontId="67" fillId="0" borderId="0" xfId="0" applyNumberFormat="1" applyFont="1" applyAlignment="1">
      <alignment horizontal="center"/>
    </xf>
    <xf numFmtId="172" fontId="23" fillId="0" borderId="0" xfId="0" applyNumberFormat="1" applyFont="1" applyFill="1" applyAlignment="1">
      <alignment horizontal="center"/>
    </xf>
    <xf numFmtId="4" fontId="23" fillId="0" borderId="0" xfId="271" applyNumberFormat="1" applyFont="1" applyAlignment="1" applyProtection="1">
      <alignment horizontal="left"/>
    </xf>
    <xf numFmtId="0" fontId="23" fillId="0" borderId="0" xfId="271" applyFont="1" applyAlignment="1" applyProtection="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49" fillId="0" borderId="0" xfId="0" applyFont="1" applyFill="1" applyAlignment="1" applyProtection="1">
      <alignment horizontal="center"/>
    </xf>
    <xf numFmtId="0" fontId="23" fillId="0" borderId="0" xfId="271" applyFont="1" applyAlignment="1">
      <alignment horizontal="left"/>
    </xf>
    <xf numFmtId="0" fontId="23" fillId="0" borderId="0" xfId="271" applyFont="1" applyFill="1" applyAlignment="1" applyProtection="1"/>
    <xf numFmtId="0" fontId="23" fillId="0" borderId="0" xfId="0" applyFont="1" applyFill="1" applyBorder="1" applyAlignment="1" applyProtection="1"/>
    <xf numFmtId="4" fontId="49" fillId="0" borderId="0" xfId="0" applyNumberFormat="1" applyFont="1" applyAlignment="1" applyProtection="1">
      <alignment horizontal="center"/>
    </xf>
    <xf numFmtId="4" fontId="23" fillId="0" borderId="0" xfId="0" applyNumberFormat="1" applyFont="1" applyAlignment="1" applyProtection="1">
      <alignment horizontal="center"/>
    </xf>
    <xf numFmtId="4" fontId="0" fillId="0" borderId="0" xfId="0" applyNumberFormat="1" applyFill="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pplyProtection="1">
      <alignment horizontal="right" vertical="top" wrapText="1"/>
    </xf>
    <xf numFmtId="0" fontId="60" fillId="0" borderId="0" xfId="542" applyProtection="1"/>
    <xf numFmtId="0" fontId="23" fillId="0" borderId="0" xfId="0" applyFont="1" applyFill="1" applyAlignment="1">
      <alignment horizontal="center"/>
    </xf>
    <xf numFmtId="0" fontId="23" fillId="0" borderId="0" xfId="271" applyFont="1" applyFill="1" applyAlignment="1">
      <alignment horizontal="left"/>
    </xf>
    <xf numFmtId="0" fontId="23" fillId="0" borderId="0" xfId="271" applyFont="1" applyBorder="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1" fillId="0" borderId="11" xfId="271" applyFont="1" applyFill="1" applyBorder="1" applyAlignment="1" applyProtection="1">
      <alignment horizontal="right" vertical="top"/>
    </xf>
    <xf numFmtId="0" fontId="51"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4"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23" fillId="0" borderId="0" xfId="271" applyFont="1" applyAlignment="1" applyProtection="1">
      <alignment horizontal="left"/>
    </xf>
    <xf numFmtId="49" fontId="0" fillId="0" borderId="0" xfId="0" applyNumberFormat="1" applyFill="1"/>
    <xf numFmtId="49" fontId="23" fillId="0" borderId="0" xfId="0" applyNumberFormat="1" applyFont="1" applyFill="1" applyAlignment="1">
      <alignment horizontal="center"/>
    </xf>
    <xf numFmtId="49" fontId="23" fillId="0" borderId="0" xfId="0" applyNumberFormat="1" applyFont="1" applyFill="1"/>
    <xf numFmtId="0" fontId="21" fillId="0" borderId="0" xfId="271" applyFont="1" applyFill="1" applyAlignment="1">
      <alignment horizontal="left"/>
    </xf>
    <xf numFmtId="0" fontId="19" fillId="0" borderId="0" xfId="0" applyFont="1" applyProtection="1">
      <protection locked="0"/>
    </xf>
    <xf numFmtId="0" fontId="19" fillId="0" borderId="0" xfId="271" applyFont="1" applyBorder="1" applyProtection="1">
      <protection locked="0"/>
    </xf>
    <xf numFmtId="168" fontId="19" fillId="0" borderId="0" xfId="271" applyNumberFormat="1" applyFont="1" applyBorder="1" applyProtection="1">
      <protection locked="0"/>
    </xf>
    <xf numFmtId="49" fontId="23" fillId="0" borderId="0" xfId="271" applyNumberFormat="1" applyFont="1"/>
    <xf numFmtId="4" fontId="23" fillId="0" borderId="0" xfId="271" applyNumberFormat="1" applyFont="1" applyFill="1" applyAlignment="1" applyProtection="1">
      <alignment horizontal="left"/>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49" fontId="21" fillId="0" borderId="0" xfId="0" applyNumberFormat="1" applyFont="1" applyFill="1" applyAlignment="1">
      <alignment horizontal="center"/>
    </xf>
    <xf numFmtId="49" fontId="21" fillId="0" borderId="0" xfId="0" applyNumberFormat="1" applyFont="1" applyFill="1" applyAlignment="1" applyProtection="1">
      <alignment horizontal="center"/>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0" fontId="23" fillId="0" borderId="0" xfId="271" applyFont="1" applyFill="1" applyAlignment="1" applyProtection="1">
      <alignment horizontal="left"/>
      <protection locked="0"/>
    </xf>
    <xf numFmtId="0" fontId="23" fillId="0" borderId="0" xfId="0" applyFont="1" applyFill="1" applyAlignment="1" applyProtection="1">
      <alignment horizontal="left"/>
      <protection locked="0"/>
    </xf>
    <xf numFmtId="0" fontId="73"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49" fontId="44" fillId="0" borderId="0" xfId="0" applyNumberFormat="1" applyFont="1" applyFill="1" applyBorder="1" applyAlignment="1">
      <alignment horizontal="center"/>
    </xf>
    <xf numFmtId="49" fontId="44" fillId="0" borderId="0" xfId="0" applyNumberFormat="1" applyFont="1" applyFill="1" applyBorder="1" applyAlignment="1" applyProtection="1">
      <alignment horizontal="center"/>
    </xf>
    <xf numFmtId="0" fontId="21" fillId="0" borderId="0" xfId="0" applyFont="1" applyFill="1" applyProtection="1"/>
    <xf numFmtId="0" fontId="23" fillId="0" borderId="0" xfId="271" applyFont="1" applyFill="1" applyBorder="1" applyAlignment="1" applyProtection="1">
      <alignment horizontal="left"/>
    </xf>
    <xf numFmtId="0" fontId="49" fillId="0" borderId="0" xfId="271" applyFont="1" applyAlignment="1" applyProtection="1">
      <alignment horizontal="center"/>
    </xf>
    <xf numFmtId="49" fontId="23" fillId="0" borderId="0" xfId="271" applyNumberFormat="1" applyAlignment="1">
      <alignment horizontal="center"/>
    </xf>
    <xf numFmtId="0" fontId="51" fillId="0" borderId="11" xfId="271" applyFont="1" applyBorder="1" applyAlignment="1" applyProtection="1">
      <alignment horizontal="right" vertical="top"/>
    </xf>
    <xf numFmtId="0" fontId="51" fillId="0" borderId="0" xfId="0" applyFont="1" applyProtection="1"/>
    <xf numFmtId="5" fontId="77" fillId="0" borderId="11" xfId="541" applyNumberFormat="1" applyFont="1" applyFill="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51" fillId="2" borderId="0" xfId="0" applyFont="1" applyFill="1" applyBorder="1" applyAlignment="1" applyProtection="1">
      <alignment vertical="top" wrapText="1"/>
    </xf>
    <xf numFmtId="0" fontId="79" fillId="0" borderId="13" xfId="0" applyFont="1" applyBorder="1" applyAlignment="1" applyProtection="1">
      <alignment vertical="top" wrapText="1"/>
    </xf>
    <xf numFmtId="0" fontId="28" fillId="0" borderId="0" xfId="0" applyFont="1" applyBorder="1" applyAlignment="1" applyProtection="1">
      <alignment vertical="top" wrapText="1"/>
    </xf>
    <xf numFmtId="0" fontId="79" fillId="2" borderId="13" xfId="0" applyFont="1" applyFill="1" applyBorder="1" applyAlignment="1" applyProtection="1">
      <alignment vertical="top" wrapText="1"/>
    </xf>
    <xf numFmtId="0" fontId="79" fillId="0" borderId="0" xfId="0" applyFont="1" applyBorder="1" applyAlignment="1" applyProtection="1">
      <alignment vertical="top" wrapText="1"/>
    </xf>
    <xf numFmtId="0" fontId="79"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2"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0" fontId="15" fillId="0" borderId="0" xfId="244" quotePrefix="1" applyAlignment="1" applyProtection="1">
      <alignment horizontal="left"/>
    </xf>
    <xf numFmtId="168" fontId="51"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103" fillId="0" borderId="0" xfId="0" applyFont="1" applyBorder="1" applyAlignment="1" applyProtection="1">
      <alignment horizontal="left" vertical="top"/>
    </xf>
    <xf numFmtId="0" fontId="104" fillId="0" borderId="0" xfId="0" applyFont="1" applyBorder="1" applyAlignment="1" applyProtection="1">
      <alignment horizontal="left" vertical="top"/>
    </xf>
    <xf numFmtId="0" fontId="72"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1" fillId="8" borderId="11" xfId="542" applyFont="1" applyFill="1" applyBorder="1" applyAlignment="1" applyProtection="1">
      <alignment horizontal="left"/>
    </xf>
    <xf numFmtId="0" fontId="61"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23" fillId="0" borderId="0" xfId="0" applyFont="1" applyAlignment="1" applyProtection="1">
      <alignment horizontal="center"/>
    </xf>
    <xf numFmtId="0" fontId="23" fillId="0" borderId="0" xfId="0" applyFont="1" applyAlignment="1" applyProtection="1">
      <alignment horizontal="center"/>
    </xf>
    <xf numFmtId="0" fontId="14" fillId="0" borderId="0" xfId="0" applyFont="1" applyAlignment="1">
      <alignment horizontal="center"/>
    </xf>
    <xf numFmtId="0" fontId="14" fillId="0" borderId="0" xfId="0" applyFont="1" applyFill="1" applyAlignment="1">
      <alignment horizontal="center"/>
    </xf>
    <xf numFmtId="0" fontId="23" fillId="0" borderId="0" xfId="0" applyFont="1" applyAlignment="1" applyProtection="1">
      <alignment horizontal="center"/>
    </xf>
    <xf numFmtId="0" fontId="28" fillId="0" borderId="8" xfId="569" applyFont="1" applyBorder="1" applyAlignment="1" applyProtection="1">
      <alignment vertical="top" wrapText="1"/>
    </xf>
    <xf numFmtId="0" fontId="28" fillId="0" borderId="0" xfId="569" applyFont="1" applyBorder="1" applyAlignment="1" applyProtection="1">
      <alignment vertical="top" wrapText="1"/>
    </xf>
    <xf numFmtId="0" fontId="53" fillId="2" borderId="11" xfId="569" applyFont="1" applyFill="1" applyBorder="1" applyAlignment="1" applyProtection="1">
      <alignment horizontal="left" vertical="top" wrapText="1"/>
    </xf>
    <xf numFmtId="6" fontId="51" fillId="4" borderId="11" xfId="569" applyNumberFormat="1" applyFont="1" applyFill="1" applyBorder="1" applyAlignment="1" applyProtection="1">
      <alignmen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6" fontId="51" fillId="0" borderId="11" xfId="569" applyNumberFormat="1" applyFont="1" applyFill="1" applyBorder="1" applyAlignment="1" applyProtection="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pplyProtection="1">
      <alignment horizontal="center" vertical="top" wrapText="1"/>
    </xf>
    <xf numFmtId="0" fontId="51" fillId="0" borderId="11" xfId="569" applyFont="1" applyBorder="1" applyAlignment="1" applyProtection="1">
      <alignment horizontal="right" vertical="top" wrapText="1"/>
    </xf>
    <xf numFmtId="0" fontId="52" fillId="0" borderId="11" xfId="569" applyFont="1" applyBorder="1" applyAlignment="1" applyProtection="1">
      <alignment horizontal="right" vertical="top" wrapText="1"/>
    </xf>
    <xf numFmtId="0" fontId="51" fillId="0" borderId="11" xfId="569" applyFont="1" applyFill="1" applyBorder="1" applyAlignment="1" applyProtection="1">
      <alignment horizontal="right" vertical="top"/>
    </xf>
    <xf numFmtId="0" fontId="51" fillId="0" borderId="11" xfId="569" applyFont="1" applyFill="1" applyBorder="1" applyAlignment="1" applyProtection="1">
      <alignment horizontal="right" vertical="top" wrapText="1"/>
    </xf>
    <xf numFmtId="6" fontId="52" fillId="0" borderId="11" xfId="569" applyNumberFormat="1" applyFont="1" applyFill="1" applyBorder="1" applyAlignment="1" applyProtection="1">
      <alignment vertical="top" wrapText="1"/>
    </xf>
    <xf numFmtId="0" fontId="52" fillId="0" borderId="11" xfId="569" applyFont="1" applyFill="1" applyBorder="1" applyAlignment="1" applyProtection="1">
      <alignment horizontal="right" vertical="top" wrapText="1"/>
    </xf>
    <xf numFmtId="0" fontId="52" fillId="0" borderId="8" xfId="569" applyFont="1" applyBorder="1" applyAlignment="1" applyProtection="1">
      <alignment vertical="top" wrapText="1"/>
    </xf>
    <xf numFmtId="0" fontId="52" fillId="0" borderId="0" xfId="569" applyFont="1" applyBorder="1" applyAlignment="1" applyProtection="1">
      <alignment vertical="top" wrapText="1"/>
    </xf>
    <xf numFmtId="0" fontId="17" fillId="0" borderId="11" xfId="569" applyFont="1" applyBorder="1" applyAlignment="1" applyProtection="1">
      <alignment horizontal="right" vertical="top" wrapText="1"/>
    </xf>
    <xf numFmtId="0" fontId="52" fillId="0" borderId="0" xfId="569" applyFont="1" applyBorder="1" applyAlignment="1" applyProtection="1">
      <alignment horizontal="left" vertical="top"/>
    </xf>
    <xf numFmtId="6" fontId="51" fillId="0" borderId="0" xfId="569" applyNumberFormat="1" applyFont="1" applyBorder="1" applyAlignment="1" applyProtection="1">
      <alignment horizontal="left" vertical="top"/>
    </xf>
    <xf numFmtId="0" fontId="104" fillId="0" borderId="0" xfId="569" applyFont="1" applyBorder="1" applyAlignment="1" applyProtection="1">
      <alignment horizontal="left" vertical="top"/>
    </xf>
    <xf numFmtId="6" fontId="51" fillId="0" borderId="0" xfId="569" applyNumberFormat="1" applyFont="1" applyBorder="1" applyAlignment="1" applyProtection="1">
      <alignment vertical="top" wrapText="1"/>
    </xf>
    <xf numFmtId="6" fontId="52" fillId="0" borderId="11" xfId="569" applyNumberFormat="1" applyFont="1" applyBorder="1" applyAlignment="1" applyProtection="1">
      <alignment vertical="top" wrapText="1"/>
    </xf>
    <xf numFmtId="0" fontId="51" fillId="0" borderId="0" xfId="569" applyFont="1" applyBorder="1" applyAlignment="1" applyProtection="1">
      <alignment horizontal="left" vertical="top"/>
    </xf>
    <xf numFmtId="0" fontId="51" fillId="0" borderId="12" xfId="569" applyFont="1" applyBorder="1" applyAlignment="1" applyProtection="1">
      <alignment vertical="top" wrapText="1"/>
    </xf>
    <xf numFmtId="0" fontId="21" fillId="0" borderId="0" xfId="569" applyFont="1" applyBorder="1" applyAlignment="1" applyProtection="1">
      <alignment horizontal="left" vertical="top"/>
    </xf>
    <xf numFmtId="0" fontId="107" fillId="0" borderId="0" xfId="569" applyFont="1" applyBorder="1" applyAlignment="1" applyProtection="1">
      <alignment horizontal="left" vertical="top"/>
    </xf>
    <xf numFmtId="0" fontId="62" fillId="0" borderId="0" xfId="569" applyFont="1" applyFill="1" applyBorder="1" applyAlignment="1" applyProtection="1">
      <alignment horizontal="left" vertical="center"/>
    </xf>
    <xf numFmtId="0" fontId="29" fillId="0" borderId="0" xfId="569" applyFont="1" applyFill="1" applyBorder="1" applyAlignment="1" applyProtection="1">
      <alignment vertical="top" wrapText="1"/>
    </xf>
    <xf numFmtId="0" fontId="29" fillId="0" borderId="0" xfId="569" applyFont="1" applyBorder="1" applyAlignment="1" applyProtection="1">
      <alignment vertical="top" wrapText="1"/>
    </xf>
    <xf numFmtId="0" fontId="29" fillId="0" borderId="12" xfId="569" applyFont="1" applyBorder="1" applyAlignment="1" applyProtection="1">
      <alignment vertical="top" wrapText="1"/>
    </xf>
    <xf numFmtId="0" fontId="29" fillId="0" borderId="8" xfId="569" applyFont="1" applyBorder="1" applyAlignment="1" applyProtection="1">
      <alignment vertical="top" wrapText="1"/>
    </xf>
    <xf numFmtId="0" fontId="51" fillId="0" borderId="0" xfId="569" applyFont="1" applyFill="1" applyBorder="1" applyAlignment="1" applyProtection="1">
      <alignment vertical="top"/>
    </xf>
    <xf numFmtId="0" fontId="51" fillId="0" borderId="0" xfId="569" applyFont="1" applyFill="1" applyBorder="1" applyAlignment="1" applyProtection="1">
      <alignment vertical="top" wrapText="1"/>
    </xf>
    <xf numFmtId="168" fontId="51" fillId="0" borderId="0" xfId="569" applyNumberFormat="1" applyFont="1" applyFill="1" applyBorder="1" applyAlignment="1" applyProtection="1">
      <alignment horizontal="right" vertical="top" wrapText="1"/>
      <protection locked="0"/>
    </xf>
    <xf numFmtId="0" fontId="14" fillId="0" borderId="0" xfId="569" applyFont="1" applyFill="1" applyBorder="1" applyAlignment="1" applyProtection="1">
      <alignment vertical="top" wrapText="1"/>
    </xf>
    <xf numFmtId="0" fontId="14" fillId="0" borderId="0" xfId="569" applyFont="1" applyFill="1" applyBorder="1" applyAlignment="1">
      <alignment vertical="top"/>
    </xf>
    <xf numFmtId="0" fontId="51" fillId="0" borderId="0" xfId="569" applyFont="1" applyFill="1" applyBorder="1" applyAlignment="1" applyProtection="1">
      <alignment horizontal="right" vertical="top" wrapText="1"/>
    </xf>
    <xf numFmtId="0" fontId="21" fillId="0" borderId="0" xfId="569" applyFont="1" applyFill="1" applyBorder="1" applyAlignment="1" applyProtection="1">
      <alignment horizontal="left" vertical="top" wrapText="1"/>
    </xf>
    <xf numFmtId="168" fontId="51" fillId="0" borderId="0" xfId="569" applyNumberFormat="1" applyFont="1" applyFill="1" applyBorder="1" applyAlignment="1" applyProtection="1">
      <alignment horizontal="right" vertical="top" wrapText="1"/>
    </xf>
    <xf numFmtId="0" fontId="14" fillId="0" borderId="0" xfId="569" applyFont="1" applyFill="1" applyBorder="1" applyAlignment="1" applyProtection="1">
      <alignment horizontal="left" vertical="top" wrapText="1"/>
      <protection locked="0"/>
    </xf>
    <xf numFmtId="0" fontId="14" fillId="0" borderId="0" xfId="569" applyFont="1" applyFill="1" applyBorder="1" applyAlignment="1" applyProtection="1">
      <alignment horizontal="right" vertical="top" wrapText="1"/>
    </xf>
    <xf numFmtId="0" fontId="14" fillId="0" borderId="0" xfId="569" applyFont="1" applyFill="1" applyBorder="1" applyAlignment="1" applyProtection="1">
      <alignment horizontal="left" vertical="top"/>
    </xf>
    <xf numFmtId="0" fontId="21" fillId="0" borderId="0" xfId="569" applyFont="1" applyFill="1" applyBorder="1" applyAlignment="1" applyProtection="1">
      <alignment horizontal="left" vertical="top"/>
    </xf>
    <xf numFmtId="0" fontId="79" fillId="0" borderId="0" xfId="569" applyFont="1" applyBorder="1" applyAlignment="1" applyProtection="1">
      <alignment vertical="top" wrapText="1"/>
    </xf>
    <xf numFmtId="0" fontId="79" fillId="0" borderId="12" xfId="569" applyFont="1" applyBorder="1" applyAlignment="1" applyProtection="1">
      <alignment vertical="top" wrapText="1"/>
    </xf>
    <xf numFmtId="0" fontId="79" fillId="0" borderId="8" xfId="569" applyFont="1" applyBorder="1" applyAlignment="1" applyProtection="1">
      <alignment vertical="top" wrapText="1"/>
    </xf>
    <xf numFmtId="0" fontId="28" fillId="0" borderId="0" xfId="569" applyFont="1" applyFill="1" applyBorder="1" applyAlignment="1" applyProtection="1">
      <alignment vertical="top" wrapText="1"/>
    </xf>
    <xf numFmtId="0" fontId="14" fillId="0" borderId="0" xfId="569" applyFont="1" applyBorder="1" applyAlignment="1" applyProtection="1">
      <alignment horizontal="right" vertical="top" wrapText="1"/>
    </xf>
    <xf numFmtId="0" fontId="14" fillId="0" borderId="0" xfId="569" applyFont="1" applyBorder="1" applyAlignment="1" applyProtection="1">
      <alignment vertical="top" wrapText="1"/>
    </xf>
    <xf numFmtId="0" fontId="28" fillId="0" borderId="0" xfId="569" applyFont="1" applyBorder="1" applyAlignment="1" applyProtection="1">
      <alignment horizontal="right" vertical="top" wrapText="1"/>
    </xf>
    <xf numFmtId="0" fontId="79" fillId="0" borderId="0" xfId="569" applyFont="1" applyBorder="1" applyAlignment="1" applyProtection="1">
      <alignment horizontal="right" vertical="top" wrapText="1"/>
    </xf>
    <xf numFmtId="0" fontId="52" fillId="0" borderId="3" xfId="569" applyFont="1" applyBorder="1" applyAlignment="1" applyProtection="1">
      <alignment horizontal="left"/>
    </xf>
    <xf numFmtId="0" fontId="52" fillId="0" borderId="13" xfId="569" applyFont="1" applyBorder="1" applyAlignment="1" applyProtection="1">
      <alignment horizontal="center" wrapText="1"/>
    </xf>
    <xf numFmtId="0" fontId="52" fillId="0" borderId="13" xfId="569" applyFont="1" applyFill="1" applyBorder="1" applyAlignment="1" applyProtection="1">
      <alignment horizontal="center" wrapText="1"/>
    </xf>
    <xf numFmtId="0" fontId="52" fillId="0" borderId="8" xfId="569" applyFont="1" applyBorder="1" applyAlignment="1" applyProtection="1">
      <alignment horizontal="center" wrapText="1"/>
    </xf>
    <xf numFmtId="0" fontId="52" fillId="0" borderId="0" xfId="569" applyFont="1" applyBorder="1" applyAlignment="1" applyProtection="1">
      <alignment horizontal="center" wrapText="1"/>
    </xf>
    <xf numFmtId="0" fontId="14" fillId="0" borderId="0" xfId="569" applyFont="1"/>
    <xf numFmtId="0" fontId="14" fillId="0" borderId="0" xfId="569"/>
    <xf numFmtId="0" fontId="14" fillId="0" borderId="0" xfId="569" applyFill="1"/>
    <xf numFmtId="0" fontId="14" fillId="0" borderId="0" xfId="569" applyBorder="1" applyProtection="1"/>
    <xf numFmtId="0" fontId="20" fillId="0" borderId="0" xfId="569" applyFont="1" applyFill="1" applyBorder="1" applyAlignment="1">
      <alignment horizontal="center" vertical="center"/>
    </xf>
    <xf numFmtId="0" fontId="14" fillId="0" borderId="0" xfId="569" applyFont="1" applyFill="1"/>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0"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NumberFormat="1" applyFont="1" applyAlignment="1">
      <alignment vertical="top" wrapText="1"/>
    </xf>
    <xf numFmtId="0" fontId="14" fillId="0" borderId="0" xfId="569" applyFill="1" applyAlignment="1">
      <alignment horizontal="right"/>
    </xf>
    <xf numFmtId="0" fontId="14" fillId="0" borderId="0" xfId="569" applyFill="1" applyBorder="1"/>
    <xf numFmtId="0" fontId="14" fillId="0" borderId="0" xfId="569" applyFont="1" applyBorder="1" applyAlignment="1">
      <alignment wrapText="1"/>
    </xf>
    <xf numFmtId="0" fontId="14" fillId="0" borderId="0" xfId="569" applyFont="1" applyFill="1" applyAlignment="1">
      <alignment vertical="center"/>
    </xf>
    <xf numFmtId="0" fontId="14" fillId="0" borderId="0" xfId="569" applyFill="1" applyAlignment="1">
      <alignment vertical="center"/>
    </xf>
    <xf numFmtId="0" fontId="38" fillId="0" borderId="0" xfId="569" applyFont="1" applyFill="1" applyBorder="1" applyAlignment="1">
      <alignment vertical="center" wrapText="1"/>
    </xf>
    <xf numFmtId="0" fontId="32" fillId="0" borderId="0" xfId="569" applyFont="1" applyAlignment="1">
      <alignment vertical="top" wrapText="1"/>
    </xf>
    <xf numFmtId="0" fontId="14" fillId="0" borderId="0" xfId="569" applyFill="1" applyAlignment="1">
      <alignment wrapText="1"/>
    </xf>
    <xf numFmtId="0" fontId="21" fillId="0" borderId="0" xfId="569" applyFont="1" applyFill="1"/>
    <xf numFmtId="0" fontId="21" fillId="0" borderId="0" xfId="569" applyFont="1" applyFill="1" applyAlignment="1">
      <alignment horizontal="left" vertical="top"/>
    </xf>
    <xf numFmtId="0" fontId="21" fillId="0" borderId="0" xfId="569" applyFont="1" applyFill="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Fill="1" applyBorder="1" applyAlignment="1">
      <alignment horizontal="right"/>
    </xf>
    <xf numFmtId="0" fontId="51" fillId="0" borderId="0" xfId="569" applyFont="1" applyFill="1" applyBorder="1" applyAlignment="1">
      <alignment vertical="top" wrapText="1"/>
    </xf>
    <xf numFmtId="0" fontId="14" fillId="0" borderId="0" xfId="569" applyBorder="1" applyAlignment="1"/>
    <xf numFmtId="168" fontId="14" fillId="0" borderId="0" xfId="569" applyNumberFormat="1" applyFill="1" applyBorder="1" applyAlignment="1">
      <alignment horizontal="right"/>
    </xf>
    <xf numFmtId="0" fontId="105" fillId="0" borderId="0" xfId="569" applyFont="1" applyFill="1" applyBorder="1" applyAlignment="1">
      <alignment horizontal="left" vertical="top" wrapText="1"/>
    </xf>
    <xf numFmtId="0" fontId="21" fillId="0" borderId="0" xfId="569" applyFont="1" applyBorder="1"/>
    <xf numFmtId="168" fontId="14" fillId="0" borderId="0" xfId="569" applyNumberFormat="1" applyFill="1" applyBorder="1" applyAlignment="1">
      <alignment wrapText="1"/>
    </xf>
    <xf numFmtId="0" fontId="14" fillId="0" borderId="0" xfId="569"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3" fillId="0" borderId="0" xfId="271" applyFont="1" applyAlignment="1" applyProtection="1">
      <alignment horizontal="left"/>
    </xf>
    <xf numFmtId="0" fontId="63"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0" fontId="51" fillId="0" borderId="0" xfId="569" applyFont="1" applyBorder="1" applyAlignment="1">
      <alignment horizontal="left"/>
    </xf>
    <xf numFmtId="0" fontId="14" fillId="0" borderId="3" xfId="569" applyBorder="1"/>
    <xf numFmtId="0" fontId="14" fillId="5" borderId="3" xfId="569" applyFill="1" applyBorder="1"/>
    <xf numFmtId="0" fontId="14" fillId="0" borderId="0" xfId="569"/>
    <xf numFmtId="0" fontId="14" fillId="0" borderId="0" xfId="569" applyFont="1"/>
    <xf numFmtId="0" fontId="32" fillId="0" borderId="0" xfId="0" applyFont="1" applyAlignment="1" applyProtection="1">
      <alignment horizontal="center"/>
    </xf>
    <xf numFmtId="0" fontId="32" fillId="0" borderId="0" xfId="0" applyFont="1" applyFill="1" applyAlignment="1" applyProtection="1">
      <alignment horizontal="center"/>
    </xf>
    <xf numFmtId="0" fontId="21" fillId="0" borderId="0" xfId="0" applyFont="1" applyAlignment="1" applyProtection="1">
      <alignment horizontal="center"/>
    </xf>
    <xf numFmtId="0" fontId="23" fillId="0" borderId="0" xfId="0" applyFont="1" applyAlignment="1" applyProtection="1">
      <alignment horizontal="center"/>
    </xf>
    <xf numFmtId="0" fontId="0" fillId="0" borderId="0" xfId="0" applyFill="1"/>
    <xf numFmtId="0" fontId="14"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6"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21" fillId="0" borderId="0" xfId="0" applyFont="1" applyAlignment="1" applyProtection="1">
      <alignment horizontal="center"/>
    </xf>
    <xf numFmtId="0" fontId="23" fillId="0" borderId="0" xfId="0" applyFont="1" applyAlignment="1" applyProtection="1">
      <alignment horizontal="center"/>
    </xf>
    <xf numFmtId="0" fontId="105" fillId="0" borderId="0" xfId="0" applyFont="1" applyFill="1" applyBorder="1" applyAlignment="1">
      <alignment vertical="top" wrapText="1"/>
    </xf>
    <xf numFmtId="0" fontId="51" fillId="0" borderId="0" xfId="271" applyFont="1" applyAlignment="1" applyProtection="1">
      <alignment vertical="top" wrapText="1"/>
    </xf>
    <xf numFmtId="0" fontId="14" fillId="0" borderId="0" xfId="569"/>
    <xf numFmtId="0" fontId="14" fillId="0" borderId="0" xfId="569" applyFont="1" applyFill="1"/>
    <xf numFmtId="4" fontId="14" fillId="0" borderId="0" xfId="1192" applyNumberFormat="1" applyFont="1" applyFill="1" applyAlignment="1" applyProtection="1">
      <alignment horizontal="left" vertical="top" wrapText="1"/>
    </xf>
    <xf numFmtId="0" fontId="14" fillId="0" borderId="0" xfId="0" applyFont="1" applyFill="1" applyAlignment="1">
      <alignment horizontal="left" vertical="top" wrapText="1"/>
    </xf>
    <xf numFmtId="0" fontId="14" fillId="0" borderId="0" xfId="271" applyFont="1" applyAlignment="1">
      <alignment horizontal="left" vertical="top" wrapText="1"/>
    </xf>
    <xf numFmtId="0" fontId="14" fillId="0" borderId="0" xfId="0" applyFont="1" applyBorder="1" applyAlignment="1" applyProtection="1">
      <alignment horizontal="center"/>
    </xf>
    <xf numFmtId="0" fontId="14" fillId="0" borderId="0" xfId="0" applyFont="1" applyFill="1" applyAlignment="1">
      <alignment horizontal="left" vertical="top" wrapText="1"/>
    </xf>
    <xf numFmtId="0" fontId="23" fillId="0" borderId="0" xfId="0" applyFont="1" applyAlignment="1" applyProtection="1">
      <alignment horizontal="center"/>
    </xf>
    <xf numFmtId="0" fontId="14" fillId="0" borderId="0" xfId="271" applyFont="1" applyFill="1" applyAlignment="1">
      <alignment horizontal="left" vertical="top" wrapText="1"/>
    </xf>
    <xf numFmtId="0" fontId="14" fillId="0" borderId="0" xfId="0" applyFont="1" applyFill="1" applyAlignment="1" applyProtection="1">
      <alignment horizontal="left" vertical="top" wrapText="1"/>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14" fillId="0" borderId="0" xfId="0" applyFont="1" applyAlignment="1">
      <alignment horizontal="left"/>
    </xf>
    <xf numFmtId="0" fontId="23" fillId="0" borderId="0" xfId="0" applyFont="1" applyAlignment="1" applyProtection="1">
      <alignment horizontal="center"/>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1" fillId="0" borderId="0" xfId="0" applyNumberFormat="1" applyFont="1" applyAlignment="1" applyProtection="1">
      <alignment horizontal="center"/>
    </xf>
    <xf numFmtId="0" fontId="21" fillId="0" borderId="0" xfId="0" applyFont="1" applyBorder="1" applyAlignment="1" applyProtection="1"/>
    <xf numFmtId="0" fontId="14" fillId="0" borderId="0" xfId="569"/>
    <xf numFmtId="4" fontId="14" fillId="0" borderId="0" xfId="569" applyNumberFormat="1" applyFont="1" applyFill="1" applyAlignment="1" applyProtection="1">
      <alignment horizontal="left"/>
    </xf>
    <xf numFmtId="4" fontId="14" fillId="0" borderId="0" xfId="569" applyNumberFormat="1" applyFont="1" applyFill="1" applyAlignment="1" applyProtection="1">
      <alignment horizontal="left"/>
    </xf>
    <xf numFmtId="0" fontId="14" fillId="0" borderId="0" xfId="569" applyFont="1" applyAlignment="1">
      <alignment horizontal="left" vertical="top" wrapText="1"/>
    </xf>
    <xf numFmtId="0" fontId="14" fillId="0" borderId="0" xfId="569" applyFont="1" applyFill="1" applyAlignment="1">
      <alignment horizontal="left" vertical="top" wrapText="1"/>
    </xf>
    <xf numFmtId="0" fontId="14" fillId="0" borderId="0" xfId="569" applyFont="1" applyBorder="1" applyAlignment="1">
      <alignment horizontal="left"/>
    </xf>
    <xf numFmtId="0" fontId="14" fillId="0" borderId="0" xfId="0" applyFont="1" applyAlignment="1">
      <alignment horizontal="left" vertical="top" wrapText="1"/>
    </xf>
    <xf numFmtId="0" fontId="14" fillId="0" borderId="0" xfId="0" applyFont="1" applyAlignment="1" applyProtection="1">
      <alignment horizontal="left" vertical="top" wrapText="1"/>
    </xf>
    <xf numFmtId="0" fontId="14" fillId="0" borderId="0" xfId="0" applyFont="1" applyAlignment="1">
      <alignment horizontal="left"/>
    </xf>
    <xf numFmtId="0" fontId="23" fillId="0" borderId="0" xfId="0" applyFont="1" applyAlignment="1" applyProtection="1">
      <alignment horizontal="center"/>
    </xf>
    <xf numFmtId="0" fontId="14" fillId="0" borderId="0" xfId="1192" applyFont="1" applyFill="1" applyAlignment="1" applyProtection="1">
      <alignment horizontal="left"/>
    </xf>
    <xf numFmtId="0" fontId="14" fillId="0" borderId="0" xfId="1192" applyFont="1" applyFill="1" applyAlignment="1">
      <alignment horizontal="left"/>
    </xf>
    <xf numFmtId="0" fontId="14" fillId="0" borderId="0" xfId="0" applyFont="1" applyBorder="1" applyAlignment="1">
      <alignment horizontal="left"/>
    </xf>
    <xf numFmtId="0" fontId="21" fillId="0" borderId="0" xfId="569" applyFont="1" applyBorder="1" applyAlignment="1" applyProtection="1">
      <alignment horizontal="left"/>
    </xf>
    <xf numFmtId="0" fontId="14" fillId="0" borderId="0" xfId="0" applyFont="1" applyBorder="1" applyAlignment="1">
      <alignment horizontal="left" vertical="top" wrapText="1"/>
    </xf>
    <xf numFmtId="0" fontId="43" fillId="0" borderId="0" xfId="1192" applyFont="1"/>
    <xf numFmtId="0" fontId="51" fillId="0" borderId="11" xfId="0" applyFont="1" applyBorder="1" applyAlignment="1" applyProtection="1">
      <alignment horizontal="right" vertical="center"/>
    </xf>
    <xf numFmtId="0" fontId="51" fillId="0" borderId="11" xfId="569" applyFont="1" applyBorder="1" applyAlignment="1" applyProtection="1">
      <alignment horizontal="right" vertical="top"/>
    </xf>
    <xf numFmtId="0" fontId="14" fillId="0" borderId="0" xfId="0" applyFont="1" applyFill="1" applyAlignment="1">
      <alignment horizontal="left" vertical="top" wrapText="1"/>
    </xf>
    <xf numFmtId="0" fontId="14" fillId="0" borderId="0" xfId="1192"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Border="1" applyAlignment="1" applyProtection="1">
      <alignment horizontal="right" vertical="top"/>
    </xf>
    <xf numFmtId="0" fontId="23" fillId="0" borderId="0" xfId="0" applyFont="1" applyAlignment="1" applyProtection="1">
      <alignment horizontal="center"/>
    </xf>
    <xf numFmtId="0" fontId="14" fillId="0" borderId="0" xfId="0" applyFont="1" applyAlignment="1">
      <alignment vertical="top" wrapText="1"/>
    </xf>
    <xf numFmtId="0" fontId="23" fillId="0" borderId="0" xfId="0" applyFont="1" applyAlignment="1" applyProtection="1">
      <alignment horizontal="center"/>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69" applyAlignment="1">
      <alignment wrapText="1"/>
    </xf>
    <xf numFmtId="0" fontId="14" fillId="0" borderId="0" xfId="1192" applyFont="1" applyAlignment="1"/>
    <xf numFmtId="0" fontId="14" fillId="0" borderId="0" xfId="569"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1192" applyFont="1" applyAlignment="1">
      <alignment horizontal="left" vertical="top" wrapText="1"/>
    </xf>
    <xf numFmtId="4" fontId="14" fillId="0" borderId="0" xfId="569" applyNumberFormat="1" applyFont="1" applyFill="1" applyAlignment="1" applyProtection="1">
      <alignment horizontal="left"/>
    </xf>
    <xf numFmtId="0" fontId="14" fillId="0" borderId="0" xfId="569" applyFont="1" applyFill="1" applyAlignment="1">
      <alignment horizontal="left" vertical="top" wrapText="1"/>
    </xf>
    <xf numFmtId="0" fontId="15" fillId="0" borderId="0" xfId="244" quotePrefix="1" applyAlignment="1" applyProtection="1">
      <alignment horizontal="left"/>
    </xf>
    <xf numFmtId="4" fontId="14" fillId="0" borderId="0" xfId="1192" applyNumberFormat="1" applyFont="1" applyFill="1" applyAlignment="1" applyProtection="1">
      <alignment horizontal="left" vertical="top" wrapText="1"/>
    </xf>
    <xf numFmtId="0" fontId="14" fillId="0" borderId="0" xfId="569" applyFont="1" applyAlignment="1">
      <alignment horizontal="left" vertical="top" wrapText="1"/>
    </xf>
    <xf numFmtId="0" fontId="14" fillId="0" borderId="0" xfId="569" applyFont="1" applyAlignment="1">
      <alignment horizontal="left"/>
    </xf>
    <xf numFmtId="0" fontId="14" fillId="0" borderId="0" xfId="1192" applyFont="1" applyAlignment="1" applyProtection="1">
      <alignment horizontal="left"/>
    </xf>
    <xf numFmtId="0" fontId="14" fillId="0" borderId="0" xfId="1192" applyFont="1" applyFill="1" applyAlignment="1" applyProtection="1">
      <alignment horizontal="left"/>
    </xf>
    <xf numFmtId="0" fontId="14" fillId="0" borderId="0" xfId="569" applyFont="1" applyAlignment="1" applyProtection="1">
      <alignment horizontal="center"/>
    </xf>
    <xf numFmtId="0" fontId="14" fillId="0" borderId="0" xfId="569" applyFont="1" applyProtection="1"/>
    <xf numFmtId="0" fontId="14" fillId="0" borderId="0" xfId="569" applyProtection="1"/>
    <xf numFmtId="0" fontId="14" fillId="0" borderId="0" xfId="569" applyFill="1" applyProtection="1"/>
    <xf numFmtId="0" fontId="32" fillId="0" borderId="0" xfId="569" applyFont="1" applyAlignment="1" applyProtection="1">
      <alignment horizontal="left"/>
    </xf>
    <xf numFmtId="0" fontId="32" fillId="0" borderId="0" xfId="569" applyFont="1" applyAlignment="1" applyProtection="1">
      <alignment horizontal="center"/>
    </xf>
    <xf numFmtId="0" fontId="21" fillId="0" borderId="0" xfId="569" applyFont="1" applyProtection="1"/>
    <xf numFmtId="49" fontId="21" fillId="0" borderId="0" xfId="569" applyNumberFormat="1" applyFont="1" applyAlignment="1" applyProtection="1">
      <alignment horizontal="center"/>
    </xf>
    <xf numFmtId="0" fontId="14" fillId="0" borderId="0" xfId="1192" applyFont="1"/>
    <xf numFmtId="0" fontId="49" fillId="0" borderId="0" xfId="569" applyFont="1" applyAlignment="1" applyProtection="1">
      <alignment horizontal="center"/>
    </xf>
    <xf numFmtId="0" fontId="14" fillId="5" borderId="6" xfId="569" applyFill="1" applyBorder="1" applyAlignment="1" applyProtection="1">
      <protection locked="0"/>
    </xf>
    <xf numFmtId="49" fontId="21" fillId="0" borderId="0" xfId="569" applyNumberFormat="1" applyFont="1" applyAlignment="1">
      <alignment horizontal="center"/>
    </xf>
    <xf numFmtId="0" fontId="14" fillId="0" borderId="0" xfId="569" applyFont="1" applyAlignment="1" applyProtection="1">
      <alignment horizontal="left"/>
    </xf>
    <xf numFmtId="0" fontId="14" fillId="0" borderId="0" xfId="569" applyFont="1" applyFill="1" applyAlignment="1" applyProtection="1">
      <alignment horizontal="center"/>
    </xf>
    <xf numFmtId="0" fontId="14" fillId="0" borderId="0" xfId="569" applyFont="1" applyFill="1" applyProtection="1"/>
    <xf numFmtId="0" fontId="14" fillId="0" borderId="0" xfId="1192" applyFont="1" applyAlignment="1">
      <alignment horizontal="left"/>
    </xf>
    <xf numFmtId="0" fontId="14" fillId="0" borderId="0" xfId="569" applyFont="1" applyAlignment="1">
      <alignment horizontal="center"/>
    </xf>
    <xf numFmtId="0" fontId="49" fillId="0" borderId="0" xfId="569" applyFont="1" applyFill="1" applyAlignment="1" applyProtection="1">
      <alignment horizontal="center"/>
    </xf>
    <xf numFmtId="0" fontId="14" fillId="0" borderId="0" xfId="569" applyFont="1" applyFill="1" applyAlignment="1">
      <alignment horizontal="center"/>
    </xf>
    <xf numFmtId="0" fontId="15" fillId="0" borderId="0" xfId="244" applyFont="1" applyAlignment="1" applyProtection="1">
      <alignment horizontal="center"/>
    </xf>
    <xf numFmtId="49" fontId="14" fillId="0" borderId="0" xfId="569" applyNumberFormat="1" applyFont="1" applyAlignment="1">
      <alignment horizontal="center"/>
    </xf>
    <xf numFmtId="0" fontId="14" fillId="0" borderId="0" xfId="569" applyFont="1" applyAlignment="1" applyProtection="1">
      <alignment horizontal="center" vertical="center"/>
    </xf>
    <xf numFmtId="0" fontId="14" fillId="0" borderId="0" xfId="569" applyFont="1" applyAlignment="1">
      <alignment horizontal="center" vertical="center"/>
    </xf>
    <xf numFmtId="0" fontId="14" fillId="0" borderId="0" xfId="569" applyFont="1" applyAlignment="1">
      <alignment vertical="center"/>
    </xf>
    <xf numFmtId="0" fontId="14" fillId="0" borderId="0" xfId="569" applyAlignment="1">
      <alignment vertical="center"/>
    </xf>
    <xf numFmtId="0" fontId="14" fillId="0" borderId="0" xfId="1192" applyFont="1" applyAlignment="1" applyProtection="1">
      <alignment horizontal="center"/>
    </xf>
    <xf numFmtId="0" fontId="14" fillId="0" borderId="0" xfId="1192"/>
    <xf numFmtId="0" fontId="14" fillId="0" borderId="0" xfId="1192" applyFont="1" applyBorder="1"/>
    <xf numFmtId="0" fontId="21" fillId="0" borderId="0" xfId="569" applyFont="1" applyAlignment="1" applyProtection="1">
      <alignment horizontal="center"/>
    </xf>
    <xf numFmtId="0" fontId="21" fillId="0" borderId="0" xfId="569" applyFont="1" applyBorder="1" applyAlignment="1" applyProtection="1"/>
    <xf numFmtId="0" fontId="14" fillId="0" borderId="0" xfId="569" applyFont="1" applyBorder="1" applyAlignment="1" applyProtection="1">
      <alignment horizontal="center"/>
    </xf>
    <xf numFmtId="0" fontId="14" fillId="0" borderId="0" xfId="569" applyFont="1" applyBorder="1" applyProtection="1"/>
    <xf numFmtId="0" fontId="21" fillId="0" borderId="0" xfId="569" applyFont="1" applyBorder="1" applyProtection="1"/>
    <xf numFmtId="0" fontId="14" fillId="0" borderId="0" xfId="569" applyFont="1" applyAlignment="1" applyProtection="1">
      <alignment horizontal="left" indent="4"/>
    </xf>
    <xf numFmtId="0" fontId="14" fillId="0" borderId="0" xfId="569" quotePrefix="1" applyFont="1" applyAlignment="1" applyProtection="1">
      <alignment horizontal="left"/>
    </xf>
    <xf numFmtId="0" fontId="32" fillId="0" borderId="0" xfId="569" applyFont="1" applyProtection="1"/>
    <xf numFmtId="0" fontId="14" fillId="0" borderId="0" xfId="1192" applyFont="1" applyFill="1" applyAlignment="1" applyProtection="1">
      <alignment horizontal="left"/>
      <protection locked="0"/>
    </xf>
    <xf numFmtId="0" fontId="14" fillId="0" borderId="0" xfId="569" applyFont="1" applyFill="1" applyAlignment="1" applyProtection="1">
      <alignment horizontal="left"/>
      <protection locked="0"/>
    </xf>
    <xf numFmtId="0" fontId="14" fillId="0" borderId="0" xfId="1192" applyFont="1" applyFill="1" applyBorder="1" applyAlignment="1" applyProtection="1">
      <alignment horizontal="left"/>
    </xf>
    <xf numFmtId="49" fontId="14" fillId="0" borderId="0" xfId="1192" applyNumberFormat="1" applyAlignment="1">
      <alignment horizontal="center"/>
    </xf>
    <xf numFmtId="0" fontId="49" fillId="0" borderId="0" xfId="1192" applyFont="1" applyAlignment="1" applyProtection="1">
      <alignment horizontal="center"/>
    </xf>
    <xf numFmtId="49" fontId="14" fillId="0" borderId="0" xfId="569" applyNumberFormat="1" applyFont="1" applyAlignment="1" applyProtection="1">
      <alignment horizontal="center"/>
    </xf>
    <xf numFmtId="0" fontId="14" fillId="0" borderId="0" xfId="569" applyFont="1" applyAlignment="1" applyProtection="1"/>
    <xf numFmtId="0" fontId="14" fillId="0" borderId="0" xfId="569" applyAlignment="1" applyProtection="1"/>
    <xf numFmtId="0" fontId="32" fillId="0" borderId="0" xfId="569" applyFont="1" applyFill="1" applyAlignment="1">
      <alignment horizontal="center"/>
    </xf>
    <xf numFmtId="0" fontId="21" fillId="0" borderId="0" xfId="1192" applyFont="1" applyFill="1" applyAlignment="1">
      <alignment horizontal="left"/>
    </xf>
    <xf numFmtId="49" fontId="21" fillId="0" borderId="0" xfId="569" applyNumberFormat="1" applyFont="1" applyFill="1" applyAlignment="1" applyProtection="1">
      <alignment horizontal="center"/>
    </xf>
    <xf numFmtId="0" fontId="21" fillId="0" borderId="0" xfId="569" applyFont="1" applyAlignment="1">
      <alignment horizontal="left"/>
    </xf>
    <xf numFmtId="0" fontId="21" fillId="0" borderId="0" xfId="569" applyFont="1" applyAlignment="1" applyProtection="1">
      <alignment horizontal="left"/>
    </xf>
    <xf numFmtId="4" fontId="14" fillId="0" borderId="0" xfId="1192" applyNumberFormat="1" applyFont="1" applyAlignment="1" applyProtection="1">
      <alignment horizontal="left"/>
    </xf>
    <xf numFmtId="0" fontId="32" fillId="0" borderId="0" xfId="569" applyFont="1" applyFill="1" applyAlignment="1" applyProtection="1">
      <alignment horizontal="center"/>
    </xf>
    <xf numFmtId="0" fontId="21" fillId="0" borderId="0" xfId="569" quotePrefix="1" applyFont="1" applyAlignment="1" applyProtection="1">
      <alignment horizontal="center"/>
    </xf>
    <xf numFmtId="0" fontId="32" fillId="0" borderId="0" xfId="569" applyFont="1" applyBorder="1" applyAlignment="1" applyProtection="1">
      <alignment horizontal="center"/>
    </xf>
    <xf numFmtId="0" fontId="14" fillId="0" borderId="0" xfId="569" applyFont="1" applyBorder="1" applyAlignment="1" applyProtection="1">
      <alignment horizontal="left"/>
    </xf>
    <xf numFmtId="49" fontId="14" fillId="0" borderId="0" xfId="569" applyNumberFormat="1" applyProtection="1"/>
    <xf numFmtId="0" fontId="46" fillId="0" borderId="0" xfId="569" applyFont="1" applyAlignment="1" applyProtection="1">
      <alignment horizontal="left"/>
    </xf>
    <xf numFmtId="0" fontId="14" fillId="0" borderId="0" xfId="569" applyFont="1" applyFill="1" applyBorder="1" applyProtection="1"/>
    <xf numFmtId="49" fontId="14" fillId="0" borderId="0" xfId="569" applyNumberFormat="1" applyFill="1" applyProtection="1"/>
    <xf numFmtId="0" fontId="14" fillId="0" borderId="0" xfId="569" applyFont="1" applyFill="1" applyAlignment="1" applyProtection="1">
      <alignment horizontal="left" vertical="top" wrapText="1"/>
    </xf>
    <xf numFmtId="49" fontId="14" fillId="0" borderId="0" xfId="569" applyNumberFormat="1" applyFont="1" applyProtection="1"/>
    <xf numFmtId="49" fontId="14" fillId="0" borderId="0" xfId="569" applyNumberFormat="1" applyFont="1" applyFill="1" applyProtection="1"/>
    <xf numFmtId="0" fontId="14" fillId="0" borderId="0" xfId="569" applyFont="1" applyFill="1" applyAlignment="1" applyProtection="1">
      <alignment horizontal="left"/>
    </xf>
    <xf numFmtId="4" fontId="49" fillId="0" borderId="0" xfId="569" applyNumberFormat="1" applyFont="1" applyAlignment="1" applyProtection="1">
      <alignment horizontal="center"/>
    </xf>
    <xf numFmtId="4" fontId="14" fillId="0" borderId="0" xfId="569" applyNumberFormat="1" applyFont="1" applyAlignment="1" applyProtection="1">
      <alignment horizontal="center"/>
    </xf>
    <xf numFmtId="4" fontId="14" fillId="0" borderId="0" xfId="569" applyNumberFormat="1" applyFont="1" applyProtection="1"/>
    <xf numFmtId="4" fontId="14" fillId="0" borderId="0" xfId="569" applyNumberFormat="1" applyFill="1" applyProtection="1"/>
    <xf numFmtId="0" fontId="32" fillId="0" borderId="0" xfId="569" applyFont="1" applyFill="1" applyAlignment="1">
      <alignment horizontal="left"/>
    </xf>
    <xf numFmtId="0" fontId="44" fillId="0" borderId="0" xfId="569" applyFont="1" applyFill="1" applyAlignment="1">
      <alignment horizontal="left"/>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1" fillId="0" borderId="11" xfId="0" applyFont="1" applyFill="1" applyBorder="1" applyAlignment="1" applyProtection="1">
      <alignment horizontal="right" vertical="top" wrapText="1"/>
      <protection locked="0"/>
    </xf>
    <xf numFmtId="168" fontId="54" fillId="44"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69" applyFont="1" applyBorder="1" applyAlignment="1">
      <alignment horizontal="left"/>
    </xf>
    <xf numFmtId="0" fontId="103" fillId="0" borderId="0" xfId="0" applyFont="1" applyBorder="1"/>
    <xf numFmtId="0" fontId="14" fillId="0" borderId="0" xfId="0" applyFont="1" applyFill="1" applyAlignment="1">
      <alignment vertical="top" wrapText="1"/>
    </xf>
    <xf numFmtId="0" fontId="114" fillId="0" borderId="0" xfId="0" applyFont="1" applyBorder="1" applyAlignment="1" applyProtection="1">
      <alignment horizontal="left" vertical="top"/>
    </xf>
    <xf numFmtId="0" fontId="115"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4" fillId="0" borderId="0" xfId="569" applyFont="1" applyAlignment="1">
      <alignment vertical="top" wrapText="1"/>
    </xf>
    <xf numFmtId="168" fontId="51"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1" fillId="0" borderId="0" xfId="569"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14" fillId="0" borderId="0" xfId="569" applyFont="1" applyBorder="1" applyAlignment="1">
      <alignment horizontal="left" vertical="top" wrapText="1"/>
    </xf>
    <xf numFmtId="4" fontId="14" fillId="0" borderId="0" xfId="1192" applyNumberFormat="1" applyFont="1" applyFill="1" applyAlignment="1" applyProtection="1">
      <alignment vertical="top" wrapText="1"/>
    </xf>
    <xf numFmtId="0" fontId="21" fillId="0" borderId="16" xfId="271" applyFont="1" applyFill="1" applyBorder="1" applyAlignment="1" applyProtection="1"/>
    <xf numFmtId="0" fontId="58" fillId="0" borderId="0" xfId="569" applyFont="1" applyProtection="1"/>
    <xf numFmtId="0" fontId="38" fillId="0" borderId="0" xfId="569"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14" fillId="0" borderId="0" xfId="569" applyFont="1" applyBorder="1" applyAlignment="1">
      <alignment vertical="top" wrapText="1"/>
    </xf>
    <xf numFmtId="0" fontId="14" fillId="0" borderId="0" xfId="569" applyFont="1" applyBorder="1" applyAlignment="1">
      <alignment vertical="top"/>
    </xf>
    <xf numFmtId="0" fontId="0" fillId="0" borderId="0" xfId="0" applyAlignment="1" applyProtection="1"/>
    <xf numFmtId="0" fontId="14" fillId="0" borderId="0" xfId="1192" applyFont="1" applyFill="1" applyBorder="1" applyAlignment="1" applyProtection="1">
      <alignment horizontal="left" vertical="top" wrapText="1"/>
    </xf>
    <xf numFmtId="0" fontId="14" fillId="0" borderId="0" xfId="1192" applyFont="1" applyAlignment="1" applyProtection="1">
      <alignment vertical="top" wrapText="1"/>
    </xf>
    <xf numFmtId="49" fontId="14" fillId="0" borderId="0" xfId="1192" applyNumberFormat="1" applyFont="1" applyFill="1" applyAlignment="1">
      <alignment vertical="top" wrapText="1"/>
    </xf>
    <xf numFmtId="0" fontId="53"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16" fillId="0" borderId="0" xfId="0" applyFont="1" applyBorder="1" applyProtection="1"/>
    <xf numFmtId="0" fontId="103" fillId="0" borderId="0" xfId="0" applyFont="1" applyProtection="1"/>
    <xf numFmtId="3" fontId="103" fillId="0" borderId="0" xfId="0" applyNumberFormat="1" applyFont="1"/>
    <xf numFmtId="0" fontId="103" fillId="0" borderId="0" xfId="0" applyFont="1" applyBorder="1" applyAlignment="1" applyProtection="1">
      <alignment horizontal="left"/>
    </xf>
    <xf numFmtId="168" fontId="117" fillId="0" borderId="0" xfId="0" applyNumberFormat="1" applyFont="1" applyFill="1" applyBorder="1" applyAlignment="1" applyProtection="1">
      <alignment horizontal="left" vertical="top"/>
    </xf>
    <xf numFmtId="0" fontId="103" fillId="0" borderId="0" xfId="0" applyFont="1" applyFill="1" applyBorder="1" applyProtection="1"/>
    <xf numFmtId="0" fontId="103" fillId="0" borderId="0" xfId="0" applyFont="1" applyBorder="1" applyAlignment="1" applyProtection="1">
      <alignment horizontal="left" vertical="center"/>
    </xf>
    <xf numFmtId="0" fontId="119" fillId="0" borderId="0" xfId="0" applyFont="1" applyProtection="1"/>
    <xf numFmtId="0" fontId="119" fillId="0" borderId="0" xfId="0" applyFont="1" applyBorder="1" applyProtection="1"/>
    <xf numFmtId="0" fontId="103" fillId="0" borderId="0" xfId="0" applyFont="1" applyBorder="1" applyProtection="1"/>
    <xf numFmtId="0" fontId="116" fillId="0" borderId="0" xfId="0" applyFont="1" applyProtection="1"/>
    <xf numFmtId="0" fontId="14" fillId="0" borderId="0" xfId="1192" applyFont="1" applyAlignment="1" applyProtection="1">
      <alignment horizontal="left"/>
    </xf>
    <xf numFmtId="172" fontId="14" fillId="0" borderId="8" xfId="543" applyNumberFormat="1" applyFont="1" applyBorder="1" applyProtection="1"/>
    <xf numFmtId="0" fontId="14" fillId="0" borderId="8" xfId="4495" applyFont="1" applyBorder="1" applyProtection="1"/>
    <xf numFmtId="0" fontId="14" fillId="0" borderId="0" xfId="4495" applyFont="1" applyProtection="1"/>
    <xf numFmtId="0" fontId="20" fillId="0" borderId="0" xfId="4495" applyFont="1" applyFill="1" applyBorder="1" applyAlignment="1" applyProtection="1">
      <alignment horizontal="center" vertical="center"/>
    </xf>
    <xf numFmtId="0" fontId="14" fillId="0" borderId="8" xfId="4495" applyFont="1" applyFill="1" applyBorder="1" applyProtection="1"/>
    <xf numFmtId="0" fontId="14" fillId="0" borderId="0" xfId="4495" applyFont="1" applyFill="1" applyProtection="1"/>
    <xf numFmtId="0" fontId="21" fillId="0" borderId="0" xfId="4495" applyFont="1" applyAlignment="1" applyProtection="1">
      <alignment horizontal="left"/>
    </xf>
    <xf numFmtId="0" fontId="21" fillId="0" borderId="0" xfId="4495" applyFont="1" applyProtection="1"/>
    <xf numFmtId="0" fontId="24" fillId="0" borderId="0" xfId="4495" applyFont="1" applyFill="1" applyBorder="1" applyAlignment="1" applyProtection="1">
      <alignment horizontal="center" vertical="center"/>
    </xf>
    <xf numFmtId="0" fontId="24" fillId="0" borderId="27" xfId="4495" applyFont="1" applyFill="1" applyBorder="1" applyAlignment="1" applyProtection="1">
      <alignment horizontal="center" vertical="center"/>
    </xf>
    <xf numFmtId="0" fontId="24" fillId="0" borderId="46" xfId="4495" applyFont="1" applyFill="1" applyBorder="1" applyAlignment="1" applyProtection="1">
      <alignment horizontal="center" vertical="center"/>
    </xf>
    <xf numFmtId="0" fontId="21" fillId="0" borderId="0" xfId="4495" applyFont="1" applyAlignment="1" applyProtection="1">
      <alignment horizontal="right"/>
    </xf>
    <xf numFmtId="0" fontId="32" fillId="0" borderId="0" xfId="4495" applyFont="1" applyFill="1" applyBorder="1" applyAlignment="1" applyProtection="1">
      <alignment horizontal="left" vertical="center"/>
    </xf>
    <xf numFmtId="0" fontId="14" fillId="0" borderId="0" xfId="1192" quotePrefix="1" applyNumberFormat="1" applyFont="1" applyAlignment="1" applyProtection="1">
      <alignment horizontal="center"/>
    </xf>
    <xf numFmtId="0" fontId="44" fillId="0" borderId="0" xfId="4495" applyFont="1" applyFill="1" applyBorder="1" applyAlignment="1" applyProtection="1">
      <alignment horizontal="left" vertical="center"/>
    </xf>
    <xf numFmtId="49" fontId="22" fillId="0" borderId="0" xfId="4495" applyNumberFormat="1" applyFont="1" applyFill="1" applyBorder="1" applyAlignment="1" applyProtection="1">
      <alignment horizontal="left" vertical="top"/>
    </xf>
    <xf numFmtId="0" fontId="14" fillId="0" borderId="47" xfId="4495" applyFont="1" applyFill="1" applyBorder="1" applyAlignment="1" applyProtection="1">
      <alignment horizontal="left" vertical="center"/>
    </xf>
    <xf numFmtId="0" fontId="24" fillId="0" borderId="48" xfId="4495" applyFont="1" applyFill="1" applyBorder="1" applyAlignment="1" applyProtection="1">
      <alignment horizontal="center" vertical="center"/>
    </xf>
    <xf numFmtId="0" fontId="22" fillId="0" borderId="0" xfId="4495" applyFont="1" applyProtection="1"/>
    <xf numFmtId="0" fontId="22" fillId="0" borderId="0" xfId="4495" applyFont="1" applyFill="1" applyBorder="1" applyAlignment="1" applyProtection="1">
      <alignment horizontal="left" vertical="top"/>
    </xf>
    <xf numFmtId="0" fontId="121" fillId="0" borderId="53" xfId="4496" applyFont="1" applyBorder="1" applyAlignment="1">
      <alignment horizontal="left" vertical="top"/>
    </xf>
    <xf numFmtId="0" fontId="120" fillId="0" borderId="0" xfId="4496" applyFont="1" applyBorder="1" applyAlignment="1">
      <alignment horizontal="left" vertical="top" wrapText="1"/>
    </xf>
    <xf numFmtId="0" fontId="120" fillId="0" borderId="54" xfId="4496" applyFont="1" applyBorder="1" applyAlignment="1">
      <alignment horizontal="left" vertical="top" wrapText="1"/>
    </xf>
    <xf numFmtId="0" fontId="14" fillId="0" borderId="0" xfId="4495" applyFont="1" applyFill="1" applyBorder="1" applyAlignment="1" applyProtection="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1" fillId="0" borderId="0" xfId="4495" applyFont="1" applyFill="1" applyProtection="1"/>
    <xf numFmtId="0" fontId="22" fillId="0" borderId="3" xfId="4495" applyFont="1" applyFill="1" applyBorder="1" applyAlignment="1" applyProtection="1">
      <alignment vertical="top" wrapText="1"/>
    </xf>
    <xf numFmtId="0" fontId="22" fillId="0" borderId="4" xfId="4495" applyFont="1" applyFill="1" applyBorder="1" applyAlignment="1" applyProtection="1">
      <alignment vertical="top" wrapText="1"/>
    </xf>
    <xf numFmtId="164" fontId="118" fillId="0" borderId="4" xfId="4495" applyNumberFormat="1" applyFill="1" applyBorder="1" applyAlignment="1" applyProtection="1">
      <alignment horizontal="right"/>
    </xf>
    <xf numFmtId="0" fontId="22" fillId="0" borderId="4" xfId="4495" applyFont="1" applyFill="1" applyBorder="1" applyAlignment="1" applyProtection="1"/>
    <xf numFmtId="0" fontId="21" fillId="0" borderId="5" xfId="4495" applyFont="1" applyFill="1" applyBorder="1" applyAlignment="1" applyProtection="1">
      <alignment horizontal="right"/>
    </xf>
    <xf numFmtId="0" fontId="14" fillId="0" borderId="16" xfId="4495" applyFont="1" applyFill="1" applyBorder="1" applyAlignment="1" applyProtection="1"/>
    <xf numFmtId="0" fontId="14" fillId="0" borderId="16" xfId="4495" applyFont="1" applyFill="1" applyBorder="1" applyAlignment="1" applyProtection="1">
      <alignment horizontal="left" vertical="top"/>
    </xf>
    <xf numFmtId="0" fontId="22" fillId="0" borderId="16" xfId="4495" applyFont="1" applyFill="1" applyBorder="1" applyAlignment="1" applyProtection="1">
      <alignment horizontal="left" vertical="top" wrapText="1"/>
    </xf>
    <xf numFmtId="0" fontId="22" fillId="0" borderId="45" xfId="4495" applyFont="1" applyFill="1" applyBorder="1" applyAlignment="1" applyProtection="1">
      <alignment horizontal="left" vertical="top" wrapText="1"/>
    </xf>
    <xf numFmtId="0" fontId="118" fillId="0" borderId="0" xfId="4495"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Fill="1" applyBorder="1" applyAlignment="1" applyProtection="1">
      <alignment horizontal="left" vertical="top" wrapText="1"/>
    </xf>
    <xf numFmtId="0" fontId="22" fillId="0" borderId="0" xfId="4495" applyFont="1" applyAlignment="1" applyProtection="1">
      <alignment horizontal="right" vertical="top"/>
    </xf>
    <xf numFmtId="0" fontId="14" fillId="0" borderId="0" xfId="4495" applyFont="1" applyFill="1" applyBorder="1" applyAlignment="1" applyProtection="1">
      <alignment vertical="center" wrapText="1"/>
    </xf>
    <xf numFmtId="0" fontId="120" fillId="0" borderId="53" xfId="4496" applyFont="1" applyBorder="1" applyAlignment="1">
      <alignment vertical="top" wrapText="1"/>
    </xf>
    <xf numFmtId="0" fontId="120" fillId="0" borderId="0" xfId="4496" applyFont="1" applyBorder="1" applyAlignment="1">
      <alignment vertical="top" wrapText="1"/>
    </xf>
    <xf numFmtId="10" fontId="120" fillId="0" borderId="0" xfId="4496" applyNumberFormat="1" applyFont="1" applyBorder="1" applyAlignment="1">
      <alignment vertical="top" wrapText="1"/>
    </xf>
    <xf numFmtId="0" fontId="120" fillId="0" borderId="54" xfId="4496" applyFont="1" applyBorder="1" applyAlignment="1">
      <alignment vertical="top" wrapText="1"/>
    </xf>
    <xf numFmtId="0" fontId="120" fillId="0" borderId="0" xfId="4496" applyFont="1" applyBorder="1" applyAlignment="1">
      <alignment vertical="top"/>
    </xf>
    <xf numFmtId="165" fontId="120" fillId="0" borderId="0" xfId="4496" applyNumberFormat="1" applyFont="1" applyBorder="1" applyAlignment="1">
      <alignment vertical="top" wrapText="1"/>
    </xf>
    <xf numFmtId="0" fontId="21" fillId="0" borderId="57" xfId="4495" applyFont="1" applyBorder="1" applyProtection="1"/>
    <xf numFmtId="0" fontId="21" fillId="0" borderId="58" xfId="4495" applyFont="1" applyBorder="1" applyProtection="1"/>
    <xf numFmtId="0" fontId="21" fillId="0" borderId="58" xfId="4495" applyFont="1" applyBorder="1" applyAlignment="1" applyProtection="1">
      <alignment horizontal="right"/>
    </xf>
    <xf numFmtId="0" fontId="21" fillId="0" borderId="59" xfId="4495" applyFont="1" applyBorder="1" applyAlignment="1" applyProtection="1">
      <alignment horizontal="right"/>
    </xf>
    <xf numFmtId="0" fontId="120" fillId="0" borderId="53" xfId="4496" applyFont="1" applyBorder="1" applyAlignment="1">
      <alignment horizontal="left" vertical="top" wrapText="1"/>
    </xf>
    <xf numFmtId="0" fontId="120" fillId="0" borderId="0" xfId="4496" applyFont="1" applyBorder="1" applyAlignment="1">
      <alignment horizontal="left" vertical="top"/>
    </xf>
    <xf numFmtId="0" fontId="24" fillId="0" borderId="57" xfId="4495" applyFont="1" applyFill="1" applyBorder="1" applyAlignment="1" applyProtection="1">
      <alignment horizontal="center" vertical="center"/>
    </xf>
    <xf numFmtId="0" fontId="24" fillId="0" borderId="58" xfId="4495" applyFont="1" applyFill="1" applyBorder="1" applyAlignment="1" applyProtection="1">
      <alignment horizontal="center" vertical="center"/>
    </xf>
    <xf numFmtId="0" fontId="24" fillId="0" borderId="59" xfId="4495" applyFont="1" applyFill="1" applyBorder="1" applyAlignment="1" applyProtection="1">
      <alignment horizontal="center" vertical="center"/>
    </xf>
    <xf numFmtId="0" fontId="21" fillId="0" borderId="0" xfId="4495" applyFont="1" applyAlignment="1" applyProtection="1">
      <alignment horizontal="center"/>
    </xf>
    <xf numFmtId="0" fontId="21" fillId="0" borderId="0" xfId="4495" applyFont="1" applyFill="1" applyBorder="1" applyProtection="1"/>
    <xf numFmtId="0" fontId="21" fillId="0" borderId="8" xfId="4495" applyFont="1" applyBorder="1" applyProtection="1"/>
    <xf numFmtId="0" fontId="21" fillId="0" borderId="0" xfId="4495" applyFont="1" applyFill="1" applyBorder="1" applyAlignment="1" applyProtection="1">
      <alignment horizontal="left"/>
    </xf>
    <xf numFmtId="0" fontId="22" fillId="0" borderId="0" xfId="4495" applyFont="1" applyFill="1" applyBorder="1" applyAlignment="1" applyProtection="1">
      <alignment horizontal="left"/>
    </xf>
    <xf numFmtId="0" fontId="21" fillId="0" borderId="0" xfId="4495" applyFont="1" applyFill="1" applyBorder="1" applyAlignment="1" applyProtection="1">
      <alignment horizontal="center" vertical="top"/>
    </xf>
    <xf numFmtId="0" fontId="14" fillId="0" borderId="0" xfId="4495" applyFont="1" applyBorder="1" applyProtection="1"/>
    <xf numFmtId="0" fontId="14" fillId="0" borderId="0" xfId="4495" applyNumberFormat="1" applyFont="1" applyAlignment="1" applyProtection="1">
      <alignment horizontal="center"/>
    </xf>
    <xf numFmtId="0" fontId="30" fillId="0" borderId="0" xfId="4495" applyFont="1" applyProtection="1"/>
    <xf numFmtId="0" fontId="14" fillId="0" borderId="0" xfId="1192" applyFont="1" applyBorder="1" applyProtection="1"/>
    <xf numFmtId="0" fontId="14" fillId="0" borderId="0" xfId="1192" applyNumberFormat="1" applyFont="1" applyAlignment="1" applyProtection="1">
      <alignment horizontal="center"/>
    </xf>
    <xf numFmtId="0" fontId="21" fillId="0" borderId="0" xfId="4495" applyFont="1" applyFill="1" applyAlignment="1" applyProtection="1">
      <alignment horizontal="left"/>
    </xf>
    <xf numFmtId="0" fontId="21" fillId="0" borderId="0" xfId="4495" applyFont="1" applyFill="1" applyAlignment="1" applyProtection="1">
      <alignment horizontal="center"/>
    </xf>
    <xf numFmtId="0" fontId="14" fillId="0" borderId="0" xfId="1192" applyFont="1" applyProtection="1"/>
    <xf numFmtId="0" fontId="30" fillId="0" borderId="0" xfId="4495" applyFont="1" applyFill="1" applyBorder="1" applyAlignment="1" applyProtection="1"/>
    <xf numFmtId="0" fontId="22" fillId="0" borderId="8" xfId="4495" applyFont="1" applyBorder="1" applyProtection="1"/>
    <xf numFmtId="0" fontId="22" fillId="0" borderId="8" xfId="4495" applyFont="1" applyFill="1" applyBorder="1" applyProtection="1"/>
    <xf numFmtId="0" fontId="22" fillId="0" borderId="0" xfId="4495" applyFont="1" applyFill="1" applyProtection="1"/>
    <xf numFmtId="0" fontId="51" fillId="0" borderId="8" xfId="4495" applyFont="1" applyFill="1" applyBorder="1" applyAlignment="1" applyProtection="1"/>
    <xf numFmtId="0" fontId="14" fillId="0" borderId="0" xfId="1192" applyFont="1" applyFill="1" applyProtection="1"/>
    <xf numFmtId="0" fontId="14" fillId="0" borderId="0" xfId="4495" applyFont="1" applyFill="1" applyBorder="1" applyAlignment="1" applyProtection="1">
      <alignment horizontal="center"/>
    </xf>
    <xf numFmtId="0" fontId="14" fillId="0" borderId="0" xfId="4495" applyFont="1" applyFill="1" applyBorder="1" applyProtection="1"/>
    <xf numFmtId="1" fontId="14" fillId="0" borderId="0" xfId="1192" applyNumberFormat="1" applyFont="1" applyProtection="1"/>
    <xf numFmtId="0" fontId="14" fillId="0" borderId="3" xfId="4495" applyFont="1" applyFill="1" applyBorder="1" applyProtection="1"/>
    <xf numFmtId="0" fontId="14" fillId="0" borderId="4" xfId="4495" applyFont="1" applyFill="1" applyBorder="1" applyProtection="1"/>
    <xf numFmtId="0" fontId="14" fillId="0" borderId="0" xfId="4495" applyNumberFormat="1" applyFont="1" applyFill="1" applyBorder="1" applyAlignment="1" applyProtection="1">
      <alignment horizontal="center"/>
    </xf>
    <xf numFmtId="0" fontId="14" fillId="0" borderId="0" xfId="1192" applyFont="1" applyAlignment="1" applyProtection="1">
      <alignment wrapText="1"/>
    </xf>
    <xf numFmtId="0" fontId="21" fillId="0" borderId="0" xfId="4495" applyFont="1" applyFill="1" applyBorder="1" applyAlignment="1" applyProtection="1"/>
    <xf numFmtId="0" fontId="22" fillId="0" borderId="0" xfId="4495" applyNumberFormat="1" applyFont="1" applyAlignment="1" applyProtection="1">
      <alignment vertical="top" wrapText="1"/>
    </xf>
    <xf numFmtId="0" fontId="22" fillId="0" borderId="0" xfId="1192" applyFont="1" applyProtection="1"/>
    <xf numFmtId="0" fontId="22" fillId="0" borderId="0" xfId="4495" applyNumberFormat="1" applyFont="1" applyFill="1" applyAlignment="1" applyProtection="1">
      <alignment vertical="top" wrapText="1"/>
    </xf>
    <xf numFmtId="0" fontId="14" fillId="0" borderId="0" xfId="4495" applyFont="1" applyFill="1" applyBorder="1" applyAlignment="1" applyProtection="1">
      <alignment horizontal="left"/>
    </xf>
    <xf numFmtId="0" fontId="22" fillId="0" borderId="3" xfId="4495" applyFont="1" applyFill="1" applyBorder="1" applyProtection="1"/>
    <xf numFmtId="0" fontId="22" fillId="0" borderId="4" xfId="4495" applyFont="1" applyFill="1" applyBorder="1" applyProtection="1"/>
    <xf numFmtId="0" fontId="14" fillId="0" borderId="4" xfId="4495" applyFont="1" applyFill="1" applyBorder="1" applyAlignment="1" applyProtection="1"/>
    <xf numFmtId="0" fontId="14" fillId="0" borderId="4" xfId="4495" applyFont="1" applyFill="1" applyBorder="1" applyAlignment="1" applyProtection="1">
      <alignment horizontal="right"/>
    </xf>
    <xf numFmtId="1" fontId="14" fillId="0" borderId="0" xfId="4495" applyNumberFormat="1" applyFont="1" applyFill="1" applyBorder="1" applyAlignment="1" applyProtection="1">
      <alignment horizontal="center"/>
    </xf>
    <xf numFmtId="0" fontId="51" fillId="0" borderId="0" xfId="4495" applyFont="1" applyFill="1" applyBorder="1" applyAlignment="1" applyProtection="1"/>
    <xf numFmtId="0" fontId="14" fillId="0" borderId="0" xfId="4495" applyFont="1" applyFill="1" applyBorder="1" applyAlignment="1" applyProtection="1"/>
    <xf numFmtId="0" fontId="14" fillId="0" borderId="0" xfId="4495" applyFont="1" applyFill="1" applyBorder="1" applyAlignment="1" applyProtection="1">
      <alignment horizontal="right"/>
    </xf>
    <xf numFmtId="0" fontId="22" fillId="0" borderId="0" xfId="4495" applyFont="1" applyBorder="1" applyProtection="1"/>
    <xf numFmtId="0" fontId="22" fillId="0" borderId="0" xfId="4495" applyFont="1" applyFill="1" applyBorder="1" applyProtection="1"/>
    <xf numFmtId="0" fontId="22" fillId="0" borderId="0" xfId="4495" applyFont="1" applyFill="1" applyBorder="1" applyAlignment="1" applyProtection="1">
      <alignment vertical="top" wrapText="1"/>
    </xf>
    <xf numFmtId="0" fontId="22" fillId="0" borderId="0" xfId="4495" applyNumberFormat="1" applyFont="1" applyFill="1" applyBorder="1" applyAlignment="1" applyProtection="1">
      <alignment vertical="top"/>
    </xf>
    <xf numFmtId="0" fontId="22" fillId="0" borderId="27" xfId="4495" applyFont="1" applyFill="1" applyBorder="1" applyProtection="1"/>
    <xf numFmtId="0" fontId="22" fillId="0" borderId="27" xfId="4495" applyFont="1" applyBorder="1" applyProtection="1"/>
    <xf numFmtId="0" fontId="21" fillId="0" borderId="0" xfId="4495" applyFont="1" applyFill="1" applyBorder="1" applyAlignment="1" applyProtection="1">
      <alignment vertical="top"/>
    </xf>
    <xf numFmtId="0" fontId="32" fillId="0" borderId="0" xfId="4495" applyFont="1" applyFill="1" applyBorder="1" applyAlignment="1" applyProtection="1">
      <alignment vertical="top" wrapText="1"/>
    </xf>
    <xf numFmtId="0" fontId="21" fillId="0" borderId="0" xfId="4495"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4" fillId="0" borderId="0" xfId="4495" applyFont="1" applyFill="1" applyBorder="1" applyAlignment="1" applyProtection="1">
      <alignment horizontal="left" vertical="top"/>
    </xf>
    <xf numFmtId="0" fontId="32"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14" fillId="0" borderId="10" xfId="4495" applyFont="1" applyFill="1" applyBorder="1" applyAlignment="1" applyProtection="1">
      <alignment horizontal="center"/>
    </xf>
    <xf numFmtId="0" fontId="14" fillId="0" borderId="8" xfId="4495" applyFont="1" applyFill="1" applyBorder="1" applyAlignment="1" applyProtection="1"/>
    <xf numFmtId="0" fontId="14" fillId="0" borderId="16" xfId="4495" applyFont="1" applyFill="1" applyBorder="1" applyAlignment="1" applyProtection="1">
      <alignment horizontal="center"/>
    </xf>
    <xf numFmtId="0" fontId="30" fillId="0" borderId="16" xfId="4495" applyFont="1" applyFill="1" applyBorder="1" applyAlignment="1" applyProtection="1"/>
    <xf numFmtId="0" fontId="22" fillId="0" borderId="16" xfId="4495" applyFont="1" applyFill="1" applyBorder="1" applyAlignment="1" applyProtection="1"/>
    <xf numFmtId="0" fontId="22" fillId="0" borderId="16" xfId="4495" applyFont="1" applyFill="1" applyBorder="1" applyProtection="1"/>
    <xf numFmtId="0" fontId="22" fillId="0" borderId="16" xfId="4495" applyFont="1" applyBorder="1" applyProtection="1"/>
    <xf numFmtId="0" fontId="14" fillId="0" borderId="0" xfId="4496" applyFont="1" applyAlignment="1" applyProtection="1">
      <alignment vertical="top" wrapText="1"/>
    </xf>
    <xf numFmtId="0" fontId="21" fillId="0" borderId="0" xfId="1192" applyFont="1" applyAlignment="1" applyProtection="1">
      <alignment horizontal="right"/>
    </xf>
    <xf numFmtId="0" fontId="21" fillId="0" borderId="0" xfId="1192" applyFont="1" applyFill="1" applyAlignment="1" applyProtection="1">
      <alignment horizontal="right"/>
    </xf>
    <xf numFmtId="0" fontId="14" fillId="0" borderId="0" xfId="4496" applyFont="1" applyProtection="1"/>
    <xf numFmtId="0" fontId="14" fillId="0" borderId="0" xfId="4496" applyFont="1" applyAlignment="1" applyProtection="1">
      <alignment horizontal="left"/>
    </xf>
    <xf numFmtId="0" fontId="14" fillId="0" borderId="0" xfId="4496" applyFont="1" applyAlignment="1" applyProtection="1">
      <alignment horizontal="right"/>
    </xf>
    <xf numFmtId="0" fontId="22" fillId="0" borderId="0" xfId="4496" applyFont="1" applyAlignment="1" applyProtection="1">
      <alignment vertical="top" wrapText="1"/>
    </xf>
    <xf numFmtId="0" fontId="14" fillId="0" borderId="4" xfId="4496" applyFont="1" applyFill="1" applyBorder="1" applyProtection="1"/>
    <xf numFmtId="0" fontId="21" fillId="0" borderId="4" xfId="4496" applyFont="1" applyFill="1" applyBorder="1" applyAlignment="1" applyProtection="1">
      <alignment horizontal="right"/>
    </xf>
    <xf numFmtId="0" fontId="22" fillId="0" borderId="27" xfId="4495" applyFont="1" applyFill="1" applyBorder="1" applyAlignment="1" applyProtection="1"/>
    <xf numFmtId="0" fontId="22" fillId="0" borderId="27" xfId="4495" applyFont="1" applyFill="1" applyBorder="1" applyAlignment="1" applyProtection="1">
      <alignment horizontal="left" vertical="top"/>
    </xf>
    <xf numFmtId="0" fontId="14" fillId="0" borderId="27" xfId="4495" applyFont="1" applyFill="1" applyBorder="1" applyAlignment="1" applyProtection="1">
      <alignment horizontal="left" vertical="top"/>
    </xf>
    <xf numFmtId="0" fontId="21" fillId="0" borderId="27" xfId="4495" applyFont="1" applyFill="1" applyBorder="1" applyAlignment="1" applyProtection="1">
      <alignment horizontal="right"/>
    </xf>
    <xf numFmtId="0" fontId="14" fillId="0" borderId="27" xfId="4495" applyFont="1" applyFill="1" applyBorder="1" applyAlignment="1" applyProtection="1">
      <alignment horizontal="center"/>
    </xf>
    <xf numFmtId="0" fontId="14" fillId="0" borderId="46" xfId="4495" applyFont="1" applyFill="1" applyBorder="1" applyAlignment="1" applyProtection="1">
      <alignment horizontal="center"/>
    </xf>
    <xf numFmtId="0" fontId="22" fillId="0" borderId="0" xfId="4495"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5" applyFont="1" applyFill="1" applyBorder="1" applyProtection="1"/>
    <xf numFmtId="164" fontId="22" fillId="0" borderId="0" xfId="4495" applyNumberFormat="1" applyFont="1" applyFill="1" applyBorder="1" applyAlignment="1" applyProtection="1">
      <alignment horizontal="left" vertical="top" wrapText="1"/>
    </xf>
    <xf numFmtId="0" fontId="25" fillId="0" borderId="0" xfId="4495" applyFont="1" applyFill="1" applyBorder="1" applyProtection="1"/>
    <xf numFmtId="0" fontId="22" fillId="0" borderId="0" xfId="4495" applyFont="1" applyAlignment="1" applyProtection="1">
      <alignment horizontal="right"/>
    </xf>
    <xf numFmtId="0" fontId="22" fillId="0" borderId="0" xfId="4495" applyNumberFormat="1" applyFont="1" applyFill="1" applyBorder="1" applyAlignment="1" applyProtection="1">
      <alignment vertical="top" wrapText="1"/>
    </xf>
    <xf numFmtId="0" fontId="22" fillId="0" borderId="0" xfId="4495" applyNumberFormat="1" applyFont="1" applyFill="1" applyBorder="1" applyAlignment="1" applyProtection="1"/>
    <xf numFmtId="0" fontId="22" fillId="0" borderId="3" xfId="4495"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5" applyFont="1" applyFill="1" applyBorder="1" applyAlignment="1" applyProtection="1">
      <alignment horizontal="left" vertical="top"/>
    </xf>
    <xf numFmtId="0" fontId="118" fillId="0" borderId="0" xfId="4495" applyBorder="1"/>
    <xf numFmtId="1" fontId="118" fillId="0" borderId="0" xfId="4495" applyNumberFormat="1" applyBorder="1"/>
    <xf numFmtId="168" fontId="14" fillId="0" borderId="0" xfId="543" applyNumberFormat="1" applyFont="1" applyBorder="1" applyProtection="1"/>
    <xf numFmtId="0" fontId="14" fillId="0" borderId="0" xfId="4495" applyFont="1" applyFill="1" applyBorder="1" applyAlignment="1" applyProtection="1">
      <alignment vertical="top" wrapText="1"/>
    </xf>
    <xf numFmtId="0" fontId="22" fillId="0" borderId="0" xfId="4495" applyFont="1" applyAlignment="1" applyProtection="1">
      <alignment vertical="top"/>
    </xf>
    <xf numFmtId="0" fontId="14" fillId="0" borderId="0" xfId="4495" applyFont="1" applyFill="1" applyBorder="1" applyAlignment="1" applyProtection="1">
      <alignment horizontal="left" vertical="top" wrapText="1"/>
    </xf>
    <xf numFmtId="0" fontId="118" fillId="0" borderId="0" xfId="4495"/>
    <xf numFmtId="0" fontId="14" fillId="0" borderId="50" xfId="4495" applyFont="1" applyFill="1" applyBorder="1" applyAlignment="1" applyProtection="1">
      <alignment vertical="top"/>
    </xf>
    <xf numFmtId="0" fontId="14" fillId="0" borderId="51" xfId="4495" applyFont="1" applyFill="1" applyBorder="1" applyAlignment="1" applyProtection="1">
      <alignment vertical="top"/>
    </xf>
    <xf numFmtId="0" fontId="14" fillId="0" borderId="52" xfId="4495" applyFont="1" applyFill="1" applyBorder="1" applyAlignment="1" applyProtection="1">
      <alignment vertical="top"/>
    </xf>
    <xf numFmtId="1" fontId="22" fillId="0" borderId="8" xfId="4495" applyNumberFormat="1" applyFont="1" applyBorder="1" applyProtection="1"/>
    <xf numFmtId="0" fontId="14" fillId="0" borderId="0" xfId="543" applyFont="1" applyAlignment="1" applyProtection="1">
      <alignment vertical="top"/>
    </xf>
    <xf numFmtId="0" fontId="22" fillId="0" borderId="51" xfId="4495" applyFont="1" applyFill="1" applyBorder="1" applyAlignment="1" applyProtection="1">
      <alignment horizontal="left" vertical="top"/>
    </xf>
    <xf numFmtId="0" fontId="22" fillId="0" borderId="52" xfId="4495" applyFont="1" applyFill="1" applyBorder="1" applyAlignment="1" applyProtection="1">
      <alignment horizontal="left" vertical="top"/>
    </xf>
    <xf numFmtId="0" fontId="22" fillId="0" borderId="0" xfId="4495" applyFont="1" applyAlignment="1" applyProtection="1"/>
    <xf numFmtId="0" fontId="14" fillId="0" borderId="8" xfId="543" applyFont="1" applyBorder="1" applyAlignment="1" applyProtection="1"/>
    <xf numFmtId="0" fontId="120" fillId="0" borderId="0" xfId="4496" applyFont="1" applyAlignment="1"/>
    <xf numFmtId="168" fontId="14" fillId="0" borderId="0" xfId="543" applyNumberFormat="1" applyFont="1" applyAlignment="1" applyProtection="1"/>
    <xf numFmtId="0" fontId="118" fillId="0" borderId="0" xfId="4495" applyFill="1" applyBorder="1" applyAlignment="1" applyProtection="1">
      <alignment horizontal="center"/>
      <protection locked="0"/>
    </xf>
    <xf numFmtId="0" fontId="14" fillId="0" borderId="53" xfId="4495" applyFont="1" applyFill="1" applyBorder="1" applyAlignment="1" applyProtection="1">
      <alignment vertical="top"/>
    </xf>
    <xf numFmtId="0" fontId="14" fillId="0" borderId="54" xfId="4495" applyFont="1" applyFill="1" applyBorder="1" applyAlignment="1" applyProtection="1">
      <alignment vertical="top" wrapText="1"/>
    </xf>
    <xf numFmtId="0" fontId="59" fillId="0" borderId="53" xfId="4495" applyFont="1" applyFill="1" applyBorder="1"/>
    <xf numFmtId="0" fontId="22" fillId="0" borderId="54" xfId="4495" applyFont="1" applyFill="1" applyBorder="1" applyAlignment="1" applyProtection="1">
      <alignment horizontal="left" vertical="top"/>
    </xf>
    <xf numFmtId="0" fontId="14" fillId="0" borderId="53" xfId="4495" applyFont="1" applyFill="1" applyBorder="1" applyAlignment="1" applyProtection="1">
      <alignment vertical="center" wrapText="1"/>
    </xf>
    <xf numFmtId="0" fontId="59" fillId="0" borderId="57" xfId="4495" applyFont="1" applyFill="1" applyBorder="1"/>
    <xf numFmtId="0" fontId="22" fillId="0" borderId="58" xfId="4495" applyFont="1" applyFill="1" applyBorder="1" applyAlignment="1" applyProtection="1">
      <alignment horizontal="left" vertical="top"/>
    </xf>
    <xf numFmtId="0" fontId="22" fillId="0" borderId="12" xfId="4495" applyFont="1" applyFill="1" applyBorder="1" applyProtection="1"/>
    <xf numFmtId="0" fontId="14" fillId="0" borderId="57" xfId="4495" applyFont="1" applyFill="1" applyBorder="1" applyAlignment="1" applyProtection="1">
      <alignment vertical="center"/>
    </xf>
    <xf numFmtId="0" fontId="14" fillId="0" borderId="58" xfId="4495" applyFont="1" applyFill="1" applyBorder="1" applyAlignment="1" applyProtection="1">
      <alignment vertical="top"/>
    </xf>
    <xf numFmtId="0" fontId="14" fillId="0" borderId="59" xfId="4495" applyFont="1" applyFill="1" applyBorder="1" applyAlignment="1" applyProtection="1">
      <alignment vertical="top"/>
    </xf>
    <xf numFmtId="172" fontId="14" fillId="0" borderId="0" xfId="543" applyNumberFormat="1" applyFont="1" applyFill="1" applyBorder="1" applyProtection="1"/>
    <xf numFmtId="0" fontId="14" fillId="0" borderId="0" xfId="4495" applyFont="1" applyFill="1" applyBorder="1" applyAlignment="1" applyProtection="1">
      <alignment vertical="top"/>
    </xf>
    <xf numFmtId="0" fontId="22" fillId="0" borderId="4" xfId="4495" applyFont="1" applyFill="1" applyBorder="1" applyAlignment="1" applyProtection="1">
      <alignment horizontal="left" vertical="top"/>
    </xf>
    <xf numFmtId="0" fontId="14" fillId="0" borderId="4" xfId="4495" applyFont="1" applyFill="1" applyBorder="1" applyAlignment="1" applyProtection="1">
      <alignment horizontal="left" vertical="top"/>
    </xf>
    <xf numFmtId="0" fontId="14" fillId="0" borderId="2" xfId="4495" applyFont="1" applyFill="1" applyBorder="1" applyAlignment="1" applyProtection="1"/>
    <xf numFmtId="0" fontId="22" fillId="0" borderId="2" xfId="4495" applyFont="1" applyBorder="1" applyProtection="1"/>
    <xf numFmtId="0" fontId="22" fillId="0" borderId="2" xfId="4495" applyFont="1" applyFill="1" applyBorder="1" applyAlignment="1" applyProtection="1"/>
    <xf numFmtId="0" fontId="22" fillId="0" borderId="2" xfId="4495" applyFont="1" applyFill="1" applyBorder="1" applyProtection="1"/>
    <xf numFmtId="0" fontId="14" fillId="0" borderId="2" xfId="4495" applyFont="1" applyFill="1" applyBorder="1" applyAlignment="1" applyProtection="1">
      <alignment horizontal="center"/>
    </xf>
    <xf numFmtId="0" fontId="22" fillId="0" borderId="7" xfId="4495" applyFont="1" applyBorder="1" applyProtection="1"/>
    <xf numFmtId="0" fontId="30" fillId="0" borderId="0" xfId="4495" applyFont="1" applyFill="1" applyBorder="1" applyAlignment="1" applyProtection="1">
      <alignment horizontal="right"/>
    </xf>
    <xf numFmtId="0" fontId="124" fillId="0" borderId="0" xfId="4495" applyFont="1" applyFill="1" applyBorder="1" applyAlignment="1" applyProtection="1">
      <alignment horizontal="left" vertical="top" wrapText="1"/>
    </xf>
    <xf numFmtId="0" fontId="30" fillId="0" borderId="0" xfId="4495" applyFont="1" applyFill="1" applyBorder="1" applyAlignment="1" applyProtection="1">
      <alignment horizontal="left" vertical="top"/>
    </xf>
    <xf numFmtId="0" fontId="22" fillId="0" borderId="0" xfId="4495" applyFont="1" applyFill="1" applyBorder="1" applyAlignment="1" applyProtection="1">
      <alignment vertical="top"/>
    </xf>
    <xf numFmtId="0" fontId="22" fillId="0" borderId="0" xfId="4495" applyFont="1" applyFill="1" applyBorder="1" applyAlignment="1" applyProtection="1">
      <alignment horizontal="right"/>
    </xf>
    <xf numFmtId="0" fontId="22" fillId="0" borderId="0" xfId="4495" quotePrefix="1" applyNumberFormat="1" applyFont="1" applyAlignment="1" applyProtection="1">
      <alignment horizontal="right"/>
    </xf>
    <xf numFmtId="0" fontId="14" fillId="0" borderId="0" xfId="4497" applyFont="1" applyAlignment="1" applyProtection="1"/>
    <xf numFmtId="0" fontId="22" fillId="0" borderId="0" xfId="4495" applyFont="1" applyFill="1" applyBorder="1" applyAlignment="1" applyProtection="1">
      <alignment horizontal="left" vertical="top" wrapText="1" shrinkToFit="1"/>
    </xf>
    <xf numFmtId="0" fontId="118" fillId="0" borderId="0" xfId="4495" applyAlignment="1">
      <alignment vertical="top" wrapText="1"/>
    </xf>
    <xf numFmtId="0" fontId="22" fillId="0" borderId="4" xfId="4495" applyFont="1" applyFill="1" applyBorder="1" applyAlignment="1" applyProtection="1">
      <alignment horizontal="left" vertical="top" wrapText="1" shrinkToFit="1"/>
    </xf>
    <xf numFmtId="0" fontId="30" fillId="0" borderId="8" xfId="4495" applyFont="1" applyBorder="1" applyProtection="1"/>
    <xf numFmtId="0" fontId="22" fillId="0" borderId="0" xfId="4495" applyFont="1" applyFill="1" applyBorder="1" applyAlignment="1" applyProtection="1">
      <alignment horizontal="center"/>
    </xf>
    <xf numFmtId="0" fontId="22" fillId="0" borderId="0" xfId="4495" quotePrefix="1" applyNumberFormat="1" applyFont="1" applyFill="1" applyAlignment="1" applyProtection="1">
      <alignment horizontal="right"/>
    </xf>
    <xf numFmtId="0" fontId="22" fillId="0" borderId="0" xfId="4495" quotePrefix="1" applyFont="1" applyFill="1" applyProtection="1"/>
    <xf numFmtId="0" fontId="22" fillId="0" borderId="0" xfId="4495" applyFont="1" applyFill="1" applyBorder="1" applyAlignment="1" applyProtection="1">
      <alignment horizontal="left" vertical="top" shrinkToFit="1"/>
    </xf>
    <xf numFmtId="0" fontId="44" fillId="0" borderId="0" xfId="4495" applyFont="1" applyProtection="1"/>
    <xf numFmtId="0" fontId="22" fillId="0" borderId="0" xfId="4495" applyNumberFormat="1" applyFont="1" applyAlignment="1" applyProtection="1">
      <alignment horizontal="right"/>
    </xf>
    <xf numFmtId="0" fontId="22" fillId="0" borderId="3" xfId="4495" applyFont="1" applyFill="1" applyBorder="1" applyAlignment="1" applyProtection="1">
      <alignment horizontal="center"/>
    </xf>
    <xf numFmtId="0" fontId="118" fillId="0" borderId="8" xfId="4495" applyBorder="1" applyProtection="1"/>
    <xf numFmtId="0" fontId="118" fillId="0" borderId="0" xfId="4495" applyProtection="1"/>
    <xf numFmtId="0" fontId="118" fillId="0" borderId="0" xfId="4495" applyFill="1" applyProtection="1"/>
    <xf numFmtId="0" fontId="21" fillId="0" borderId="8" xfId="4495" applyFont="1" applyFill="1" applyBorder="1" applyAlignment="1" applyProtection="1">
      <alignment vertical="top"/>
    </xf>
    <xf numFmtId="0" fontId="118" fillId="0" borderId="0" xfId="4495" applyFill="1" applyAlignment="1" applyProtection="1">
      <alignment vertical="top"/>
    </xf>
    <xf numFmtId="0" fontId="118" fillId="0" borderId="8" xfId="4495" applyFill="1" applyBorder="1" applyProtection="1"/>
    <xf numFmtId="172" fontId="14" fillId="0" borderId="8" xfId="543" applyNumberFormat="1" applyFont="1" applyFill="1" applyBorder="1" applyProtection="1"/>
    <xf numFmtId="0" fontId="21" fillId="0" borderId="4" xfId="4495" applyFont="1" applyFill="1" applyBorder="1" applyAlignment="1" applyProtection="1">
      <alignment horizontal="center" vertical="top"/>
    </xf>
    <xf numFmtId="0" fontId="124" fillId="0" borderId="0" xfId="4495" applyFont="1" applyFill="1" applyBorder="1" applyAlignment="1" applyProtection="1">
      <alignment horizontal="left" vertical="top"/>
    </xf>
    <xf numFmtId="0" fontId="124" fillId="0" borderId="4" xfId="4495" applyFont="1" applyFill="1" applyBorder="1" applyAlignment="1" applyProtection="1">
      <alignment horizontal="left" vertical="top"/>
    </xf>
    <xf numFmtId="0" fontId="14" fillId="0" borderId="0" xfId="4497" applyFont="1" applyProtection="1"/>
    <xf numFmtId="168" fontId="14" fillId="0" borderId="0" xfId="4497" applyNumberFormat="1" applyFont="1" applyProtection="1"/>
    <xf numFmtId="0" fontId="22" fillId="0" borderId="0" xfId="4495" quotePrefix="1" applyNumberFormat="1" applyFont="1" applyProtection="1"/>
    <xf numFmtId="1" fontId="22" fillId="0" borderId="0" xfId="4495" applyNumberFormat="1" applyFont="1" applyFill="1" applyBorder="1" applyAlignment="1" applyProtection="1">
      <alignment horizontal="center" vertical="top"/>
    </xf>
    <xf numFmtId="0" fontId="21" fillId="0" borderId="8" xfId="4495" applyFont="1" applyFill="1" applyBorder="1" applyAlignment="1" applyProtection="1"/>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applyProtection="1"/>
    <xf numFmtId="1" fontId="22" fillId="0" borderId="8" xfId="4495" applyNumberFormat="1" applyFont="1" applyFill="1" applyBorder="1" applyAlignment="1" applyProtection="1">
      <alignment horizontal="center" vertical="top"/>
    </xf>
    <xf numFmtId="0" fontId="118" fillId="0" borderId="12" xfId="4495" applyFill="1" applyBorder="1" applyProtection="1"/>
    <xf numFmtId="0" fontId="22" fillId="0" borderId="9" xfId="4495" applyFont="1" applyBorder="1" applyProtection="1"/>
    <xf numFmtId="0" fontId="118" fillId="0" borderId="10" xfId="4495" applyFill="1" applyBorder="1" applyProtection="1"/>
    <xf numFmtId="0" fontId="30" fillId="0" borderId="3" xfId="4495" applyFont="1" applyBorder="1" applyProtection="1"/>
    <xf numFmtId="0" fontId="21" fillId="0" borderId="4" xfId="4495" applyFont="1" applyBorder="1" applyProtection="1"/>
    <xf numFmtId="0" fontId="118" fillId="0" borderId="0" xfId="4495" applyFill="1" applyBorder="1" applyProtection="1"/>
    <xf numFmtId="0" fontId="118" fillId="0" borderId="12" xfId="4495" applyFill="1" applyBorder="1" applyAlignment="1" applyProtection="1">
      <alignment vertical="top"/>
    </xf>
    <xf numFmtId="0" fontId="22" fillId="0" borderId="0" xfId="4495" applyFont="1" applyAlignment="1"/>
    <xf numFmtId="0" fontId="30" fillId="0" borderId="1" xfId="4495" applyFont="1" applyBorder="1" applyAlignment="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applyProtection="1"/>
    <xf numFmtId="0" fontId="22" fillId="0" borderId="6" xfId="4495" applyFont="1" applyBorder="1" applyAlignment="1"/>
    <xf numFmtId="0" fontId="22" fillId="0" borderId="10" xfId="4495" applyFont="1" applyBorder="1" applyAlignment="1"/>
    <xf numFmtId="0" fontId="128" fillId="0" borderId="0" xfId="4495" applyFont="1" applyAlignment="1">
      <alignment wrapText="1"/>
    </xf>
    <xf numFmtId="0" fontId="30" fillId="0" borderId="9" xfId="4495" applyFont="1" applyBorder="1" applyAlignment="1" applyProtection="1">
      <alignment horizontal="center"/>
    </xf>
    <xf numFmtId="0" fontId="21" fillId="0" borderId="10" xfId="4495" applyFont="1" applyFill="1" applyBorder="1" applyProtection="1"/>
    <xf numFmtId="0" fontId="32" fillId="0" borderId="0" xfId="4495" applyFont="1" applyProtection="1"/>
    <xf numFmtId="0" fontId="22" fillId="0" borderId="50" xfId="4495" applyFont="1" applyBorder="1" applyProtection="1"/>
    <xf numFmtId="0" fontId="22" fillId="0" borderId="51" xfId="4495" applyFont="1" applyBorder="1" applyProtection="1"/>
    <xf numFmtId="1" fontId="22" fillId="0" borderId="51" xfId="4495" quotePrefix="1" applyNumberFormat="1" applyFont="1" applyFill="1" applyBorder="1" applyAlignment="1" applyProtection="1">
      <alignment horizontal="center" vertical="top"/>
    </xf>
    <xf numFmtId="0" fontId="21" fillId="0" borderId="51" xfId="4495" applyFont="1" applyBorder="1" applyAlignment="1" applyProtection="1"/>
    <xf numFmtId="0" fontId="21" fillId="0" borderId="52" xfId="4495" applyFont="1" applyBorder="1" applyAlignment="1" applyProtection="1">
      <alignment horizontal="center"/>
    </xf>
    <xf numFmtId="0" fontId="14" fillId="0" borderId="53" xfId="4495" applyFont="1" applyBorder="1" applyProtection="1"/>
    <xf numFmtId="1" fontId="22" fillId="0" borderId="0" xfId="4495" quotePrefix="1" applyNumberFormat="1" applyFont="1" applyFill="1" applyBorder="1" applyAlignment="1" applyProtection="1">
      <alignment horizontal="center" vertical="top"/>
    </xf>
    <xf numFmtId="0" fontId="21" fillId="0" borderId="0" xfId="4495" applyFont="1" applyBorder="1" applyAlignment="1" applyProtection="1"/>
    <xf numFmtId="0" fontId="21" fillId="0" borderId="54" xfId="4495" applyFont="1" applyBorder="1" applyAlignment="1" applyProtection="1">
      <alignment horizontal="center"/>
    </xf>
    <xf numFmtId="0" fontId="30" fillId="0" borderId="0" xfId="4495" applyFont="1" applyBorder="1" applyAlignment="1">
      <alignment vertical="top"/>
    </xf>
    <xf numFmtId="0" fontId="22" fillId="0" borderId="0" xfId="4495" applyFont="1" applyBorder="1" applyAlignment="1">
      <alignment vertical="top" wrapText="1"/>
    </xf>
    <xf numFmtId="0" fontId="22" fillId="0" borderId="61" xfId="4495" applyFont="1" applyBorder="1" applyProtection="1"/>
    <xf numFmtId="0" fontId="118" fillId="0" borderId="58" xfId="4495" applyFill="1" applyBorder="1" applyAlignment="1" applyProtection="1">
      <alignment horizontal="center"/>
    </xf>
    <xf numFmtId="1" fontId="22" fillId="0" borderId="58" xfId="4495" quotePrefix="1" applyNumberFormat="1" applyFont="1" applyFill="1" applyBorder="1" applyAlignment="1" applyProtection="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applyProtection="1"/>
    <xf numFmtId="0" fontId="21" fillId="0" borderId="58" xfId="4495" applyFont="1" applyBorder="1" applyAlignment="1" applyProtection="1">
      <alignment horizontal="center"/>
    </xf>
    <xf numFmtId="0" fontId="118" fillId="0" borderId="61" xfId="4495" applyBorder="1" applyProtection="1"/>
    <xf numFmtId="0" fontId="118" fillId="0" borderId="0" xfId="4495" applyFill="1" applyBorder="1" applyAlignment="1" applyProtection="1">
      <alignment horizontal="center"/>
    </xf>
    <xf numFmtId="0" fontId="14" fillId="0" borderId="53" xfId="543" applyFont="1" applyBorder="1" applyProtection="1"/>
    <xf numFmtId="0" fontId="22" fillId="0" borderId="54" xfId="4495" applyFont="1" applyBorder="1" applyProtection="1"/>
    <xf numFmtId="0" fontId="14" fillId="0" borderId="58" xfId="543" applyFont="1" applyBorder="1" applyProtection="1"/>
    <xf numFmtId="1" fontId="22" fillId="0" borderId="58" xfId="4495" applyNumberFormat="1" applyFont="1" applyFill="1" applyBorder="1" applyAlignment="1" applyProtection="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applyProtection="1"/>
    <xf numFmtId="0" fontId="22" fillId="0" borderId="0" xfId="4495" applyFont="1" applyBorder="1" applyAlignment="1">
      <alignment horizontal="left" vertical="top" wrapText="1"/>
    </xf>
    <xf numFmtId="0" fontId="30" fillId="0" borderId="0" xfId="4495" applyFont="1" applyBorder="1" applyAlignment="1">
      <alignment vertical="center"/>
    </xf>
    <xf numFmtId="0" fontId="22" fillId="0" borderId="53" xfId="4495" applyFont="1" applyBorder="1" applyProtection="1"/>
    <xf numFmtId="0" fontId="14" fillId="0" borderId="57" xfId="543" applyFont="1" applyBorder="1" applyProtection="1"/>
    <xf numFmtId="0" fontId="22" fillId="0" borderId="58" xfId="4495" applyFont="1" applyBorder="1" applyAlignment="1">
      <alignment vertical="top"/>
    </xf>
    <xf numFmtId="0" fontId="22" fillId="0" borderId="59" xfId="4495" applyFont="1" applyBorder="1" applyProtection="1"/>
    <xf numFmtId="0" fontId="22" fillId="0" borderId="57" xfId="4495" applyFont="1" applyBorder="1" applyProtection="1"/>
    <xf numFmtId="0" fontId="22" fillId="0" borderId="0" xfId="4495" applyFont="1" applyAlignment="1">
      <alignment vertical="top" wrapText="1"/>
    </xf>
    <xf numFmtId="0" fontId="21" fillId="0" borderId="51" xfId="4495" applyFont="1" applyBorder="1" applyProtection="1"/>
    <xf numFmtId="0" fontId="14" fillId="0" borderId="51" xfId="4495" applyFont="1" applyBorder="1" applyProtection="1"/>
    <xf numFmtId="0" fontId="22" fillId="0" borderId="52" xfId="4495"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5" applyFont="1" applyBorder="1" applyProtection="1"/>
    <xf numFmtId="0" fontId="30" fillId="0" borderId="0" xfId="4495" applyNumberFormat="1" applyFont="1" applyBorder="1" applyAlignment="1">
      <alignment vertical="top"/>
    </xf>
    <xf numFmtId="0" fontId="22" fillId="0" borderId="0" xfId="4495" applyNumberFormat="1" applyFont="1" applyBorder="1" applyAlignment="1">
      <alignment vertical="top" wrapText="1"/>
    </xf>
    <xf numFmtId="0" fontId="30" fillId="0" borderId="0" xfId="4495" applyFont="1" applyBorder="1" applyProtection="1"/>
    <xf numFmtId="0" fontId="30" fillId="0" borderId="58" xfId="4495" applyNumberFormat="1" applyFont="1" applyBorder="1" applyAlignment="1">
      <alignment vertical="top"/>
    </xf>
    <xf numFmtId="0" fontId="22" fillId="0" borderId="58" xfId="4495" applyNumberFormat="1" applyFont="1" applyBorder="1" applyAlignment="1">
      <alignment vertical="top" wrapText="1"/>
    </xf>
    <xf numFmtId="0" fontId="22" fillId="0" borderId="62" xfId="4495" applyFont="1" applyBorder="1" applyProtection="1"/>
    <xf numFmtId="0" fontId="30" fillId="0" borderId="0" xfId="4495" applyNumberFormat="1" applyFont="1" applyAlignment="1">
      <alignment vertical="top"/>
    </xf>
    <xf numFmtId="0" fontId="22" fillId="0" borderId="0" xfId="4495" applyNumberFormat="1" applyFont="1" applyAlignment="1">
      <alignment vertical="top" wrapText="1"/>
    </xf>
    <xf numFmtId="0" fontId="22" fillId="0" borderId="0" xfId="4495" applyFont="1" applyBorder="1" applyAlignment="1">
      <alignment wrapText="1"/>
    </xf>
    <xf numFmtId="0" fontId="30" fillId="0" borderId="0" xfId="4495" applyFont="1" applyAlignment="1">
      <alignment vertical="top"/>
    </xf>
    <xf numFmtId="0" fontId="21" fillId="0" borderId="0" xfId="4495" applyFont="1" applyBorder="1" applyAlignment="1" applyProtection="1">
      <alignment horizontal="center" vertical="top"/>
    </xf>
    <xf numFmtId="0" fontId="21" fillId="0" borderId="54" xfId="4495" applyFont="1" applyBorder="1" applyAlignment="1" applyProtection="1">
      <alignment horizontal="center" vertical="top"/>
    </xf>
    <xf numFmtId="0" fontId="118" fillId="0" borderId="53" xfId="4495" applyFill="1" applyBorder="1" applyAlignment="1" applyProtection="1">
      <alignment horizontal="center"/>
    </xf>
    <xf numFmtId="172" fontId="14" fillId="0" borderId="0" xfId="543" applyNumberFormat="1" applyFont="1" applyBorder="1" applyProtection="1"/>
    <xf numFmtId="0" fontId="118" fillId="0" borderId="0" xfId="4495" applyBorder="1" applyAlignment="1" applyProtection="1">
      <alignment vertical="top" wrapText="1"/>
    </xf>
    <xf numFmtId="2" fontId="22" fillId="0" borderId="0" xfId="4495" applyNumberFormat="1" applyFont="1" applyFill="1" applyBorder="1" applyAlignment="1" applyProtection="1">
      <alignment horizontal="right"/>
    </xf>
    <xf numFmtId="0" fontId="21" fillId="0" borderId="0" xfId="4495" applyFont="1" applyBorder="1" applyAlignment="1" applyProtection="1">
      <alignment horizontal="center"/>
    </xf>
    <xf numFmtId="2" fontId="22" fillId="0" borderId="0" xfId="4495" applyNumberFormat="1" applyFont="1" applyBorder="1" applyAlignment="1" applyProtection="1">
      <alignment horizontal="right"/>
    </xf>
    <xf numFmtId="0" fontId="14" fillId="0" borderId="0" xfId="4495" applyFont="1" applyBorder="1" applyAlignment="1" applyProtection="1"/>
    <xf numFmtId="2" fontId="22" fillId="0" borderId="8" xfId="4495" applyNumberFormat="1" applyFont="1" applyFill="1" applyBorder="1" applyAlignment="1" applyProtection="1">
      <alignment horizontal="left"/>
    </xf>
    <xf numFmtId="0" fontId="22" fillId="0" borderId="8" xfId="4495" applyNumberFormat="1" applyFont="1" applyFill="1" applyBorder="1" applyAlignment="1" applyProtection="1">
      <alignment horizontal="right"/>
    </xf>
    <xf numFmtId="0" fontId="127" fillId="0" borderId="0" xfId="4495" applyFont="1" applyProtection="1"/>
    <xf numFmtId="0" fontId="118" fillId="0" borderId="57" xfId="4495" applyFill="1" applyBorder="1" applyAlignment="1" applyProtection="1">
      <alignment horizontal="center"/>
    </xf>
    <xf numFmtId="0" fontId="21" fillId="0" borderId="59" xfId="4495" applyFont="1" applyBorder="1" applyAlignment="1" applyProtection="1">
      <alignment horizontal="center"/>
    </xf>
    <xf numFmtId="0" fontId="14" fillId="0" borderId="8" xfId="4495" applyNumberFormat="1" applyFont="1" applyFill="1" applyBorder="1" applyAlignment="1" applyProtection="1"/>
    <xf numFmtId="0" fontId="22" fillId="0" borderId="0" xfId="4495" applyFont="1" applyAlignment="1" applyProtection="1">
      <alignment horizontal="left"/>
    </xf>
    <xf numFmtId="0" fontId="14" fillId="0" borderId="8" xfId="4495" applyNumberFormat="1" applyFont="1" applyBorder="1" applyAlignment="1" applyProtection="1"/>
    <xf numFmtId="9" fontId="22" fillId="0" borderId="0" xfId="4495" applyNumberFormat="1" applyFont="1" applyAlignment="1" applyProtection="1">
      <alignment horizontal="left"/>
    </xf>
    <xf numFmtId="0" fontId="22" fillId="0" borderId="50" xfId="4495" applyFont="1" applyFill="1" applyBorder="1" applyProtection="1"/>
    <xf numFmtId="0" fontId="22" fillId="0" borderId="51" xfId="4495"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5" applyFont="1" applyAlignment="1" applyProtection="1">
      <alignment horizontal="center"/>
    </xf>
    <xf numFmtId="0" fontId="32" fillId="0" borderId="0" xfId="4495" applyFont="1" applyBorder="1" applyProtection="1"/>
    <xf numFmtId="0" fontId="14" fillId="0" borderId="51" xfId="4495" quotePrefix="1" applyFont="1" applyFill="1" applyBorder="1" applyAlignment="1" applyProtection="1">
      <alignment horizontal="center" vertical="top"/>
    </xf>
    <xf numFmtId="0" fontId="22" fillId="0" borderId="53" xfId="4495" applyFont="1" applyFill="1" applyBorder="1" applyAlignment="1" applyProtection="1">
      <alignment horizontal="left" vertical="top"/>
    </xf>
    <xf numFmtId="0" fontId="22" fillId="0" borderId="0" xfId="4495" applyFont="1" applyFill="1" applyBorder="1" applyAlignment="1" applyProtection="1">
      <alignment horizontal="center" vertical="top"/>
    </xf>
    <xf numFmtId="0" fontId="22" fillId="0" borderId="57" xfId="4495" applyFont="1" applyFill="1" applyBorder="1" applyAlignment="1" applyProtection="1">
      <alignment horizontal="left" vertical="top"/>
    </xf>
    <xf numFmtId="0" fontId="22" fillId="0" borderId="58" xfId="4495" applyFont="1" applyFill="1" applyBorder="1" applyAlignment="1" applyProtection="1">
      <alignment horizontal="center" vertical="top"/>
    </xf>
    <xf numFmtId="0" fontId="118" fillId="0" borderId="58" xfId="4495" applyFill="1" applyBorder="1" applyAlignment="1" applyProtection="1"/>
    <xf numFmtId="0" fontId="21" fillId="0" borderId="58" xfId="4495" applyFont="1" applyFill="1" applyBorder="1" applyAlignment="1" applyProtection="1">
      <alignment vertical="top"/>
    </xf>
    <xf numFmtId="0" fontId="21" fillId="0" borderId="58" xfId="4495" applyFont="1" applyFill="1" applyBorder="1" applyAlignment="1" applyProtection="1">
      <alignment horizontal="left" vertical="top"/>
    </xf>
    <xf numFmtId="0" fontId="118" fillId="0" borderId="0" xfId="4495" applyFill="1" applyBorder="1" applyAlignment="1" applyProtection="1"/>
    <xf numFmtId="0" fontId="21" fillId="0" borderId="51" xfId="4495" applyFont="1" applyFill="1" applyBorder="1" applyAlignment="1" applyProtection="1">
      <alignment horizontal="left" vertical="top"/>
    </xf>
    <xf numFmtId="0" fontId="21" fillId="0" borderId="53" xfId="4495" applyFont="1" applyBorder="1" applyAlignment="1" applyProtection="1">
      <alignment horizontal="left" vertical="top"/>
    </xf>
    <xf numFmtId="0" fontId="51" fillId="0" borderId="0" xfId="4495" applyFont="1" applyFill="1" applyBorder="1" applyAlignment="1" applyProtection="1">
      <alignment horizontal="left" vertical="top"/>
    </xf>
    <xf numFmtId="0" fontId="22" fillId="0" borderId="0" xfId="4495" quotePrefix="1" applyFont="1" applyFill="1" applyBorder="1" applyAlignment="1" applyProtection="1">
      <alignment horizontal="center" vertical="top"/>
    </xf>
    <xf numFmtId="0" fontId="52" fillId="0" borderId="0" xfId="4495" applyFont="1" applyFill="1" applyBorder="1" applyAlignment="1" applyProtection="1">
      <alignment horizontal="center"/>
    </xf>
    <xf numFmtId="0" fontId="51" fillId="0" borderId="0" xfId="4495" applyFont="1" applyBorder="1" applyProtection="1"/>
    <xf numFmtId="0" fontId="52" fillId="0" borderId="0" xfId="4495" applyFont="1" applyFill="1" applyBorder="1" applyAlignment="1" applyProtection="1">
      <alignment vertical="top"/>
    </xf>
    <xf numFmtId="0" fontId="105" fillId="0" borderId="0" xfId="4495" applyFont="1" applyBorder="1" applyProtection="1"/>
    <xf numFmtId="0" fontId="51" fillId="0" borderId="0" xfId="4495" applyFont="1" applyBorder="1" applyAlignment="1" applyProtection="1">
      <alignment vertical="top"/>
    </xf>
    <xf numFmtId="0" fontId="30" fillId="0" borderId="53" xfId="4495" applyFont="1" applyBorder="1" applyProtection="1"/>
    <xf numFmtId="2" fontId="22" fillId="0" borderId="8" xfId="4495" applyNumberFormat="1" applyFont="1" applyFill="1" applyBorder="1" applyAlignment="1" applyProtection="1">
      <alignment horizontal="right"/>
    </xf>
    <xf numFmtId="0" fontId="21" fillId="0" borderId="50" xfId="4495" applyFont="1" applyFill="1" applyBorder="1" applyAlignment="1" applyProtection="1">
      <alignment horizontal="left" vertical="top"/>
    </xf>
    <xf numFmtId="0" fontId="22" fillId="0" borderId="51" xfId="4495" applyFont="1" applyFill="1" applyBorder="1" applyAlignment="1" applyProtection="1"/>
    <xf numFmtId="0" fontId="51" fillId="0" borderId="51" xfId="4495" applyFont="1" applyFill="1" applyBorder="1" applyAlignment="1" applyProtection="1">
      <alignment horizontal="left" vertical="top"/>
    </xf>
    <xf numFmtId="0" fontId="118" fillId="0" borderId="53" xfId="4495" applyFill="1" applyBorder="1" applyAlignment="1" applyProtection="1"/>
    <xf numFmtId="0" fontId="105" fillId="0" borderId="0" xfId="4495" applyFont="1" applyFill="1" applyBorder="1" applyAlignment="1" applyProtection="1">
      <alignment horizontal="left" vertical="top"/>
    </xf>
    <xf numFmtId="0" fontId="118" fillId="0" borderId="58" xfId="4495" applyBorder="1" applyProtection="1"/>
    <xf numFmtId="1" fontId="21" fillId="0" borderId="58" xfId="4495"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5" applyFont="1" applyFill="1" applyBorder="1" applyAlignment="1" applyProtection="1">
      <alignment wrapText="1"/>
    </xf>
    <xf numFmtId="0" fontId="30" fillId="0" borderId="0" xfId="4495" applyNumberFormat="1" applyFont="1" applyFill="1" applyBorder="1" applyAlignment="1" applyProtection="1">
      <alignment horizontal="center"/>
    </xf>
    <xf numFmtId="0" fontId="30" fillId="0" borderId="0" xfId="4495" applyFont="1" applyFill="1" applyBorder="1" applyAlignment="1" applyProtection="1">
      <alignment vertical="center" wrapText="1"/>
    </xf>
    <xf numFmtId="0" fontId="22" fillId="0" borderId="0" xfId="4495" applyNumberFormat="1" applyFont="1" applyFill="1" applyBorder="1" applyAlignment="1" applyProtection="1">
      <alignment horizontal="center"/>
    </xf>
    <xf numFmtId="180" fontId="22" fillId="0" borderId="0" xfId="4495" applyNumberFormat="1" applyFont="1" applyFill="1" applyBorder="1" applyAlignment="1" applyProtection="1">
      <alignment horizontal="center"/>
    </xf>
    <xf numFmtId="1" fontId="22" fillId="0" borderId="0" xfId="4495" applyNumberFormat="1" applyFont="1" applyFill="1" applyBorder="1" applyAlignment="1" applyProtection="1">
      <alignment horizontal="center"/>
    </xf>
    <xf numFmtId="0" fontId="21" fillId="0" borderId="51" xfId="4495" applyFont="1" applyFill="1" applyBorder="1" applyAlignment="1" applyProtection="1">
      <alignment horizontal="center"/>
    </xf>
    <xf numFmtId="0" fontId="21" fillId="0" borderId="51" xfId="4495"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5" applyFont="1" applyFill="1" applyBorder="1" applyProtection="1"/>
    <xf numFmtId="0" fontId="21" fillId="0" borderId="53" xfId="4495" applyFont="1" applyFill="1" applyBorder="1" applyProtection="1"/>
    <xf numFmtId="0" fontId="14" fillId="0" borderId="54" xfId="543" applyFont="1" applyBorder="1" applyProtection="1"/>
    <xf numFmtId="49" fontId="22" fillId="0" borderId="0" xfId="4495" applyNumberFormat="1" applyFont="1" applyFill="1" applyBorder="1" applyAlignment="1" applyProtection="1">
      <alignment horizontal="left" vertical="center" wrapText="1"/>
    </xf>
    <xf numFmtId="0" fontId="14" fillId="0" borderId="57" xfId="4495" applyFont="1" applyFill="1" applyBorder="1" applyAlignment="1" applyProtection="1"/>
    <xf numFmtId="0" fontId="22" fillId="0" borderId="58" xfId="4495" applyFont="1" applyFill="1" applyBorder="1" applyProtection="1"/>
    <xf numFmtId="0" fontId="22" fillId="0" borderId="58" xfId="4495" applyFont="1" applyFill="1" applyBorder="1" applyAlignment="1" applyProtection="1">
      <alignment vertical="top" wrapText="1"/>
    </xf>
    <xf numFmtId="1" fontId="14" fillId="0" borderId="0" xfId="4495" applyNumberFormat="1" applyFont="1" applyFill="1" applyBorder="1" applyAlignment="1" applyProtection="1">
      <alignment vertical="center"/>
    </xf>
    <xf numFmtId="0" fontId="32" fillId="0" borderId="50" xfId="4495" applyFont="1" applyBorder="1" applyProtection="1"/>
    <xf numFmtId="0" fontId="22" fillId="0" borderId="51" xfId="4495" applyFont="1" applyFill="1" applyBorder="1" applyAlignment="1" applyProtection="1">
      <alignment horizontal="center" vertical="top"/>
    </xf>
    <xf numFmtId="0" fontId="22" fillId="0" borderId="51" xfId="4495" applyFont="1" applyFill="1" applyBorder="1" applyAlignment="1" applyProtection="1">
      <alignment vertical="top" wrapText="1"/>
    </xf>
    <xf numFmtId="0" fontId="22" fillId="0" borderId="51" xfId="4495" applyFont="1" applyFill="1" applyBorder="1" applyAlignment="1" applyProtection="1">
      <alignment horizontal="left" vertical="top" wrapText="1"/>
    </xf>
    <xf numFmtId="0" fontId="14" fillId="0" borderId="0" xfId="4495" quotePrefix="1" applyFont="1" applyFill="1" applyBorder="1" applyAlignment="1" applyProtection="1">
      <alignment horizontal="center" vertical="top"/>
    </xf>
    <xf numFmtId="0" fontId="14" fillId="0" borderId="53" xfId="4495" applyFont="1" applyFill="1" applyBorder="1" applyAlignment="1" applyProtection="1"/>
    <xf numFmtId="0" fontId="22" fillId="0" borderId="0" xfId="4495" applyNumberFormat="1" applyFont="1" applyProtection="1"/>
    <xf numFmtId="1" fontId="22" fillId="0" borderId="0" xfId="4495" quotePrefix="1" applyNumberFormat="1" applyFont="1" applyFill="1" applyBorder="1" applyAlignment="1" applyProtection="1">
      <alignment wrapText="1"/>
    </xf>
    <xf numFmtId="0" fontId="22" fillId="0" borderId="6" xfId="4495" applyFont="1" applyFill="1" applyBorder="1" applyAlignment="1" applyProtection="1">
      <alignment horizontal="right"/>
    </xf>
    <xf numFmtId="0" fontId="120" fillId="0" borderId="0" xfId="4496" applyFont="1" applyAlignment="1">
      <alignment wrapText="1"/>
    </xf>
    <xf numFmtId="0" fontId="14" fillId="0" borderId="0" xfId="4496" applyFont="1" applyBorder="1" applyAlignment="1" applyProtection="1">
      <alignment wrapText="1"/>
    </xf>
    <xf numFmtId="0" fontId="14" fillId="0" borderId="50" xfId="4495" applyNumberFormat="1" applyFont="1" applyBorder="1" applyAlignment="1">
      <alignment vertical="top"/>
    </xf>
    <xf numFmtId="0" fontId="30" fillId="0" borderId="51" xfId="4495" applyNumberFormat="1" applyFont="1" applyBorder="1" applyAlignment="1">
      <alignment vertical="top"/>
    </xf>
    <xf numFmtId="0" fontId="14" fillId="0" borderId="51" xfId="4496" applyFont="1" applyBorder="1" applyAlignment="1" applyProtection="1">
      <alignment wrapText="1"/>
    </xf>
    <xf numFmtId="0" fontId="21" fillId="0" borderId="51" xfId="4495" applyFont="1" applyFill="1" applyBorder="1" applyAlignment="1" applyProtection="1">
      <alignment horizontal="right"/>
    </xf>
    <xf numFmtId="0" fontId="14" fillId="0" borderId="52" xfId="4495" applyFont="1" applyFill="1" applyBorder="1" applyAlignment="1" applyProtection="1">
      <alignment horizontal="center"/>
    </xf>
    <xf numFmtId="0" fontId="14" fillId="0" borderId="53" xfId="4495" applyNumberFormat="1" applyFont="1" applyBorder="1" applyAlignment="1">
      <alignment horizontal="left" vertical="top"/>
    </xf>
    <xf numFmtId="0" fontId="14" fillId="0" borderId="0" xfId="4495" applyNumberFormat="1" applyFont="1" applyBorder="1" applyAlignment="1">
      <alignment horizontal="left" vertical="top"/>
    </xf>
    <xf numFmtId="0" fontId="14" fillId="0" borderId="54" xfId="4495" applyNumberFormat="1" applyFont="1" applyBorder="1" applyAlignment="1">
      <alignment horizontal="left" vertical="top"/>
    </xf>
    <xf numFmtId="0" fontId="14" fillId="0" borderId="54" xfId="4495" applyFont="1" applyFill="1" applyBorder="1" applyAlignment="1" applyProtection="1">
      <alignment horizontal="center"/>
    </xf>
    <xf numFmtId="0" fontId="14" fillId="0" borderId="59" xfId="4495" applyFont="1" applyFill="1" applyBorder="1" applyAlignment="1" applyProtection="1">
      <alignment horizontal="center"/>
    </xf>
    <xf numFmtId="0" fontId="14" fillId="0" borderId="0" xfId="4495" applyNumberFormat="1" applyFont="1" applyBorder="1" applyAlignment="1">
      <alignment vertical="top" wrapText="1"/>
    </xf>
    <xf numFmtId="0" fontId="21" fillId="0" borderId="0" xfId="1192" applyFont="1" applyAlignment="1" applyProtection="1">
      <alignment horizontal="left"/>
    </xf>
    <xf numFmtId="9" fontId="14" fillId="0" borderId="0" xfId="4496"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5" applyFont="1" applyBorder="1" applyProtection="1"/>
    <xf numFmtId="0" fontId="21" fillId="0" borderId="0" xfId="4495" applyFont="1" applyFill="1" applyBorder="1" applyAlignment="1" applyProtection="1">
      <alignment horizontal="center" wrapText="1"/>
    </xf>
    <xf numFmtId="0" fontId="21" fillId="0" borderId="9" xfId="4495" applyFont="1" applyFill="1" applyBorder="1" applyAlignment="1" applyProtection="1">
      <alignment horizontal="left"/>
    </xf>
    <xf numFmtId="0" fontId="22" fillId="0" borderId="10" xfId="4495" applyFont="1" applyBorder="1" applyProtection="1"/>
    <xf numFmtId="0" fontId="21" fillId="0" borderId="3" xfId="4495" applyFont="1" applyFill="1" applyBorder="1" applyAlignment="1" applyProtection="1">
      <alignment horizontal="left"/>
    </xf>
    <xf numFmtId="0" fontId="14" fillId="0" borderId="3" xfId="4495" applyFont="1" applyBorder="1" applyProtection="1"/>
    <xf numFmtId="0" fontId="21" fillId="0" borderId="0" xfId="4495" applyFont="1" applyBorder="1"/>
    <xf numFmtId="0" fontId="21" fillId="0" borderId="4" xfId="4495" applyFont="1" applyFill="1" applyBorder="1" applyAlignment="1" applyProtection="1">
      <alignment horizontal="left"/>
    </xf>
    <xf numFmtId="0" fontId="14" fillId="0" borderId="2" xfId="4495" applyFont="1" applyFill="1" applyBorder="1" applyAlignment="1" applyProtection="1">
      <alignment horizontal="left"/>
    </xf>
    <xf numFmtId="0" fontId="21" fillId="0" borderId="2" xfId="4495" applyFont="1" applyFill="1" applyBorder="1" applyAlignment="1" applyProtection="1">
      <alignment horizontal="left"/>
    </xf>
    <xf numFmtId="0" fontId="21" fillId="0" borderId="5" xfId="4495" applyFont="1" applyFill="1" applyBorder="1" applyAlignment="1" applyProtection="1">
      <alignment horizontal="left"/>
    </xf>
    <xf numFmtId="180" fontId="62" fillId="0" borderId="0" xfId="4495" applyNumberFormat="1" applyFont="1" applyFill="1" applyBorder="1" applyAlignment="1" applyProtection="1">
      <alignment horizontal="center" vertical="center"/>
    </xf>
    <xf numFmtId="0" fontId="14" fillId="0" borderId="12" xfId="4495" applyFont="1" applyFill="1" applyBorder="1" applyAlignment="1" applyProtection="1">
      <alignment vertical="top"/>
    </xf>
    <xf numFmtId="0" fontId="44" fillId="0" borderId="0" xfId="4495" applyFont="1" applyFill="1" applyBorder="1" applyAlignment="1" applyProtection="1">
      <alignment vertical="top" wrapText="1"/>
    </xf>
    <xf numFmtId="0" fontId="14" fillId="0" borderId="51" xfId="4495" applyFont="1" applyFill="1" applyBorder="1" applyAlignment="1" applyProtection="1">
      <alignment horizontal="left" vertical="top" wrapText="1"/>
    </xf>
    <xf numFmtId="0" fontId="14" fillId="0" borderId="51" xfId="4495" applyFont="1" applyFill="1" applyBorder="1" applyAlignment="1" applyProtection="1">
      <alignment horizontal="right"/>
    </xf>
    <xf numFmtId="0" fontId="14" fillId="0" borderId="52" xfId="4495" applyFont="1" applyFill="1" applyBorder="1" applyAlignment="1" applyProtection="1">
      <alignment horizontal="right"/>
    </xf>
    <xf numFmtId="0" fontId="14" fillId="0" borderId="54" xfId="4495" applyFont="1" applyFill="1" applyBorder="1" applyAlignment="1" applyProtection="1">
      <alignment horizontal="right"/>
    </xf>
    <xf numFmtId="0" fontId="14" fillId="0" borderId="58" xfId="4495" applyFont="1" applyFill="1" applyBorder="1" applyAlignment="1" applyProtection="1">
      <alignment horizontal="left" vertical="top" wrapText="1"/>
    </xf>
    <xf numFmtId="0" fontId="14" fillId="0" borderId="58" xfId="4495" applyFont="1" applyFill="1" applyBorder="1" applyAlignment="1" applyProtection="1">
      <alignment horizontal="right"/>
    </xf>
    <xf numFmtId="0" fontId="14" fillId="0" borderId="59" xfId="4495" applyFont="1" applyFill="1" applyBorder="1" applyAlignment="1" applyProtection="1">
      <alignment horizontal="right"/>
    </xf>
    <xf numFmtId="0" fontId="44" fillId="0" borderId="0" xfId="4495" applyFont="1" applyFill="1" applyBorder="1" applyAlignment="1" applyProtection="1">
      <alignment horizontal="left" vertical="top" wrapText="1"/>
    </xf>
    <xf numFmtId="0" fontId="21" fillId="0" borderId="0" xfId="1192" applyFont="1" applyFill="1" applyBorder="1" applyAlignment="1" applyProtection="1">
      <alignment horizontal="left"/>
    </xf>
    <xf numFmtId="0" fontId="14" fillId="0" borderId="0" xfId="1192" applyFont="1" applyAlignment="1" applyProtection="1">
      <alignment horizontal="left" vertical="top"/>
    </xf>
    <xf numFmtId="0" fontId="14" fillId="0" borderId="0" xfId="1192" applyFont="1" applyFill="1"/>
    <xf numFmtId="0" fontId="32" fillId="0" borderId="0" xfId="1192" applyFont="1" applyAlignment="1" applyProtection="1">
      <alignment horizontal="left" vertical="top"/>
    </xf>
    <xf numFmtId="0" fontId="14" fillId="0" borderId="0" xfId="1192" applyFont="1" applyAlignment="1" applyProtection="1">
      <alignment vertical="top"/>
    </xf>
    <xf numFmtId="0" fontId="14" fillId="0" borderId="0" xfId="1192" applyFont="1" applyAlignment="1" applyProtection="1"/>
    <xf numFmtId="168" fontId="14" fillId="0" borderId="0" xfId="1192" applyNumberFormat="1" applyFont="1" applyAlignment="1" applyProtection="1"/>
    <xf numFmtId="165" fontId="14" fillId="0" borderId="0" xfId="1192" applyNumberFormat="1" applyFont="1" applyFill="1" applyBorder="1" applyAlignment="1" applyProtection="1"/>
    <xf numFmtId="168" fontId="14" fillId="0" borderId="0" xfId="1192" applyNumberFormat="1" applyFont="1" applyFill="1" applyBorder="1" applyAlignment="1" applyProtection="1"/>
    <xf numFmtId="165" fontId="14" fillId="0" borderId="0" xfId="1192" applyNumberFormat="1" applyFont="1" applyFill="1" applyBorder="1" applyAlignment="1" applyProtection="1">
      <alignment horizontal="right"/>
    </xf>
    <xf numFmtId="0" fontId="14" fillId="0" borderId="0" xfId="1192" applyFont="1" applyFill="1" applyBorder="1" applyProtection="1"/>
    <xf numFmtId="0" fontId="14" fillId="0" borderId="0" xfId="1192" applyFont="1" applyFill="1" applyBorder="1" applyAlignment="1" applyProtection="1"/>
    <xf numFmtId="2" fontId="14" fillId="0" borderId="0" xfId="1192" applyNumberFormat="1" applyFont="1" applyFill="1" applyBorder="1" applyAlignment="1" applyProtection="1"/>
    <xf numFmtId="0" fontId="14" fillId="0" borderId="0" xfId="1192" applyFont="1" applyFill="1" applyBorder="1" applyAlignment="1" applyProtection="1">
      <alignment horizontal="center"/>
    </xf>
    <xf numFmtId="6" fontId="14" fillId="0" borderId="0" xfId="1192" applyNumberFormat="1" applyFont="1" applyFill="1" applyBorder="1" applyAlignment="1" applyProtection="1"/>
    <xf numFmtId="0" fontId="21" fillId="0" borderId="0" xfId="1192" applyFont="1" applyFill="1" applyBorder="1" applyAlignment="1" applyProtection="1"/>
    <xf numFmtId="0" fontId="44" fillId="0" borderId="0" xfId="1192" applyFont="1" applyFill="1" applyBorder="1" applyAlignment="1" applyProtection="1"/>
    <xf numFmtId="168" fontId="14" fillId="0" borderId="0" xfId="4495" applyNumberFormat="1" applyFont="1" applyFill="1" applyBorder="1" applyAlignment="1" applyProtection="1"/>
    <xf numFmtId="0" fontId="21" fillId="0" borderId="0" xfId="1192" applyFont="1" applyFill="1" applyBorder="1" applyAlignment="1" applyProtection="1">
      <alignment vertical="center"/>
    </xf>
    <xf numFmtId="0" fontId="116" fillId="0" borderId="0" xfId="1192" applyFont="1" applyBorder="1" applyAlignment="1" applyProtection="1">
      <alignment horizontal="left"/>
    </xf>
    <xf numFmtId="0" fontId="14" fillId="0" borderId="0" xfId="1192" applyFont="1" applyFill="1" applyBorder="1"/>
    <xf numFmtId="0" fontId="113" fillId="0" borderId="0" xfId="1192" applyFont="1" applyBorder="1" applyAlignment="1" applyProtection="1">
      <alignment horizontal="left"/>
    </xf>
    <xf numFmtId="0" fontId="14" fillId="0" borderId="0" xfId="1192" applyFont="1" applyBorder="1" applyAlignment="1" applyProtection="1">
      <alignment horizontal="center"/>
    </xf>
    <xf numFmtId="0" fontId="113" fillId="0" borderId="0" xfId="1192" applyFont="1" applyBorder="1" applyAlignment="1" applyProtection="1">
      <alignment horizontal="center"/>
    </xf>
    <xf numFmtId="168" fontId="14" fillId="0" borderId="0" xfId="1192" applyNumberFormat="1" applyFont="1" applyFill="1" applyAlignment="1" applyProtection="1">
      <alignment horizontal="center"/>
    </xf>
    <xf numFmtId="9" fontId="14" fillId="0" borderId="0" xfId="1192" applyNumberFormat="1" applyFont="1" applyFill="1" applyBorder="1" applyAlignment="1" applyProtection="1"/>
    <xf numFmtId="0" fontId="14" fillId="0" borderId="0" xfId="1192" applyFont="1" applyAlignment="1" applyProtection="1">
      <alignment horizontal="right"/>
    </xf>
    <xf numFmtId="0" fontId="14" fillId="0" borderId="53" xfId="4495" applyFont="1" applyFill="1" applyBorder="1" applyAlignment="1" applyProtection="1">
      <alignment horizontal="left"/>
    </xf>
    <xf numFmtId="0" fontId="21" fillId="0" borderId="0" xfId="1192" applyFont="1" applyBorder="1" applyProtection="1"/>
    <xf numFmtId="6" fontId="21" fillId="0" borderId="0" xfId="1192" applyNumberFormat="1" applyFont="1" applyBorder="1" applyAlignment="1" applyProtection="1">
      <alignment horizontal="right"/>
    </xf>
    <xf numFmtId="0" fontId="21" fillId="0" borderId="0" xfId="1192" applyFont="1" applyFill="1" applyBorder="1" applyAlignment="1" applyProtection="1">
      <alignment horizontal="right"/>
    </xf>
    <xf numFmtId="165" fontId="14" fillId="0" borderId="0" xfId="4495" applyNumberFormat="1" applyFont="1" applyFill="1" applyBorder="1" applyAlignment="1" applyProtection="1"/>
    <xf numFmtId="0" fontId="52" fillId="0" borderId="4" xfId="4495" applyFont="1" applyFill="1" applyBorder="1" applyProtection="1"/>
    <xf numFmtId="0" fontId="34" fillId="0" borderId="0" xfId="543" applyNumberFormat="1" applyFont="1" applyFill="1" applyBorder="1" applyAlignment="1" applyProtection="1">
      <alignment vertical="center" wrapText="1"/>
    </xf>
    <xf numFmtId="1" fontId="21" fillId="0" borderId="13" xfId="271" applyNumberFormat="1" applyFont="1" applyBorder="1" applyProtection="1"/>
    <xf numFmtId="1" fontId="23" fillId="0" borderId="13" xfId="271" applyNumberFormat="1" applyFont="1" applyBorder="1" applyProtection="1"/>
    <xf numFmtId="0" fontId="14" fillId="0" borderId="11" xfId="0" applyFont="1" applyBorder="1" applyProtection="1"/>
    <xf numFmtId="9" fontId="14" fillId="0" borderId="0" xfId="4495" applyNumberFormat="1" applyFont="1" applyFill="1" applyProtection="1"/>
    <xf numFmtId="165" fontId="120" fillId="0" borderId="0" xfId="4496" applyNumberFormat="1" applyFont="1" applyFill="1" applyBorder="1" applyAlignment="1">
      <alignment horizontal="center" vertical="top" wrapText="1"/>
    </xf>
    <xf numFmtId="0" fontId="120" fillId="0" borderId="0" xfId="4496" applyFont="1" applyFill="1" applyBorder="1" applyAlignment="1">
      <alignment vertical="top" wrapText="1"/>
    </xf>
    <xf numFmtId="0" fontId="120" fillId="0" borderId="54" xfId="4496" applyFont="1" applyFill="1" applyBorder="1" applyAlignment="1">
      <alignment vertical="top" wrapText="1"/>
    </xf>
    <xf numFmtId="168" fontId="120" fillId="0" borderId="0" xfId="4496" applyNumberFormat="1" applyFont="1" applyBorder="1" applyAlignment="1">
      <alignment vertical="top" wrapText="1"/>
    </xf>
    <xf numFmtId="165" fontId="120" fillId="0" borderId="65" xfId="4496" applyNumberFormat="1" applyFont="1" applyFill="1" applyBorder="1" applyAlignment="1">
      <alignment horizontal="center" vertical="top" wrapText="1"/>
    </xf>
    <xf numFmtId="165" fontId="120" fillId="0" borderId="53" xfId="4496" applyNumberFormat="1" applyFont="1" applyFill="1" applyBorder="1" applyAlignment="1">
      <alignment horizontal="left" vertical="top"/>
    </xf>
    <xf numFmtId="165" fontId="120" fillId="0" borderId="53" xfId="4496" applyNumberFormat="1" applyFont="1" applyFill="1" applyBorder="1" applyAlignment="1">
      <alignment horizontal="center" vertical="top" wrapText="1"/>
    </xf>
    <xf numFmtId="168" fontId="120" fillId="0" borderId="0" xfId="4496" applyNumberFormat="1" applyFont="1" applyBorder="1" applyAlignment="1">
      <alignment vertical="top"/>
    </xf>
    <xf numFmtId="0" fontId="120" fillId="0" borderId="0" xfId="4496" applyFont="1" applyFill="1" applyBorder="1" applyAlignment="1">
      <alignment vertical="top"/>
    </xf>
    <xf numFmtId="1" fontId="120" fillId="0" borderId="0" xfId="4496" applyNumberFormat="1" applyFont="1" applyBorder="1" applyAlignment="1">
      <alignment vertical="top" wrapText="1"/>
    </xf>
    <xf numFmtId="0" fontId="120" fillId="0" borderId="0" xfId="4496" applyFont="1" applyFill="1" applyBorder="1" applyAlignment="1">
      <alignment horizontal="left" vertical="top" wrapText="1"/>
    </xf>
    <xf numFmtId="164" fontId="22"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139" fillId="0" borderId="50" xfId="1192" applyFont="1" applyBorder="1" applyAlignment="1" applyProtection="1">
      <alignment horizontal="left"/>
    </xf>
    <xf numFmtId="0" fontId="140" fillId="0" borderId="51" xfId="4495" applyFont="1" applyFill="1" applyBorder="1" applyAlignment="1" applyProtection="1">
      <alignment vertical="top"/>
    </xf>
    <xf numFmtId="0" fontId="139" fillId="0" borderId="51" xfId="4495" applyFont="1" applyFill="1" applyBorder="1" applyAlignment="1" applyProtection="1">
      <alignment vertical="top" wrapText="1"/>
    </xf>
    <xf numFmtId="0" fontId="140" fillId="0" borderId="51" xfId="4495" applyFont="1" applyBorder="1" applyProtection="1"/>
    <xf numFmtId="0" fontId="140" fillId="0" borderId="53" xfId="1192" applyFont="1" applyBorder="1" applyAlignment="1" applyProtection="1">
      <alignment horizontal="left"/>
    </xf>
    <xf numFmtId="0" fontId="140" fillId="0" borderId="0" xfId="4495" applyFont="1" applyFill="1" applyBorder="1" applyAlignment="1" applyProtection="1">
      <alignment vertical="top"/>
    </xf>
    <xf numFmtId="0" fontId="139" fillId="0" borderId="0" xfId="4495" applyFont="1" applyFill="1" applyBorder="1" applyAlignment="1" applyProtection="1">
      <alignment vertical="top" wrapText="1"/>
    </xf>
    <xf numFmtId="0" fontId="140" fillId="0" borderId="0" xfId="4495" applyFont="1" applyBorder="1" applyProtection="1"/>
    <xf numFmtId="0" fontId="139" fillId="0" borderId="53" xfId="1192" applyFont="1" applyBorder="1" applyAlignment="1" applyProtection="1">
      <alignment horizontal="left"/>
    </xf>
    <xf numFmtId="0" fontId="139" fillId="0" borderId="57" xfId="1192" applyFont="1" applyBorder="1" applyAlignment="1" applyProtection="1">
      <alignment horizontal="left"/>
    </xf>
    <xf numFmtId="0" fontId="140" fillId="0" borderId="58" xfId="4495" applyFont="1" applyFill="1" applyBorder="1" applyAlignment="1" applyProtection="1">
      <alignment vertical="top"/>
    </xf>
    <xf numFmtId="0" fontId="139" fillId="0" borderId="58" xfId="4495" applyFont="1" applyFill="1" applyBorder="1" applyAlignment="1" applyProtection="1">
      <alignment vertical="top" wrapText="1"/>
    </xf>
    <xf numFmtId="0" fontId="140" fillId="0" borderId="58" xfId="4495"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5" applyFont="1" applyFill="1" applyBorder="1" applyAlignment="1" applyProtection="1">
      <alignment vertical="center" wrapText="1"/>
    </xf>
    <xf numFmtId="0" fontId="14" fillId="0" borderId="59" xfId="4495" applyFont="1" applyFill="1" applyBorder="1" applyAlignment="1" applyProtection="1">
      <alignment vertical="center" wrapText="1"/>
    </xf>
    <xf numFmtId="0" fontId="14" fillId="0" borderId="0" xfId="4495" applyFont="1" applyFill="1" applyBorder="1" applyAlignment="1" applyProtection="1">
      <alignment horizontal="left" vertical="center" wrapText="1"/>
    </xf>
    <xf numFmtId="0" fontId="21" fillId="0" borderId="0" xfId="4495" applyFont="1" applyAlignment="1" applyProtection="1">
      <alignment horizontal="right"/>
    </xf>
    <xf numFmtId="0" fontId="21" fillId="0" borderId="0" xfId="4495" applyFont="1" applyFill="1" applyBorder="1" applyAlignment="1" applyProtection="1">
      <alignment horizontal="right"/>
    </xf>
    <xf numFmtId="0" fontId="21" fillId="0" borderId="0" xfId="4495" applyFont="1" applyFill="1" applyBorder="1" applyAlignment="1" applyProtection="1">
      <alignment horizontal="center" vertical="top"/>
    </xf>
    <xf numFmtId="0" fontId="14" fillId="0" borderId="0" xfId="4495" applyFont="1" applyFill="1" applyBorder="1" applyAlignment="1" applyProtection="1">
      <alignment horizontal="left" vertical="top" wrapText="1"/>
    </xf>
    <xf numFmtId="0" fontId="21" fillId="0" borderId="0" xfId="4495" applyFont="1" applyFill="1" applyBorder="1" applyAlignment="1" applyProtection="1">
      <alignment horizontal="left" vertical="top"/>
    </xf>
    <xf numFmtId="0" fontId="22" fillId="0" borderId="0" xfId="4495" applyFont="1" applyFill="1" applyBorder="1" applyAlignment="1" applyProtection="1">
      <alignment horizontal="center"/>
    </xf>
    <xf numFmtId="0" fontId="21" fillId="0" borderId="54" xfId="4495" applyFont="1" applyBorder="1" applyAlignment="1" applyProtection="1">
      <alignment horizontal="center"/>
    </xf>
    <xf numFmtId="0" fontId="21" fillId="0" borderId="0" xfId="4495"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3"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1" fillId="0" borderId="2" xfId="569" applyNumberFormat="1" applyFont="1" applyBorder="1" applyAlignment="1">
      <alignment vertical="top"/>
    </xf>
    <xf numFmtId="0" fontId="51" fillId="0" borderId="0" xfId="271" applyFont="1" applyFill="1" applyAlignment="1" applyProtection="1">
      <alignment vertical="top" wrapText="1"/>
    </xf>
    <xf numFmtId="0" fontId="14" fillId="0" borderId="0" xfId="4495" applyNumberFormat="1" applyFont="1" applyAlignment="1" applyProtection="1">
      <alignment vertical="top" wrapText="1"/>
    </xf>
    <xf numFmtId="0" fontId="14" fillId="0" borderId="0" xfId="1192" applyFont="1" applyFill="1" applyBorder="1" applyAlignment="1" applyProtection="1">
      <alignment vertical="top"/>
    </xf>
    <xf numFmtId="0" fontId="24" fillId="0" borderId="0" xfId="4495" applyFont="1" applyFill="1" applyBorder="1" applyProtection="1"/>
    <xf numFmtId="0" fontId="14" fillId="0" borderId="0" xfId="4495" applyFont="1" applyFill="1" applyBorder="1" applyAlignment="1" applyProtection="1">
      <alignment vertical="top" wrapText="1" shrinkToFit="1"/>
    </xf>
    <xf numFmtId="0" fontId="160" fillId="0" borderId="0" xfId="4495" applyFont="1" applyFill="1" applyBorder="1" applyAlignment="1" applyProtection="1"/>
    <xf numFmtId="0" fontId="24" fillId="0" borderId="0" xfId="4495" applyFont="1" applyFill="1" applyBorder="1" applyAlignment="1" applyProtection="1"/>
    <xf numFmtId="164" fontId="14" fillId="0" borderId="0" xfId="1192" applyNumberFormat="1" applyFont="1" applyFill="1" applyBorder="1" applyAlignment="1" applyProtection="1">
      <alignment horizontal="right"/>
    </xf>
    <xf numFmtId="164" fontId="14" fillId="0" borderId="0" xfId="4495" applyNumberFormat="1" applyFont="1" applyFill="1" applyBorder="1" applyAlignment="1" applyProtection="1">
      <alignment horizontal="right"/>
    </xf>
    <xf numFmtId="0" fontId="14" fillId="0" borderId="0" xfId="4495" applyFont="1" applyFill="1" applyBorder="1" applyAlignment="1" applyProtection="1">
      <alignment horizontal="left" vertical="top" wrapText="1" shrinkToFit="1"/>
    </xf>
    <xf numFmtId="0" fontId="14" fillId="0" borderId="0" xfId="4495" applyFont="1" applyAlignment="1">
      <alignment vertical="top" wrapText="1"/>
    </xf>
    <xf numFmtId="0" fontId="14" fillId="0" borderId="6" xfId="4495" applyFont="1" applyBorder="1" applyAlignment="1">
      <alignment vertical="top" wrapText="1"/>
    </xf>
    <xf numFmtId="0" fontId="14" fillId="0" borderId="0" xfId="4495" applyFont="1" applyBorder="1" applyAlignment="1">
      <alignment vertical="top" wrapText="1"/>
    </xf>
    <xf numFmtId="0" fontId="160" fillId="0" borderId="4" xfId="4495" applyFont="1" applyFill="1" applyBorder="1" applyAlignment="1" applyProtection="1"/>
    <xf numFmtId="0" fontId="14" fillId="0" borderId="4" xfId="4495" applyFont="1" applyFill="1" applyBorder="1" applyAlignment="1" applyProtection="1">
      <alignment horizontal="left" vertical="top" wrapText="1" shrinkToFit="1"/>
    </xf>
    <xf numFmtId="0" fontId="24" fillId="0" borderId="0" xfId="4495" applyFont="1" applyFill="1" applyBorder="1" applyAlignment="1" applyProtection="1">
      <alignment horizontal="left" vertical="top"/>
    </xf>
    <xf numFmtId="0" fontId="14" fillId="0" borderId="0" xfId="4495" applyFont="1" applyFill="1" applyBorder="1" applyAlignment="1" applyProtection="1">
      <alignment vertical="center" wrapText="1" shrinkToFit="1"/>
    </xf>
    <xf numFmtId="0" fontId="14" fillId="0" borderId="0" xfId="4495" applyFont="1" applyFill="1" applyBorder="1" applyAlignment="1" applyProtection="1">
      <alignment horizontal="left" vertical="top" shrinkToFit="1"/>
    </xf>
    <xf numFmtId="0" fontId="14" fillId="0" borderId="0" xfId="4495" applyFont="1" applyFill="1" applyBorder="1" applyAlignment="1" applyProtection="1">
      <alignment horizontal="left" vertical="center" shrinkToFit="1"/>
    </xf>
    <xf numFmtId="0" fontId="24" fillId="0" borderId="4" xfId="4495" applyFont="1" applyFill="1" applyBorder="1" applyProtection="1"/>
    <xf numFmtId="0" fontId="14" fillId="0" borderId="4" xfId="4495" applyFont="1" applyFill="1" applyBorder="1" applyAlignment="1" applyProtection="1">
      <alignment horizontal="left" vertical="top" shrinkToFit="1"/>
    </xf>
    <xf numFmtId="0" fontId="14" fillId="0" borderId="0" xfId="4495" applyFont="1" applyAlignment="1" applyProtection="1">
      <alignment vertical="center"/>
    </xf>
    <xf numFmtId="0" fontId="20" fillId="0" borderId="0" xfId="4495" applyFont="1" applyFill="1" applyBorder="1" applyAlignment="1" applyProtection="1"/>
    <xf numFmtId="0" fontId="24" fillId="0" borderId="0" xfId="4495" applyFont="1" applyFill="1" applyProtection="1"/>
    <xf numFmtId="0" fontId="32" fillId="0" borderId="0" xfId="4495" applyFont="1" applyFill="1" applyBorder="1" applyAlignment="1" applyProtection="1"/>
    <xf numFmtId="0" fontId="24" fillId="0" borderId="0" xfId="4495" applyFont="1" applyFill="1" applyBorder="1" applyAlignment="1" applyProtection="1">
      <alignment horizontal="center"/>
    </xf>
    <xf numFmtId="0" fontId="14" fillId="0" borderId="4" xfId="4495" applyFont="1" applyFill="1" applyBorder="1" applyAlignment="1" applyProtection="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Fill="1" applyBorder="1" applyAlignment="1" applyProtection="1">
      <alignment horizontal="left"/>
    </xf>
    <xf numFmtId="0" fontId="24" fillId="0" borderId="0" xfId="4495" applyFont="1" applyFill="1" applyBorder="1" applyAlignment="1" applyProtection="1">
      <alignment horizontal="left"/>
    </xf>
    <xf numFmtId="0" fontId="14" fillId="0" borderId="0" xfId="4495" applyFont="1" applyFill="1" applyBorder="1" applyAlignment="1" applyProtection="1">
      <alignment vertical="center"/>
    </xf>
    <xf numFmtId="0" fontId="14" fillId="0" borderId="4" xfId="4495" applyFont="1" applyFill="1" applyBorder="1" applyAlignment="1" applyProtection="1">
      <alignment vertical="top" wrapText="1"/>
    </xf>
    <xf numFmtId="0" fontId="24" fillId="0" borderId="4" xfId="4495" applyFont="1" applyFill="1" applyBorder="1" applyAlignment="1" applyProtection="1">
      <alignment horizontal="left" vertical="top"/>
    </xf>
    <xf numFmtId="0" fontId="14" fillId="0" borderId="0" xfId="4495" applyFont="1" applyFill="1" applyBorder="1" applyAlignment="1" applyProtection="1">
      <alignment horizontal="left" vertical="center" wrapText="1" shrinkToFit="1"/>
    </xf>
    <xf numFmtId="0" fontId="14" fillId="0" borderId="6" xfId="4495" applyFont="1" applyFill="1" applyBorder="1" applyAlignment="1" applyProtection="1">
      <alignment horizontal="left" vertical="top" wrapText="1"/>
    </xf>
    <xf numFmtId="0" fontId="22" fillId="0" borderId="0" xfId="4495" applyFont="1" applyBorder="1" applyAlignment="1"/>
    <xf numFmtId="0" fontId="30" fillId="0" borderId="0" xfId="4495" applyFont="1" applyFill="1" applyBorder="1" applyAlignment="1">
      <alignment horizontal="center"/>
    </xf>
    <xf numFmtId="2" fontId="116" fillId="0" borderId="0" xfId="0" applyNumberFormat="1" applyFont="1" applyFill="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3" fontId="14" fillId="0" borderId="0" xfId="0" applyNumberFormat="1" applyFont="1" applyAlignment="1">
      <alignment horizontal="center"/>
    </xf>
    <xf numFmtId="0" fontId="120" fillId="0" borderId="0" xfId="4496" applyFont="1" applyBorder="1" applyAlignment="1">
      <alignment vertical="center"/>
    </xf>
    <xf numFmtId="0" fontId="14" fillId="0" borderId="50" xfId="4495" applyFont="1" applyFill="1" applyBorder="1" applyAlignment="1" applyProtection="1">
      <alignment vertical="center"/>
    </xf>
    <xf numFmtId="0" fontId="14" fillId="0" borderId="51" xfId="4495" applyFont="1" applyFill="1" applyBorder="1" applyAlignment="1" applyProtection="1">
      <alignment vertical="center"/>
    </xf>
    <xf numFmtId="0" fontId="14" fillId="0" borderId="52" xfId="4495" applyFont="1" applyFill="1" applyBorder="1" applyAlignment="1" applyProtection="1">
      <alignment vertical="center"/>
    </xf>
    <xf numFmtId="0" fontId="14" fillId="0" borderId="54" xfId="4495" applyFont="1" applyFill="1" applyBorder="1" applyAlignment="1" applyProtection="1">
      <alignment vertical="center" wrapText="1"/>
    </xf>
    <xf numFmtId="0" fontId="14" fillId="0" borderId="53" xfId="4495"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6" applyFont="1" applyProtection="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Fill="1" applyAlignment="1">
      <alignment horizontal="left" wrapText="1"/>
    </xf>
    <xf numFmtId="0" fontId="21" fillId="0" borderId="0" xfId="0" applyFont="1" applyAlignment="1">
      <alignment horizontal="left" vertical="top" wrapText="1"/>
    </xf>
    <xf numFmtId="0" fontId="14" fillId="0" borderId="0" xfId="1192"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xf>
    <xf numFmtId="0" fontId="32" fillId="0" borderId="0" xfId="0" applyFont="1" applyFill="1" applyAlignment="1">
      <alignment horizontal="left"/>
    </xf>
    <xf numFmtId="0" fontId="21" fillId="0" borderId="0" xfId="0" applyFont="1" applyAlignment="1">
      <alignment horizontal="left"/>
    </xf>
    <xf numFmtId="0" fontId="14" fillId="0" borderId="0" xfId="569" applyFont="1" applyAlignment="1">
      <alignment horizontal="left" vertical="top" wrapText="1"/>
    </xf>
    <xf numFmtId="0" fontId="14" fillId="0" borderId="0" xfId="569" applyFont="1" applyBorder="1" applyAlignment="1">
      <alignment horizontal="left" vertical="top"/>
    </xf>
    <xf numFmtId="0" fontId="32" fillId="0" borderId="0" xfId="0" applyFont="1" applyAlignment="1" applyProtection="1">
      <alignment horizontal="center"/>
    </xf>
    <xf numFmtId="0" fontId="32" fillId="0" borderId="0" xfId="0" applyFont="1" applyFill="1" applyAlignment="1">
      <alignment horizontal="center"/>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0" fontId="14" fillId="0" borderId="0" xfId="569" applyFont="1" applyAlignment="1">
      <alignment horizontal="left" vertical="top"/>
    </xf>
    <xf numFmtId="0" fontId="21" fillId="0" borderId="4" xfId="0" applyFont="1" applyBorder="1" applyAlignment="1" applyProtection="1">
      <alignment horizontal="left"/>
    </xf>
    <xf numFmtId="0" fontId="14" fillId="0" borderId="0" xfId="0" applyFont="1" applyFill="1" applyAlignment="1">
      <alignment horizontal="left"/>
    </xf>
    <xf numFmtId="4" fontId="14" fillId="0" borderId="0" xfId="0" applyNumberFormat="1" applyFont="1" applyFill="1" applyAlignment="1" applyProtection="1">
      <alignment horizontal="left"/>
    </xf>
    <xf numFmtId="0" fontId="14" fillId="0" borderId="0" xfId="569" applyFont="1" applyAlignment="1" applyProtection="1">
      <alignment horizontal="left" vertical="top"/>
    </xf>
    <xf numFmtId="0" fontId="14" fillId="0" borderId="0" xfId="569" applyFont="1" applyAlignment="1" applyProtection="1">
      <alignment horizontal="left" vertical="top" wrapText="1"/>
    </xf>
    <xf numFmtId="0" fontId="21" fillId="0" borderId="0" xfId="0" applyFont="1" applyAlignment="1" applyProtection="1">
      <alignment horizontal="center"/>
    </xf>
    <xf numFmtId="0" fontId="14" fillId="0" borderId="0" xfId="0" applyFont="1" applyFill="1" applyAlignment="1" applyProtection="1">
      <alignment horizontal="center"/>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0" fontId="21" fillId="0" borderId="0" xfId="0" applyFont="1" applyAlignment="1">
      <alignment vertical="top"/>
    </xf>
    <xf numFmtId="0" fontId="14" fillId="0" borderId="0" xfId="0" applyFont="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xf>
    <xf numFmtId="0" fontId="32" fillId="0" borderId="0" xfId="0" applyFont="1" applyBorder="1" applyAlignment="1">
      <alignment horizontal="center"/>
    </xf>
    <xf numFmtId="0" fontId="32" fillId="0" borderId="0" xfId="0" applyFont="1" applyFill="1" applyBorder="1" applyAlignment="1" applyProtection="1">
      <alignment horizontal="center"/>
    </xf>
    <xf numFmtId="0" fontId="32" fillId="0" borderId="0" xfId="0" applyFont="1" applyFill="1" applyBorder="1" applyAlignment="1">
      <alignment horizontal="center"/>
    </xf>
    <xf numFmtId="49" fontId="14" fillId="0" borderId="0" xfId="0" applyNumberFormat="1" applyFont="1"/>
    <xf numFmtId="49" fontId="14" fillId="0" borderId="0" xfId="0" applyNumberFormat="1" applyFont="1" applyFill="1"/>
    <xf numFmtId="49" fontId="14" fillId="0" borderId="0" xfId="0" applyNumberFormat="1" applyFont="1" applyAlignment="1">
      <alignment horizontal="center"/>
    </xf>
    <xf numFmtId="4" fontId="14" fillId="0" borderId="0" xfId="0" applyNumberFormat="1" applyFont="1" applyFill="1" applyAlignment="1" applyProtection="1">
      <alignment vertical="top" wrapText="1"/>
    </xf>
    <xf numFmtId="0" fontId="14" fillId="0" borderId="0" xfId="0" applyFont="1" applyAlignment="1" applyProtection="1">
      <alignment horizontal="center"/>
    </xf>
    <xf numFmtId="0" fontId="14" fillId="0" borderId="0" xfId="0" quotePrefix="1" applyFont="1"/>
    <xf numFmtId="49" fontId="14" fillId="0" borderId="0" xfId="0" applyNumberFormat="1" applyFont="1" applyFill="1" applyAlignment="1">
      <alignment horizontal="center"/>
    </xf>
    <xf numFmtId="0" fontId="44" fillId="0" borderId="0" xfId="0" applyFont="1" applyFill="1" applyAlignment="1">
      <alignment horizontal="left"/>
    </xf>
    <xf numFmtId="0" fontId="32" fillId="0" borderId="0" xfId="0" applyFont="1" applyAlignment="1">
      <alignment horizontal="center"/>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Fill="1" applyAlignment="1">
      <alignment horizontal="left"/>
    </xf>
    <xf numFmtId="0" fontId="49" fillId="0" borderId="0" xfId="0" applyFont="1" applyFill="1" applyAlignment="1" applyProtection="1">
      <alignment horizontal="center" vertical="center"/>
    </xf>
    <xf numFmtId="49" fontId="21" fillId="0" borderId="0" xfId="0" applyNumberFormat="1" applyFont="1" applyFill="1" applyAlignment="1">
      <alignment horizontal="center" vertical="center"/>
    </xf>
    <xf numFmtId="49" fontId="14" fillId="0" borderId="0" xfId="0" applyNumberFormat="1" applyFont="1" applyFill="1" applyAlignment="1">
      <alignment vertical="center"/>
    </xf>
    <xf numFmtId="0" fontId="21" fillId="0" borderId="0" xfId="1192" applyFont="1" applyFill="1"/>
    <xf numFmtId="49" fontId="14" fillId="0" borderId="0" xfId="0" applyNumberFormat="1" applyFont="1" applyAlignment="1" applyProtection="1">
      <alignment horizontal="center"/>
    </xf>
    <xf numFmtId="0" fontId="14" fillId="0" borderId="0" xfId="0" applyFont="1" applyFill="1" applyBorder="1" applyAlignment="1" applyProtection="1">
      <alignment vertical="top"/>
    </xf>
    <xf numFmtId="49" fontId="14" fillId="0" borderId="0" xfId="0" applyNumberFormat="1" applyFont="1" applyFill="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Fill="1" applyProtection="1"/>
    <xf numFmtId="4" fontId="14" fillId="0" borderId="0" xfId="0" applyNumberFormat="1" applyFont="1" applyAlignment="1" applyProtection="1">
      <alignment horizontal="left"/>
    </xf>
    <xf numFmtId="4" fontId="14" fillId="0" borderId="0" xfId="0" applyNumberFormat="1" applyFont="1" applyProtection="1"/>
    <xf numFmtId="0" fontId="44" fillId="0" borderId="0" xfId="0" applyFont="1" applyFill="1" applyBorder="1"/>
    <xf numFmtId="10" fontId="14" fillId="0" borderId="0" xfId="4495" applyNumberFormat="1" applyFont="1" applyFill="1" applyProtection="1"/>
    <xf numFmtId="0" fontId="14" fillId="0" borderId="0" xfId="4495" applyFont="1" applyFill="1" applyAlignment="1" applyProtection="1">
      <alignment horizontal="center"/>
    </xf>
    <xf numFmtId="0" fontId="14" fillId="0" borderId="0" xfId="0" applyFont="1" applyFill="1" applyBorder="1" applyAlignment="1">
      <alignment vertical="top"/>
    </xf>
    <xf numFmtId="0" fontId="14" fillId="0" borderId="0" xfId="0" applyFont="1" applyFill="1" applyBorder="1" applyAlignment="1">
      <alignment vertical="center"/>
    </xf>
    <xf numFmtId="165" fontId="14" fillId="0" borderId="0" xfId="4495" applyNumberFormat="1" applyFont="1" applyFill="1" applyProtection="1"/>
    <xf numFmtId="0" fontId="14" fillId="0" borderId="0" xfId="569"/>
    <xf numFmtId="4" fontId="14" fillId="0" borderId="0" xfId="569" applyNumberFormat="1" applyFont="1" applyFill="1" applyAlignment="1" applyProtection="1">
      <alignment horizontal="left"/>
    </xf>
    <xf numFmtId="0" fontId="14" fillId="0" borderId="0" xfId="569" applyFont="1" applyProtection="1"/>
    <xf numFmtId="0" fontId="14" fillId="0" borderId="0" xfId="569" applyProtection="1"/>
    <xf numFmtId="0" fontId="14" fillId="0" borderId="0" xfId="569" applyFill="1" applyProtection="1"/>
    <xf numFmtId="0" fontId="21" fillId="0" borderId="0" xfId="569" applyFont="1" applyProtection="1"/>
    <xf numFmtId="0" fontId="14" fillId="5" borderId="6" xfId="569" applyFill="1" applyBorder="1" applyAlignment="1" applyProtection="1">
      <protection locked="0"/>
    </xf>
    <xf numFmtId="0" fontId="14" fillId="0" borderId="0" xfId="569" applyFont="1" applyFill="1" applyAlignment="1">
      <alignment horizontal="center"/>
    </xf>
    <xf numFmtId="0" fontId="14" fillId="0" borderId="0" xfId="1192"/>
    <xf numFmtId="0" fontId="14" fillId="0" borderId="0" xfId="1192" applyFont="1" applyAlignment="1" applyProtection="1">
      <alignment vertical="top" wrapText="1"/>
    </xf>
    <xf numFmtId="0" fontId="14" fillId="0" borderId="0" xfId="1192" applyFont="1" applyAlignment="1" applyProtection="1">
      <alignment horizontal="left" vertical="top" wrapText="1"/>
    </xf>
    <xf numFmtId="10" fontId="120" fillId="0" borderId="0" xfId="4496" applyNumberFormat="1" applyFont="1" applyFill="1" applyBorder="1" applyAlignment="1">
      <alignment horizontal="center" vertical="top" wrapText="1"/>
    </xf>
    <xf numFmtId="10" fontId="120" fillId="0" borderId="65" xfId="4496" applyNumberFormat="1" applyFont="1" applyFill="1" applyBorder="1" applyAlignment="1">
      <alignment horizontal="center" vertical="top" wrapText="1"/>
    </xf>
    <xf numFmtId="10" fontId="120" fillId="0" borderId="53" xfId="4496" applyNumberFormat="1" applyFont="1" applyFill="1" applyBorder="1" applyAlignment="1">
      <alignment horizontal="left" vertical="top"/>
    </xf>
    <xf numFmtId="0" fontId="21"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5" applyFont="1" applyFill="1" applyBorder="1" applyAlignment="1" applyProtection="1">
      <alignment horizontal="center"/>
    </xf>
    <xf numFmtId="0" fontId="21" fillId="0" borderId="0" xfId="4495" applyFont="1" applyFill="1" applyBorder="1" applyAlignment="1" applyProtection="1">
      <alignment horizontal="right"/>
    </xf>
    <xf numFmtId="0" fontId="118" fillId="0" borderId="53" xfId="4495" applyFill="1" applyBorder="1" applyAlignment="1" applyProtection="1">
      <alignment horizontal="center"/>
    </xf>
    <xf numFmtId="0" fontId="118" fillId="0" borderId="0" xfId="4495" applyFill="1" applyBorder="1" applyAlignment="1" applyProtection="1">
      <alignment horizontal="center"/>
    </xf>
    <xf numFmtId="0" fontId="22" fillId="0" borderId="0" xfId="4495" applyFont="1" applyFill="1" applyBorder="1" applyAlignment="1" applyProtection="1">
      <alignment horizontal="left" vertical="top" wrapText="1"/>
    </xf>
    <xf numFmtId="0" fontId="21" fillId="0" borderId="0" xfId="4495" applyFont="1" applyFill="1" applyBorder="1" applyAlignment="1" applyProtection="1">
      <alignment horizontal="center" vertical="top"/>
    </xf>
    <xf numFmtId="0" fontId="22" fillId="0" borderId="0" xfId="4495" applyFont="1" applyFill="1" applyBorder="1" applyAlignment="1" applyProtection="1">
      <alignment horizontal="center"/>
    </xf>
    <xf numFmtId="0" fontId="14" fillId="0" borderId="0" xfId="543" applyFont="1" applyAlignment="1" applyProtection="1">
      <alignment horizontal="center"/>
    </xf>
    <xf numFmtId="0" fontId="21" fillId="0" borderId="0" xfId="4495" applyFont="1" applyFill="1" applyBorder="1" applyAlignment="1" applyProtection="1">
      <alignment horizontal="left" vertical="top"/>
    </xf>
    <xf numFmtId="0" fontId="14" fillId="0" borderId="0" xfId="1192" applyFont="1" applyAlignment="1" applyProtection="1">
      <alignment horizontal="right"/>
    </xf>
    <xf numFmtId="9" fontId="14" fillId="0" borderId="0" xfId="1192" quotePrefix="1" applyNumberFormat="1" applyFont="1" applyFill="1" applyBorder="1" applyAlignment="1" applyProtection="1">
      <alignment horizontal="center"/>
    </xf>
    <xf numFmtId="0" fontId="21" fillId="0" borderId="0" xfId="4495" applyFont="1" applyAlignment="1" applyProtection="1">
      <alignment horizontal="right"/>
    </xf>
    <xf numFmtId="0" fontId="120" fillId="0" borderId="0" xfId="4495" applyFont="1" applyFill="1" applyProtection="1"/>
    <xf numFmtId="10" fontId="120" fillId="0" borderId="0" xfId="4495" applyNumberFormat="1" applyFont="1" applyFill="1" applyProtection="1"/>
    <xf numFmtId="172" fontId="14" fillId="0" borderId="0" xfId="4495"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1" fillId="0" borderId="11" xfId="0" applyFont="1" applyFill="1" applyBorder="1" applyAlignment="1" applyProtection="1">
      <alignment horizontal="right" vertical="top" wrapText="1"/>
    </xf>
    <xf numFmtId="0" fontId="54" fillId="0" borderId="11" xfId="0" applyFont="1" applyFill="1" applyBorder="1" applyAlignment="1" applyProtection="1">
      <alignment horizontal="right" vertical="top" wrapText="1"/>
    </xf>
    <xf numFmtId="1" fontId="14" fillId="0" borderId="0" xfId="1192" applyNumberFormat="1" applyFont="1" applyFill="1" applyBorder="1" applyAlignment="1" applyProtection="1">
      <alignment horizontal="center"/>
    </xf>
    <xf numFmtId="0" fontId="118" fillId="0" borderId="64" xfId="4495" applyFill="1" applyBorder="1" applyAlignment="1" applyProtection="1"/>
    <xf numFmtId="0" fontId="30" fillId="0" borderId="0" xfId="4495" applyNumberFormat="1" applyFont="1" applyFill="1" applyBorder="1" applyAlignment="1" applyProtection="1">
      <alignment vertical="top"/>
    </xf>
    <xf numFmtId="0" fontId="51"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4" fillId="0" borderId="54" xfId="4495"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0" fontId="14" fillId="0" borderId="0" xfId="569" applyFont="1" applyAlignment="1">
      <alignment horizontal="left" vertical="top" wrapText="1"/>
    </xf>
    <xf numFmtId="0" fontId="14" fillId="0" borderId="16" xfId="569" applyFont="1" applyBorder="1" applyAlignment="1" applyProtection="1">
      <alignment horizontal="center"/>
    </xf>
    <xf numFmtId="0" fontId="14" fillId="0" borderId="0" xfId="569" applyAlignment="1">
      <alignment wrapText="1"/>
    </xf>
    <xf numFmtId="0" fontId="14" fillId="0" borderId="0" xfId="569" applyFont="1" applyAlignment="1"/>
    <xf numFmtId="0" fontId="14" fillId="0" borderId="0" xfId="569" applyFont="1" applyAlignment="1" applyProtection="1">
      <alignment horizontal="left" vertical="top"/>
    </xf>
    <xf numFmtId="0" fontId="14" fillId="0" borderId="0" xfId="1192" applyAlignment="1">
      <alignment vertical="top" wrapText="1"/>
    </xf>
    <xf numFmtId="164" fontId="14" fillId="0" borderId="57" xfId="4495" applyNumberFormat="1" applyFont="1" applyFill="1" applyBorder="1" applyAlignment="1" applyProtection="1">
      <alignment vertical="top" wrapText="1"/>
    </xf>
    <xf numFmtId="164" fontId="14" fillId="0" borderId="58" xfId="4495" applyNumberFormat="1" applyFont="1" applyFill="1" applyBorder="1" applyAlignment="1" applyProtection="1">
      <alignment vertical="top" wrapText="1"/>
    </xf>
    <xf numFmtId="164" fontId="14" fillId="0" borderId="59" xfId="4495" applyNumberFormat="1" applyFont="1" applyFill="1" applyBorder="1" applyAlignment="1" applyProtection="1">
      <alignment vertical="top" wrapText="1"/>
    </xf>
    <xf numFmtId="0" fontId="21" fillId="0" borderId="0" xfId="569" applyFont="1" applyFill="1" applyAlignment="1" applyProtection="1">
      <alignment horizontal="center"/>
    </xf>
    <xf numFmtId="0" fontId="21" fillId="0" borderId="0" xfId="569" applyFont="1" applyFill="1" applyProtection="1"/>
    <xf numFmtId="43" fontId="21" fillId="0" borderId="0" xfId="4504" applyFont="1" applyProtection="1"/>
    <xf numFmtId="0" fontId="21" fillId="0" borderId="0" xfId="569" applyFont="1" applyAlignment="1">
      <alignment vertical="center"/>
    </xf>
    <xf numFmtId="0" fontId="21" fillId="0" borderId="0" xfId="569" applyFont="1" applyAlignment="1" applyProtection="1"/>
    <xf numFmtId="49" fontId="21" fillId="0" borderId="0" xfId="569" applyNumberFormat="1" applyFont="1" applyProtection="1"/>
    <xf numFmtId="49" fontId="21" fillId="0" borderId="0" xfId="569" applyNumberFormat="1" applyFont="1" applyFill="1" applyProtection="1"/>
    <xf numFmtId="4" fontId="21" fillId="0" borderId="0" xfId="569" applyNumberFormat="1" applyFont="1" applyFill="1" applyProtection="1"/>
    <xf numFmtId="0" fontId="14" fillId="0" borderId="0" xfId="569" applyFont="1" applyAlignment="1" applyProtection="1">
      <alignment wrapText="1"/>
    </xf>
    <xf numFmtId="0" fontId="14" fillId="0" borderId="0" xfId="569" applyFont="1" applyBorder="1" applyAlignment="1">
      <alignment horizontal="left"/>
    </xf>
    <xf numFmtId="0" fontId="32" fillId="0" borderId="0" xfId="0" applyFont="1" applyAlignment="1" applyProtection="1">
      <alignment horizontal="center"/>
    </xf>
    <xf numFmtId="0" fontId="21" fillId="0" borderId="0" xfId="0" applyFont="1" applyFill="1" applyAlignment="1">
      <alignment horizontal="left" vertical="top" wrapText="1"/>
    </xf>
    <xf numFmtId="0" fontId="21" fillId="0" borderId="0" xfId="1192" applyFont="1" applyFill="1" applyAlignment="1">
      <alignment horizontal="left" vertical="top" wrapText="1"/>
    </xf>
    <xf numFmtId="0" fontId="14" fillId="0" borderId="0" xfId="0" applyFont="1" applyFill="1" applyBorder="1" applyAlignment="1">
      <alignment horizontal="left" wrapText="1"/>
    </xf>
    <xf numFmtId="0" fontId="21" fillId="0" borderId="0" xfId="569" quotePrefix="1" applyFont="1" applyProtection="1"/>
    <xf numFmtId="0" fontId="14" fillId="0" borderId="16" xfId="569" applyBorder="1" applyProtection="1"/>
    <xf numFmtId="0" fontId="21" fillId="0" borderId="16" xfId="569" applyFont="1" applyBorder="1" applyProtection="1"/>
    <xf numFmtId="0" fontId="14" fillId="0" borderId="4" xfId="569" applyBorder="1" applyProtection="1"/>
    <xf numFmtId="0" fontId="21" fillId="0" borderId="4" xfId="569" applyFont="1" applyBorder="1" applyProtection="1"/>
    <xf numFmtId="49" fontId="14" fillId="0" borderId="4" xfId="569" applyNumberFormat="1" applyBorder="1" applyProtection="1"/>
    <xf numFmtId="49" fontId="21" fillId="0" borderId="4" xfId="569" applyNumberFormat="1" applyFont="1" applyBorder="1" applyProtection="1"/>
    <xf numFmtId="0" fontId="166" fillId="0" borderId="0" xfId="0" applyFont="1" applyFill="1" applyBorder="1" applyProtection="1"/>
    <xf numFmtId="0" fontId="14" fillId="0" borderId="0" xfId="0" applyFont="1" applyBorder="1" applyAlignment="1" applyProtection="1">
      <alignment horizontal="right"/>
    </xf>
    <xf numFmtId="1" fontId="14"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right"/>
    </xf>
    <xf numFmtId="0" fontId="21"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4" fillId="0" borderId="0" xfId="8719"/>
    <xf numFmtId="0" fontId="101" fillId="0" borderId="0" xfId="8719" applyFont="1"/>
    <xf numFmtId="0" fontId="4" fillId="48" borderId="67" xfId="8719" applyFill="1" applyBorder="1"/>
    <xf numFmtId="0" fontId="4" fillId="48" borderId="0" xfId="8719" applyFill="1"/>
    <xf numFmtId="0" fontId="100" fillId="48" borderId="41" xfId="8719" applyFont="1" applyFill="1" applyBorder="1" applyAlignment="1">
      <alignment horizontal="center"/>
    </xf>
    <xf numFmtId="0" fontId="100" fillId="48" borderId="0" xfId="8719" applyFont="1" applyFill="1"/>
    <xf numFmtId="182" fontId="0" fillId="48" borderId="0" xfId="8720" applyNumberFormat="1" applyFont="1" applyFill="1" applyBorder="1" applyAlignment="1"/>
    <xf numFmtId="182" fontId="101" fillId="48" borderId="0" xfId="8720" applyNumberFormat="1" applyFont="1" applyFill="1" applyBorder="1" applyAlignment="1"/>
    <xf numFmtId="182" fontId="148" fillId="48" borderId="0" xfId="8720" applyNumberFormat="1" applyFont="1" applyFill="1" applyBorder="1" applyAlignment="1"/>
    <xf numFmtId="0" fontId="4" fillId="48" borderId="41" xfId="8719" applyFill="1" applyBorder="1"/>
    <xf numFmtId="0" fontId="101" fillId="48" borderId="0" xfId="8719" applyFont="1" applyFill="1"/>
    <xf numFmtId="0" fontId="154" fillId="48" borderId="0" xfId="8719" applyFont="1" applyFill="1"/>
    <xf numFmtId="0" fontId="100" fillId="48" borderId="41" xfId="8719" applyFont="1" applyFill="1" applyBorder="1"/>
    <xf numFmtId="0" fontId="100" fillId="0" borderId="0" xfId="8719" applyFont="1"/>
    <xf numFmtId="0" fontId="100" fillId="44" borderId="0" xfId="8719" applyFont="1" applyFill="1"/>
    <xf numFmtId="0" fontId="4" fillId="44" borderId="0" xfId="8719" applyFill="1"/>
    <xf numFmtId="0" fontId="156" fillId="48" borderId="0" xfId="8719" applyFont="1" applyFill="1"/>
    <xf numFmtId="0" fontId="4" fillId="47" borderId="66" xfId="8719" applyFill="1" applyBorder="1"/>
    <xf numFmtId="0" fontId="4" fillId="47" borderId="29" xfId="8719" applyFill="1" applyBorder="1"/>
    <xf numFmtId="0" fontId="4" fillId="47" borderId="31" xfId="8719" applyFill="1" applyBorder="1"/>
    <xf numFmtId="0" fontId="4" fillId="47" borderId="67" xfId="8719" applyFill="1" applyBorder="1"/>
    <xf numFmtId="0" fontId="4" fillId="47" borderId="0" xfId="8719" applyFill="1"/>
    <xf numFmtId="0" fontId="4" fillId="47" borderId="41" xfId="8719" applyFill="1" applyBorder="1"/>
    <xf numFmtId="0" fontId="4" fillId="47" borderId="88" xfId="8719" applyFill="1" applyBorder="1"/>
    <xf numFmtId="0" fontId="4" fillId="47" borderId="42" xfId="8719" applyFill="1" applyBorder="1"/>
    <xf numFmtId="0" fontId="4" fillId="47" borderId="44" xfId="8719" applyFill="1" applyBorder="1"/>
    <xf numFmtId="0" fontId="145" fillId="47" borderId="4" xfId="8719" applyFont="1" applyFill="1" applyBorder="1" applyAlignment="1">
      <alignment horizontal="center"/>
    </xf>
    <xf numFmtId="0" fontId="145" fillId="47" borderId="81" xfId="8719" applyFont="1" applyFill="1" applyBorder="1" applyAlignment="1">
      <alignment horizontal="center"/>
    </xf>
    <xf numFmtId="0" fontId="100" fillId="48" borderId="67" xfId="8719" applyFont="1" applyFill="1" applyBorder="1"/>
    <xf numFmtId="49" fontId="100" fillId="48" borderId="67" xfId="8719" applyNumberFormat="1" applyFont="1" applyFill="1" applyBorder="1" applyAlignment="1">
      <alignment horizontal="right" vertical="top"/>
    </xf>
    <xf numFmtId="0" fontId="4" fillId="48" borderId="88" xfId="8719" applyFill="1" applyBorder="1"/>
    <xf numFmtId="0" fontId="4" fillId="48" borderId="42" xfId="8719" applyFill="1" applyBorder="1"/>
    <xf numFmtId="0" fontId="4" fillId="48" borderId="44" xfId="8719" applyFill="1" applyBorder="1"/>
    <xf numFmtId="0" fontId="4" fillId="44" borderId="67" xfId="8719" applyFill="1" applyBorder="1"/>
    <xf numFmtId="0" fontId="4" fillId="44" borderId="41" xfId="8719" applyFill="1" applyBorder="1"/>
    <xf numFmtId="0" fontId="4" fillId="44" borderId="0" xfId="8719" applyFill="1" applyAlignment="1">
      <alignment horizontal="left"/>
    </xf>
    <xf numFmtId="0" fontId="4" fillId="44" borderId="88" xfId="8719" applyFill="1" applyBorder="1"/>
    <xf numFmtId="0" fontId="4" fillId="44" borderId="42" xfId="8719" applyFill="1" applyBorder="1"/>
    <xf numFmtId="0" fontId="4" fillId="44" borderId="44" xfId="8719" applyFill="1" applyBorder="1"/>
    <xf numFmtId="0" fontId="159" fillId="0" borderId="0" xfId="8719" applyFont="1"/>
    <xf numFmtId="0" fontId="14" fillId="0" borderId="0" xfId="569" applyFont="1" applyFill="1" applyAlignment="1">
      <alignment horizontal="left" vertical="top" wrapText="1"/>
    </xf>
    <xf numFmtId="0" fontId="14" fillId="0" borderId="0" xfId="569" applyFont="1" applyAlignment="1">
      <alignment horizontal="left" vertical="top"/>
    </xf>
    <xf numFmtId="0" fontId="14" fillId="0" borderId="0" xfId="569" applyFont="1" applyAlignment="1">
      <alignment horizontal="left" vertical="top" wrapText="1"/>
    </xf>
    <xf numFmtId="0" fontId="21" fillId="0" borderId="0" xfId="0" applyFont="1" applyAlignment="1">
      <alignment horizontal="left" vertical="top"/>
    </xf>
    <xf numFmtId="0" fontId="14" fillId="0" borderId="0" xfId="569" applyFont="1" applyAlignment="1">
      <alignment vertical="top"/>
    </xf>
    <xf numFmtId="0" fontId="21" fillId="0" borderId="0" xfId="569" applyFont="1" applyAlignment="1" applyProtection="1">
      <alignment vertical="top"/>
    </xf>
    <xf numFmtId="0" fontId="15" fillId="0" borderId="0" xfId="244" applyAlignment="1"/>
    <xf numFmtId="0" fontId="14" fillId="5" borderId="0" xfId="569" applyFill="1" applyBorder="1" applyAlignment="1" applyProtection="1">
      <protection locked="0"/>
    </xf>
    <xf numFmtId="0" fontId="21" fillId="0" borderId="0" xfId="569" applyFont="1" applyAlignment="1"/>
    <xf numFmtId="0" fontId="14" fillId="0" borderId="0" xfId="569" applyFont="1" applyFill="1" applyAlignment="1">
      <alignment vertical="top" wrapText="1"/>
    </xf>
    <xf numFmtId="0" fontId="21" fillId="0" borderId="0" xfId="0" applyFont="1" applyAlignment="1">
      <alignment vertical="top" wrapText="1"/>
    </xf>
    <xf numFmtId="0" fontId="21" fillId="0" borderId="0" xfId="0" applyFont="1" applyFill="1" applyAlignment="1">
      <alignment vertical="top" wrapText="1"/>
    </xf>
    <xf numFmtId="49" fontId="21" fillId="0" borderId="0" xfId="0" applyNumberFormat="1" applyFont="1" applyAlignment="1"/>
    <xf numFmtId="49" fontId="21" fillId="0" borderId="0" xfId="0" applyNumberFormat="1" applyFont="1" applyAlignment="1">
      <alignment vertical="top"/>
    </xf>
    <xf numFmtId="0" fontId="14" fillId="0" borderId="0" xfId="569" applyFont="1" applyFill="1" applyAlignment="1">
      <alignment horizontal="left" vertical="top"/>
    </xf>
    <xf numFmtId="0" fontId="37" fillId="0" borderId="11" xfId="0" applyFont="1" applyBorder="1" applyProtection="1"/>
    <xf numFmtId="175" fontId="14" fillId="0" borderId="0" xfId="543" applyNumberFormat="1" applyFont="1" applyFill="1" applyBorder="1" applyAlignment="1" applyProtection="1">
      <alignment vertical="center"/>
    </xf>
    <xf numFmtId="0" fontId="96" fillId="43" borderId="6" xfId="4496" applyFont="1" applyFill="1" applyBorder="1" applyAlignment="1" applyProtection="1">
      <alignment horizontal="center"/>
      <protection locked="0"/>
    </xf>
    <xf numFmtId="0" fontId="96" fillId="0" borderId="0" xfId="4496" applyFont="1" applyProtection="1"/>
    <xf numFmtId="0" fontId="96" fillId="0" borderId="0" xfId="4496" applyFont="1" applyAlignment="1" applyProtection="1">
      <alignment wrapText="1"/>
    </xf>
    <xf numFmtId="0" fontId="135" fillId="0" borderId="0" xfId="4496" applyFont="1" applyBorder="1" applyProtection="1"/>
    <xf numFmtId="0" fontId="96" fillId="0" borderId="0" xfId="4496" applyFont="1" applyBorder="1" applyProtection="1"/>
    <xf numFmtId="0" fontId="96" fillId="0" borderId="0" xfId="4496" applyFont="1" applyFill="1" applyBorder="1" applyProtection="1"/>
    <xf numFmtId="181" fontId="136" fillId="0" borderId="0" xfId="4498" applyNumberFormat="1" applyFont="1" applyBorder="1" applyProtection="1"/>
    <xf numFmtId="0" fontId="137" fillId="0" borderId="0" xfId="4496" applyFont="1" applyAlignment="1" applyProtection="1">
      <alignment vertical="center" wrapText="1"/>
    </xf>
    <xf numFmtId="49" fontId="96" fillId="0" borderId="0" xfId="4496" applyNumberFormat="1" applyFont="1" applyBorder="1" applyAlignment="1" applyProtection="1">
      <alignment horizontal="center"/>
    </xf>
    <xf numFmtId="182" fontId="96" fillId="0" borderId="6" xfId="4496" applyNumberFormat="1" applyFont="1" applyBorder="1" applyProtection="1"/>
    <xf numFmtId="0" fontId="96" fillId="0" borderId="0" xfId="4496" applyFont="1" applyBorder="1" applyAlignment="1" applyProtection="1">
      <alignment vertical="center"/>
    </xf>
    <xf numFmtId="182" fontId="96" fillId="0" borderId="0" xfId="4496" applyNumberFormat="1" applyFont="1" applyAlignment="1" applyProtection="1">
      <alignment vertical="center"/>
    </xf>
    <xf numFmtId="175" fontId="96" fillId="0" borderId="0" xfId="4499" applyNumberFormat="1" applyFont="1" applyFill="1" applyBorder="1" applyAlignment="1" applyProtection="1">
      <alignment horizontal="left" vertical="center"/>
    </xf>
    <xf numFmtId="0" fontId="96" fillId="0" borderId="0" xfId="4496" applyFont="1" applyAlignment="1" applyProtection="1">
      <alignment vertical="center"/>
    </xf>
    <xf numFmtId="9" fontId="96" fillId="0" borderId="0" xfId="4499" applyFont="1" applyFill="1" applyBorder="1" applyAlignment="1" applyProtection="1">
      <alignment vertical="center"/>
    </xf>
    <xf numFmtId="0" fontId="96" fillId="0" borderId="0" xfId="4496" applyFont="1" applyFill="1" applyBorder="1" applyAlignment="1" applyProtection="1">
      <alignment vertical="center"/>
    </xf>
    <xf numFmtId="183" fontId="96" fillId="0" borderId="0" xfId="4496" applyNumberFormat="1" applyFont="1" applyFill="1" applyAlignment="1" applyProtection="1">
      <alignment vertical="center" wrapText="1"/>
    </xf>
    <xf numFmtId="9" fontId="96" fillId="0" borderId="0" xfId="4499" applyFont="1" applyBorder="1" applyAlignment="1" applyProtection="1">
      <alignment vertical="center"/>
    </xf>
    <xf numFmtId="0" fontId="96" fillId="0" borderId="0" xfId="4496" applyFont="1" applyFill="1" applyAlignment="1" applyProtection="1">
      <alignment vertical="center"/>
    </xf>
    <xf numFmtId="164" fontId="96" fillId="0" borderId="0" xfId="4496" applyNumberFormat="1" applyFont="1" applyFill="1" applyAlignment="1" applyProtection="1">
      <alignment vertical="center" wrapText="1"/>
    </xf>
    <xf numFmtId="0" fontId="96" fillId="0" borderId="0" xfId="4496" applyFont="1" applyFill="1" applyBorder="1" applyAlignment="1" applyProtection="1">
      <alignment horizontal="center" vertical="center"/>
    </xf>
    <xf numFmtId="182" fontId="96" fillId="0" borderId="11" xfId="8722" applyNumberFormat="1" applyFont="1" applyBorder="1" applyProtection="1"/>
    <xf numFmtId="182" fontId="96" fillId="0" borderId="11" xfId="4496" applyNumberFormat="1" applyFont="1" applyBorder="1" applyProtection="1"/>
    <xf numFmtId="164" fontId="96" fillId="0" borderId="0" xfId="4496" applyNumberFormat="1" applyFont="1" applyAlignment="1" applyProtection="1">
      <alignment wrapText="1"/>
    </xf>
    <xf numFmtId="49" fontId="96" fillId="0" borderId="0" xfId="4496" applyNumberFormat="1" applyFont="1" applyBorder="1" applyAlignment="1" applyProtection="1">
      <alignment horizontal="left"/>
    </xf>
    <xf numFmtId="0" fontId="138" fillId="0" borderId="0" xfId="4496" applyFont="1" applyFill="1" applyBorder="1" applyProtection="1"/>
    <xf numFmtId="182" fontId="96" fillId="0" borderId="11" xfId="4496" applyNumberFormat="1" applyFont="1" applyFill="1" applyBorder="1" applyProtection="1"/>
    <xf numFmtId="0" fontId="96" fillId="0" borderId="0" xfId="4496" applyFont="1" applyFill="1" applyProtection="1"/>
    <xf numFmtId="0" fontId="96" fillId="0" borderId="0" xfId="4496" applyFont="1" applyFill="1" applyAlignment="1" applyProtection="1">
      <alignment wrapText="1"/>
    </xf>
    <xf numFmtId="9" fontId="96" fillId="0" borderId="11" xfId="4494" applyFont="1" applyFill="1" applyBorder="1" applyAlignment="1" applyProtection="1">
      <alignment horizontal="right"/>
    </xf>
    <xf numFmtId="182" fontId="96" fillId="0" borderId="11" xfId="4496" applyNumberFormat="1" applyFont="1" applyFill="1" applyBorder="1" applyAlignment="1" applyProtection="1">
      <alignment horizontal="left"/>
    </xf>
    <xf numFmtId="1" fontId="96" fillId="0" borderId="0" xfId="4496" applyNumberFormat="1" applyFont="1" applyFill="1" applyBorder="1" applyProtection="1"/>
    <xf numFmtId="2" fontId="96" fillId="0" borderId="0" xfId="4496" applyNumberFormat="1" applyFont="1" applyFill="1" applyBorder="1" applyAlignment="1" applyProtection="1">
      <alignment horizontal="center"/>
    </xf>
    <xf numFmtId="2" fontId="96" fillId="0" borderId="0" xfId="4496" applyNumberFormat="1" applyFont="1" applyFill="1" applyBorder="1" applyProtection="1"/>
    <xf numFmtId="0" fontId="135" fillId="45" borderId="3" xfId="4496" applyFont="1" applyFill="1" applyBorder="1" applyAlignment="1" applyProtection="1">
      <alignment horizontal="left" indent="1"/>
    </xf>
    <xf numFmtId="0" fontId="96" fillId="45" borderId="4" xfId="4496" applyFont="1" applyFill="1" applyBorder="1" applyProtection="1"/>
    <xf numFmtId="2" fontId="96" fillId="45" borderId="5" xfId="4496" applyNumberFormat="1" applyFont="1" applyFill="1" applyBorder="1" applyProtection="1"/>
    <xf numFmtId="1" fontId="96" fillId="0" borderId="0" xfId="4496" applyNumberFormat="1" applyFont="1" applyProtection="1"/>
    <xf numFmtId="181" fontId="96" fillId="0" borderId="0" xfId="4496" applyNumberFormat="1" applyFont="1" applyBorder="1" applyProtection="1"/>
    <xf numFmtId="165" fontId="136" fillId="0" borderId="0" xfId="4499" applyNumberFormat="1" applyFont="1" applyFill="1" applyBorder="1" applyProtection="1"/>
    <xf numFmtId="9" fontId="96" fillId="0" borderId="0" xfId="4494" applyFont="1" applyFill="1" applyProtection="1"/>
    <xf numFmtId="1" fontId="96" fillId="0" borderId="0" xfId="4496" applyNumberFormat="1" applyFont="1" applyFill="1" applyProtection="1"/>
    <xf numFmtId="0" fontId="96" fillId="0" borderId="11" xfId="4496" applyFont="1" applyBorder="1" applyAlignment="1" applyProtection="1">
      <alignment horizontal="center"/>
    </xf>
    <xf numFmtId="2" fontId="96" fillId="0" borderId="11" xfId="4496" applyNumberFormat="1" applyFont="1" applyFill="1" applyBorder="1" applyAlignment="1" applyProtection="1">
      <alignment horizontal="center"/>
    </xf>
    <xf numFmtId="0" fontId="96" fillId="0" borderId="0" xfId="4496" applyFont="1" applyFill="1" applyBorder="1" applyAlignment="1" applyProtection="1">
      <alignment vertical="top" wrapText="1"/>
    </xf>
    <xf numFmtId="0" fontId="96" fillId="0" borderId="11" xfId="4496" applyFont="1" applyFill="1" applyBorder="1" applyAlignment="1" applyProtection="1">
      <alignment horizontal="center" vertical="top" wrapText="1"/>
    </xf>
    <xf numFmtId="182" fontId="96" fillId="0" borderId="0" xfId="8722" applyNumberFormat="1" applyFont="1" applyBorder="1" applyProtection="1"/>
    <xf numFmtId="0" fontId="96" fillId="0" borderId="0" xfId="4496" applyFont="1" applyAlignment="1" applyProtection="1">
      <alignment horizontal="left" indent="1"/>
    </xf>
    <xf numFmtId="182" fontId="96" fillId="0" borderId="0" xfId="4496" applyNumberFormat="1" applyFont="1" applyBorder="1" applyProtection="1"/>
    <xf numFmtId="184" fontId="96" fillId="0" borderId="0" xfId="4496" applyNumberFormat="1" applyFont="1" applyProtection="1"/>
    <xf numFmtId="182" fontId="96" fillId="0" borderId="0" xfId="4496" applyNumberFormat="1" applyFont="1" applyProtection="1"/>
    <xf numFmtId="0" fontId="96" fillId="0" borderId="0" xfId="4496" applyFont="1" applyAlignment="1" applyProtection="1">
      <alignment horizontal="left"/>
    </xf>
    <xf numFmtId="0" fontId="96" fillId="0" borderId="0" xfId="4496" applyFont="1" applyFill="1" applyBorder="1" applyAlignment="1" applyProtection="1">
      <alignment horizontal="left" indent="1"/>
    </xf>
    <xf numFmtId="0" fontId="96" fillId="0" borderId="0" xfId="4496" applyFont="1" applyAlignment="1" applyProtection="1">
      <alignment horizontal="center"/>
    </xf>
    <xf numFmtId="1" fontId="96" fillId="0" borderId="0" xfId="4496" applyNumberFormat="1" applyFont="1" applyBorder="1" applyProtection="1"/>
    <xf numFmtId="9" fontId="96" fillId="0" borderId="0" xfId="4494" applyFont="1" applyFill="1" applyBorder="1" applyProtection="1"/>
    <xf numFmtId="3" fontId="19" fillId="0" borderId="11" xfId="271" applyNumberFormat="1" applyFont="1" applyFill="1" applyBorder="1" applyAlignment="1" applyProtection="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pplyProtection="1">
      <alignment horizontal="right"/>
    </xf>
    <xf numFmtId="168" fontId="23" fillId="0" borderId="0" xfId="0" applyNumberFormat="1" applyFont="1" applyFill="1" applyBorder="1" applyAlignment="1" applyProtection="1"/>
    <xf numFmtId="0" fontId="96" fillId="0" borderId="11" xfId="4496" applyFont="1" applyFill="1" applyBorder="1" applyAlignment="1" applyProtection="1">
      <alignment horizontal="center"/>
    </xf>
    <xf numFmtId="0" fontId="96" fillId="0" borderId="15" xfId="4496" applyFont="1" applyFill="1" applyBorder="1" applyAlignment="1" applyProtection="1">
      <alignment horizontal="center" vertical="top" wrapText="1"/>
    </xf>
    <xf numFmtId="2" fontId="96" fillId="0" borderId="15" xfId="4496" applyNumberFormat="1" applyFont="1" applyFill="1" applyBorder="1" applyAlignment="1" applyProtection="1">
      <alignment horizontal="center"/>
    </xf>
    <xf numFmtId="0" fontId="96" fillId="0" borderId="15" xfId="4496" applyFont="1" applyBorder="1" applyAlignment="1" applyProtection="1">
      <alignment horizontal="center"/>
    </xf>
    <xf numFmtId="0" fontId="96" fillId="0" borderId="15" xfId="4496" applyFont="1" applyFill="1" applyBorder="1" applyAlignment="1" applyProtection="1">
      <alignment horizontal="center"/>
    </xf>
    <xf numFmtId="0" fontId="135" fillId="0" borderId="72" xfId="4496" applyFont="1" applyFill="1" applyBorder="1" applyAlignment="1" applyProtection="1">
      <alignment horizontal="center" vertical="top" wrapText="1"/>
    </xf>
    <xf numFmtId="0" fontId="135" fillId="0" borderId="72" xfId="4496" applyFont="1" applyBorder="1" applyAlignment="1" applyProtection="1">
      <alignment horizontal="center"/>
    </xf>
    <xf numFmtId="0" fontId="171" fillId="0" borderId="0" xfId="4496" applyFont="1" applyFill="1" applyBorder="1" applyAlignment="1" applyProtection="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pplyProtection="1">
      <alignment vertical="center"/>
    </xf>
    <xf numFmtId="0" fontId="96" fillId="0" borderId="67" xfId="4496" applyFont="1" applyBorder="1" applyAlignment="1" applyProtection="1">
      <alignment vertical="center"/>
    </xf>
    <xf numFmtId="0" fontId="96" fillId="0" borderId="41" xfId="4496" applyFont="1" applyBorder="1" applyAlignment="1" applyProtection="1">
      <alignment vertical="center"/>
    </xf>
    <xf numFmtId="182" fontId="96" fillId="0" borderId="88" xfId="4496" applyNumberFormat="1" applyFont="1" applyBorder="1" applyAlignment="1" applyProtection="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pplyProtection="1">
      <alignment vertical="center"/>
    </xf>
    <xf numFmtId="0" fontId="96" fillId="0" borderId="44" xfId="4496" applyFont="1" applyBorder="1" applyAlignment="1" applyProtection="1">
      <alignment vertical="center"/>
    </xf>
    <xf numFmtId="49" fontId="96" fillId="0" borderId="0" xfId="4496" applyNumberFormat="1" applyFont="1" applyBorder="1" applyAlignment="1" applyProtection="1">
      <alignment horizontal="center" vertical="center"/>
    </xf>
    <xf numFmtId="0" fontId="96" fillId="0" borderId="66" xfId="4496" applyFont="1" applyBorder="1" applyAlignment="1" applyProtection="1">
      <alignment vertical="center"/>
    </xf>
    <xf numFmtId="0" fontId="96" fillId="0" borderId="29" xfId="4496" applyFont="1" applyBorder="1" applyAlignment="1" applyProtection="1">
      <alignment vertical="center"/>
    </xf>
    <xf numFmtId="0" fontId="96" fillId="0" borderId="29" xfId="4496" applyFont="1" applyBorder="1" applyAlignment="1" applyProtection="1">
      <alignment horizontal="right" vertical="center"/>
    </xf>
    <xf numFmtId="0" fontId="96" fillId="0" borderId="29" xfId="4496" applyFont="1" applyFill="1" applyBorder="1" applyAlignment="1" applyProtection="1">
      <alignment vertical="center"/>
    </xf>
    <xf numFmtId="5" fontId="96" fillId="0" borderId="29" xfId="4496" applyNumberFormat="1" applyFont="1" applyBorder="1" applyAlignment="1" applyProtection="1">
      <alignment vertical="center"/>
    </xf>
    <xf numFmtId="0" fontId="96" fillId="0" borderId="31" xfId="4496" applyFont="1" applyBorder="1" applyAlignment="1" applyProtection="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pplyProtection="1">
      <alignment vertical="center"/>
    </xf>
    <xf numFmtId="0" fontId="135" fillId="0" borderId="0" xfId="4496" applyFont="1" applyBorder="1" applyAlignment="1" applyProtection="1">
      <alignment vertical="center"/>
    </xf>
    <xf numFmtId="0" fontId="135" fillId="0" borderId="42" xfId="4496" applyFont="1" applyBorder="1" applyAlignment="1" applyProtection="1">
      <alignment vertical="center"/>
    </xf>
    <xf numFmtId="9" fontId="135" fillId="0" borderId="42" xfId="4499" applyFont="1" applyFill="1" applyBorder="1" applyAlignment="1" applyProtection="1">
      <alignment vertical="center"/>
    </xf>
    <xf numFmtId="182" fontId="96" fillId="0" borderId="15" xfId="4496" applyNumberFormat="1" applyFont="1" applyFill="1" applyBorder="1" applyProtection="1"/>
    <xf numFmtId="182" fontId="135" fillId="0" borderId="72" xfId="8722" applyNumberFormat="1" applyFont="1" applyBorder="1" applyProtection="1"/>
    <xf numFmtId="9" fontId="96" fillId="0" borderId="15" xfId="4494" applyFont="1" applyFill="1" applyBorder="1" applyAlignment="1" applyProtection="1">
      <alignment horizontal="right"/>
    </xf>
    <xf numFmtId="182" fontId="135" fillId="0" borderId="72" xfId="4496" applyNumberFormat="1" applyFont="1" applyBorder="1" applyProtection="1"/>
    <xf numFmtId="0" fontId="171" fillId="0" borderId="0" xfId="4496" applyFont="1" applyAlignment="1" applyProtection="1">
      <alignment horizontal="right"/>
    </xf>
    <xf numFmtId="0" fontId="96" fillId="0" borderId="0" xfId="4496" applyFont="1" applyFill="1" applyBorder="1" applyAlignment="1" applyProtection="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pplyProtection="1">
      <alignment horizontal="right" indent="1"/>
    </xf>
    <xf numFmtId="0" fontId="96" fillId="0" borderId="0" xfId="4496" applyFont="1" applyFill="1" applyBorder="1" applyAlignment="1" applyProtection="1">
      <alignment horizontal="right" vertical="top"/>
    </xf>
    <xf numFmtId="0" fontId="135" fillId="0" borderId="0" xfId="4496" applyFont="1" applyAlignment="1" applyProtection="1">
      <alignment horizontal="right"/>
    </xf>
    <xf numFmtId="0" fontId="135" fillId="0" borderId="0" xfId="4496" applyFont="1" applyProtection="1"/>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0" fontId="96" fillId="0" borderId="0" xfId="4496" applyFont="1" applyBorder="1" applyAlignment="1" applyProtection="1">
      <alignment horizontal="center"/>
    </xf>
    <xf numFmtId="184" fontId="96" fillId="0" borderId="6" xfId="4496" applyNumberFormat="1" applyFont="1" applyBorder="1" applyProtection="1"/>
    <xf numFmtId="0" fontId="135" fillId="0" borderId="0" xfId="4496" applyFont="1" applyFill="1" applyBorder="1" applyAlignment="1" applyProtection="1">
      <alignment horizontal="right" vertical="top"/>
    </xf>
    <xf numFmtId="0" fontId="135" fillId="0" borderId="0" xfId="4496" applyFont="1" applyFill="1" applyBorder="1" applyProtection="1"/>
    <xf numFmtId="182" fontId="135" fillId="0" borderId="0" xfId="4496" applyNumberFormat="1" applyFont="1" applyProtection="1"/>
    <xf numFmtId="182" fontId="96" fillId="0" borderId="6" xfId="8722" applyNumberFormat="1" applyFont="1" applyBorder="1" applyProtection="1"/>
    <xf numFmtId="184" fontId="96" fillId="0" borderId="0" xfId="4496" applyNumberFormat="1" applyFont="1" applyAlignment="1" applyProtection="1">
      <alignment horizontal="center"/>
    </xf>
    <xf numFmtId="0" fontId="96" fillId="0" borderId="6" xfId="4496" applyFont="1" applyFill="1" applyBorder="1" applyAlignment="1" applyProtection="1">
      <alignment horizontal="right" vertical="top" wrapText="1" indent="1"/>
    </xf>
    <xf numFmtId="0" fontId="96" fillId="0" borderId="71" xfId="4496" applyFont="1" applyFill="1" applyBorder="1" applyAlignment="1" applyProtection="1">
      <alignment horizontal="right" indent="1"/>
    </xf>
    <xf numFmtId="0" fontId="96" fillId="0" borderId="82" xfId="4496" applyFont="1" applyFill="1" applyBorder="1" applyAlignment="1" applyProtection="1">
      <alignment horizontal="right" indent="1"/>
    </xf>
    <xf numFmtId="0" fontId="96" fillId="0" borderId="82" xfId="4496" quotePrefix="1" applyFont="1" applyFill="1" applyBorder="1" applyAlignment="1" applyProtection="1">
      <alignment horizontal="right" indent="1"/>
    </xf>
    <xf numFmtId="0" fontId="96" fillId="0" borderId="74" xfId="4496" applyFont="1" applyFill="1" applyBorder="1" applyAlignment="1" applyProtection="1">
      <alignment horizontal="right" indent="1"/>
    </xf>
    <xf numFmtId="182" fontId="96" fillId="0" borderId="76" xfId="4496" applyNumberFormat="1" applyFont="1" applyBorder="1" applyProtection="1"/>
    <xf numFmtId="182" fontId="96" fillId="0" borderId="93" xfId="4496" applyNumberFormat="1" applyFont="1" applyBorder="1" applyProtection="1"/>
    <xf numFmtId="182" fontId="96" fillId="0" borderId="95" xfId="4496" applyNumberFormat="1" applyFont="1" applyBorder="1" applyProtection="1"/>
    <xf numFmtId="175" fontId="21" fillId="0" borderId="0" xfId="543" applyNumberFormat="1" applyFont="1" applyFill="1" applyBorder="1" applyAlignment="1" applyProtection="1">
      <alignment vertical="center"/>
    </xf>
    <xf numFmtId="10" fontId="135" fillId="0" borderId="0" xfId="4494" applyNumberFormat="1" applyFont="1" applyProtection="1"/>
    <xf numFmtId="0" fontId="21" fillId="0" borderId="0" xfId="1192" applyFont="1" applyFill="1" applyBorder="1" applyAlignment="1" applyProtection="1">
      <alignment horizontal="left" indent="1"/>
    </xf>
    <xf numFmtId="0" fontId="96" fillId="0" borderId="0" xfId="4496" applyNumberFormat="1" applyFont="1" applyProtection="1"/>
    <xf numFmtId="168" fontId="96" fillId="0" borderId="11" xfId="4499" applyNumberFormat="1" applyFont="1" applyFill="1" applyBorder="1" applyAlignment="1" applyProtection="1">
      <alignment horizontal="left" vertical="center" indent="1"/>
    </xf>
    <xf numFmtId="168" fontId="135" fillId="0" borderId="72" xfId="4499" applyNumberFormat="1" applyFont="1" applyFill="1" applyBorder="1" applyAlignment="1" applyProtection="1">
      <alignment horizontal="left" vertical="center" indent="1"/>
    </xf>
    <xf numFmtId="182" fontId="96" fillId="0" borderId="13" xfId="4496" applyNumberFormat="1" applyFont="1" applyBorder="1" applyProtection="1"/>
    <xf numFmtId="182" fontId="96" fillId="0" borderId="75" xfId="4496" applyNumberFormat="1" applyFont="1" applyBorder="1" applyProtection="1"/>
    <xf numFmtId="0" fontId="135" fillId="0" borderId="4" xfId="4496" applyFont="1" applyBorder="1" applyAlignment="1" applyProtection="1">
      <alignment horizontal="left" indent="1"/>
    </xf>
    <xf numFmtId="0" fontId="96" fillId="0" borderId="4" xfId="4496" applyFont="1" applyFill="1" applyBorder="1" applyProtection="1"/>
    <xf numFmtId="0" fontId="21" fillId="0" borderId="3" xfId="4495" applyFont="1" applyFill="1" applyBorder="1" applyAlignment="1" applyProtection="1">
      <alignment horizontal="left"/>
    </xf>
    <xf numFmtId="0" fontId="21" fillId="0" borderId="0" xfId="4495" applyFont="1" applyAlignment="1" applyProtection="1">
      <alignment horizontal="right"/>
    </xf>
    <xf numFmtId="0" fontId="14" fillId="0" borderId="58" xfId="4495" applyFont="1" applyFill="1" applyBorder="1" applyAlignment="1" applyProtection="1">
      <alignment vertical="center" wrapText="1"/>
    </xf>
    <xf numFmtId="0" fontId="32" fillId="0" borderId="0" xfId="4495" applyFont="1" applyFill="1" applyBorder="1" applyAlignment="1" applyProtection="1">
      <alignment vertical="center"/>
    </xf>
    <xf numFmtId="0" fontId="120" fillId="0" borderId="0" xfId="4496" applyFont="1" applyAlignment="1">
      <alignment vertical="center"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51" fillId="5" borderId="11" xfId="0" applyFont="1" applyFill="1" applyBorder="1" applyAlignment="1" applyProtection="1">
      <alignment horizontal="right" vertical="top" wrapText="1"/>
      <protection locked="0"/>
    </xf>
    <xf numFmtId="6" fontId="51" fillId="5" borderId="11" xfId="569" applyNumberFormat="1" applyFont="1" applyFill="1" applyBorder="1" applyAlignment="1" applyProtection="1">
      <alignment vertical="top" wrapText="1"/>
      <protection locked="0"/>
    </xf>
    <xf numFmtId="9" fontId="14" fillId="0" borderId="11" xfId="4494" applyFont="1" applyBorder="1" applyAlignment="1">
      <alignment horizontal="center"/>
    </xf>
    <xf numFmtId="9" fontId="14" fillId="0" borderId="0" xfId="4494" applyFont="1" applyFill="1" applyAlignment="1">
      <alignment horizontal="center"/>
    </xf>
    <xf numFmtId="168" fontId="51" fillId="5" borderId="11" xfId="0" applyNumberFormat="1" applyFont="1" applyFill="1" applyBorder="1" applyAlignment="1" applyProtection="1">
      <alignment vertical="top" wrapText="1"/>
      <protection locked="0"/>
    </xf>
    <xf numFmtId="3" fontId="14" fillId="0" borderId="0" xfId="0" applyNumberFormat="1" applyFont="1"/>
    <xf numFmtId="6" fontId="51" fillId="5" borderId="11" xfId="569" applyNumberFormat="1" applyFont="1" applyFill="1" applyBorder="1" applyAlignment="1" applyProtection="1">
      <alignment vertical="top" wrapText="1"/>
      <protection locked="0"/>
    </xf>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3"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2"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4" fillId="0" borderId="0" xfId="1192"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vertical="top" wrapText="1"/>
    </xf>
    <xf numFmtId="0" fontId="14" fillId="0" borderId="0" xfId="0" applyFont="1" applyAlignment="1" applyProtection="1">
      <alignment horizontal="left"/>
    </xf>
    <xf numFmtId="0" fontId="32" fillId="0" borderId="0" xfId="1192" applyFont="1" applyAlignment="1" applyProtection="1">
      <alignment horizontal="left"/>
    </xf>
    <xf numFmtId="0" fontId="14" fillId="0" borderId="0" xfId="1192" applyFont="1" applyFill="1" applyAlignment="1" applyProtection="1">
      <alignment horizontal="left"/>
    </xf>
    <xf numFmtId="0" fontId="14" fillId="0" borderId="0" xfId="1192" applyFont="1" applyFill="1" applyAlignment="1" applyProtection="1">
      <alignment horizontal="left" vertical="top" wrapText="1"/>
    </xf>
    <xf numFmtId="4" fontId="14" fillId="0" borderId="0" xfId="1192" applyNumberFormat="1" applyFont="1" applyFill="1" applyAlignment="1" applyProtection="1">
      <alignment horizontal="left" vertical="top" wrapText="1"/>
    </xf>
    <xf numFmtId="0" fontId="21" fillId="0" borderId="4" xfId="569" applyFont="1" applyBorder="1" applyAlignment="1" applyProtection="1">
      <alignment horizontal="left"/>
    </xf>
    <xf numFmtId="0" fontId="32" fillId="0" borderId="0" xfId="0" applyFont="1" applyFill="1" applyAlignment="1">
      <alignment horizontal="left"/>
    </xf>
    <xf numFmtId="0" fontId="21" fillId="0" borderId="0" xfId="271" applyFont="1" applyFill="1" applyAlignment="1">
      <alignment horizontal="left" vertical="top" wrapText="1"/>
    </xf>
    <xf numFmtId="0" fontId="32" fillId="0" borderId="0" xfId="0" applyFont="1" applyAlignment="1">
      <alignment horizontal="left"/>
    </xf>
    <xf numFmtId="0" fontId="0" fillId="0" borderId="0" xfId="0" applyAlignment="1">
      <alignment horizontal="left" vertical="top" wrapText="1"/>
    </xf>
    <xf numFmtId="0" fontId="23" fillId="0" borderId="0" xfId="0" applyFont="1" applyAlignment="1" applyProtection="1">
      <alignment horizontal="left"/>
    </xf>
    <xf numFmtId="0" fontId="14" fillId="0" borderId="0" xfId="271" applyFont="1" applyFill="1" applyAlignment="1" applyProtection="1">
      <alignment horizontal="left" vertical="top" wrapText="1"/>
      <protection locked="0"/>
    </xf>
    <xf numFmtId="0" fontId="14" fillId="0" borderId="0" xfId="1192" applyFont="1" applyBorder="1" applyAlignment="1" applyProtection="1">
      <alignment horizontal="left" vertical="top" wrapText="1"/>
    </xf>
    <xf numFmtId="0" fontId="14" fillId="0" borderId="0" xfId="1192" applyFont="1" applyFill="1" applyBorder="1" applyAlignment="1" applyProtection="1">
      <alignment horizontal="left" vertical="top" wrapText="1"/>
    </xf>
    <xf numFmtId="0" fontId="14" fillId="0" borderId="0" xfId="1192" applyFont="1" applyAlignment="1" applyProtection="1">
      <alignment horizontal="left" vertical="top" wrapText="1"/>
    </xf>
    <xf numFmtId="0" fontId="15" fillId="0" borderId="0" xfId="244" applyAlignment="1">
      <alignment horizontal="left"/>
    </xf>
    <xf numFmtId="0" fontId="21" fillId="0" borderId="0" xfId="0" applyFont="1" applyAlignment="1">
      <alignment horizontal="left"/>
    </xf>
    <xf numFmtId="0" fontId="21" fillId="0" borderId="16" xfId="0" applyFont="1" applyFill="1" applyBorder="1" applyAlignment="1" applyProtection="1">
      <alignment horizontal="left"/>
    </xf>
    <xf numFmtId="0" fontId="14" fillId="0" borderId="27" xfId="0" applyFont="1" applyBorder="1" applyAlignment="1">
      <alignment horizontal="left"/>
    </xf>
    <xf numFmtId="0" fontId="14" fillId="0" borderId="0" xfId="1192" applyFont="1" applyAlignment="1" applyProtection="1">
      <alignment horizontal="left"/>
    </xf>
    <xf numFmtId="0" fontId="14" fillId="0" borderId="0" xfId="0" applyFont="1" applyFill="1" applyAlignment="1" applyProtection="1">
      <alignment horizontal="left" vertical="top" wrapText="1"/>
    </xf>
    <xf numFmtId="4" fontId="14" fillId="0" borderId="0" xfId="569" applyNumberFormat="1" applyFont="1" applyFill="1" applyAlignment="1" applyProtection="1">
      <alignment horizontal="left" vertical="top" wrapText="1"/>
    </xf>
    <xf numFmtId="0" fontId="32" fillId="0" borderId="0" xfId="569" applyFont="1" applyAlignment="1">
      <alignment horizontal="left"/>
    </xf>
    <xf numFmtId="0" fontId="14" fillId="0" borderId="0" xfId="569" applyFont="1" applyAlignment="1">
      <alignment horizontal="left" vertical="top" wrapText="1"/>
    </xf>
    <xf numFmtId="0" fontId="14" fillId="0" borderId="0" xfId="569" applyFont="1" applyFill="1" applyAlignment="1">
      <alignment horizontal="left" vertical="top" wrapText="1"/>
    </xf>
    <xf numFmtId="0" fontId="14" fillId="0" borderId="0" xfId="569" applyFont="1" applyAlignment="1">
      <alignment horizontal="left"/>
    </xf>
    <xf numFmtId="0" fontId="32" fillId="0" borderId="0" xfId="0" applyFont="1" applyBorder="1" applyAlignment="1">
      <alignment horizontal="left"/>
    </xf>
    <xf numFmtId="0" fontId="14" fillId="0" borderId="0" xfId="0" applyFont="1" applyBorder="1" applyAlignment="1">
      <alignment horizontal="left"/>
    </xf>
    <xf numFmtId="4" fontId="14" fillId="0" borderId="0" xfId="1192" applyNumberFormat="1" applyFont="1" applyAlignment="1" applyProtection="1">
      <alignment horizontal="left" vertical="top" wrapText="1"/>
    </xf>
    <xf numFmtId="0" fontId="32" fillId="0" borderId="0" xfId="569" applyFont="1" applyBorder="1" applyAlignment="1">
      <alignment horizontal="left" vertical="top" wrapText="1"/>
    </xf>
    <xf numFmtId="0" fontId="14" fillId="0" borderId="0" xfId="569" applyFont="1" applyBorder="1" applyAlignment="1">
      <alignment horizontal="left" vertical="top"/>
    </xf>
    <xf numFmtId="0" fontId="32" fillId="0" borderId="0" xfId="0" applyFont="1" applyAlignment="1" applyProtection="1">
      <alignment horizontal="left"/>
    </xf>
    <xf numFmtId="0" fontId="14" fillId="0" borderId="0" xfId="271" applyFont="1" applyAlignment="1">
      <alignment horizontal="left" vertical="top" wrapText="1"/>
    </xf>
    <xf numFmtId="0" fontId="23" fillId="0" borderId="0" xfId="0" applyFont="1" applyAlignment="1" applyProtection="1">
      <alignment horizontal="left" vertical="top"/>
    </xf>
    <xf numFmtId="0" fontId="32" fillId="0" borderId="0" xfId="0" applyFont="1" applyAlignment="1">
      <alignment horizontal="left" vertical="top" wrapText="1"/>
    </xf>
    <xf numFmtId="0" fontId="32" fillId="0" borderId="0" xfId="0" applyFont="1" applyAlignment="1" applyProtection="1">
      <alignment horizontal="center"/>
    </xf>
    <xf numFmtId="0" fontId="0" fillId="0" borderId="0" xfId="0" applyAlignment="1" applyProtection="1"/>
    <xf numFmtId="0" fontId="32" fillId="0" borderId="0" xfId="0" applyFont="1" applyFill="1" applyAlignment="1">
      <alignment horizontal="center"/>
    </xf>
    <xf numFmtId="0" fontId="0" fillId="0" borderId="0" xfId="0" applyFill="1" applyAlignment="1">
      <alignment horizontal="center"/>
    </xf>
    <xf numFmtId="0" fontId="21" fillId="0" borderId="0" xfId="0" applyFont="1" applyFill="1" applyAlignment="1" applyProtection="1">
      <alignment horizontal="center"/>
    </xf>
    <xf numFmtId="0" fontId="0" fillId="0" borderId="0" xfId="0" applyFill="1" applyAlignment="1" applyProtection="1"/>
    <xf numFmtId="0" fontId="21" fillId="0" borderId="4" xfId="569" applyFont="1" applyBorder="1" applyAlignment="1">
      <alignment horizontal="left"/>
    </xf>
    <xf numFmtId="49" fontId="14" fillId="0" borderId="0" xfId="0" applyNumberFormat="1" applyFont="1" applyFill="1" applyAlignment="1">
      <alignment horizontal="left" vertical="top" wrapText="1"/>
    </xf>
    <xf numFmtId="49" fontId="14" fillId="0" borderId="0" xfId="1192" applyNumberFormat="1" applyFont="1" applyFill="1" applyAlignment="1">
      <alignment horizontal="left" vertical="top" wrapText="1"/>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4" fontId="15" fillId="0" borderId="0" xfId="244" applyNumberFormat="1" applyFill="1" applyAlignment="1" applyProtection="1">
      <alignment horizontal="left"/>
    </xf>
    <xf numFmtId="0" fontId="14" fillId="0" borderId="0" xfId="271" applyFont="1" applyFill="1" applyAlignment="1">
      <alignment horizontal="left" vertical="top" wrapText="1"/>
    </xf>
    <xf numFmtId="0" fontId="14" fillId="0" borderId="0" xfId="569" applyFont="1" applyFill="1" applyBorder="1" applyAlignment="1">
      <alignment horizontal="left" vertical="top"/>
    </xf>
    <xf numFmtId="0" fontId="14" fillId="0" borderId="0" xfId="569" applyFont="1" applyAlignment="1">
      <alignment horizontal="left" vertical="top"/>
    </xf>
    <xf numFmtId="0" fontId="21" fillId="0" borderId="0" xfId="569" applyFont="1" applyAlignment="1">
      <alignment horizontal="left" vertical="top"/>
    </xf>
    <xf numFmtId="0" fontId="14" fillId="0" borderId="0" xfId="0" applyFont="1" applyAlignment="1">
      <alignment horizontal="left" vertical="top"/>
    </xf>
    <xf numFmtId="4" fontId="14" fillId="0" borderId="0" xfId="0" applyNumberFormat="1" applyFont="1" applyAlignment="1" applyProtection="1">
      <alignment horizontal="left" vertical="top" wrapText="1"/>
    </xf>
    <xf numFmtId="0" fontId="15" fillId="0" borderId="0" xfId="244" quotePrefix="1" applyAlignment="1" applyProtection="1">
      <alignment horizontal="left"/>
    </xf>
    <xf numFmtId="0" fontId="21" fillId="0" borderId="4" xfId="0" applyFont="1" applyBorder="1" applyAlignment="1" applyProtection="1">
      <alignment horizontal="left"/>
    </xf>
    <xf numFmtId="0" fontId="21" fillId="0" borderId="4" xfId="569" applyFont="1" applyBorder="1" applyAlignment="1" applyProtection="1">
      <alignment horizontal="left" vertical="top"/>
    </xf>
    <xf numFmtId="0" fontId="14" fillId="0" borderId="0" xfId="0" applyFont="1" applyAlignment="1" applyProtection="1">
      <alignment horizontal="left" vertical="top"/>
    </xf>
    <xf numFmtId="0" fontId="21" fillId="0" borderId="4" xfId="569" applyFont="1" applyFill="1" applyBorder="1" applyAlignment="1" applyProtection="1">
      <alignment horizontal="left"/>
    </xf>
    <xf numFmtId="0" fontId="32" fillId="0" borderId="0" xfId="569" applyFont="1" applyFill="1" applyBorder="1" applyAlignment="1">
      <alignment horizontal="left" vertical="top"/>
    </xf>
    <xf numFmtId="0" fontId="32" fillId="0" borderId="0" xfId="0" applyFont="1" applyAlignment="1">
      <alignment horizontal="left" wrapText="1"/>
    </xf>
    <xf numFmtId="0" fontId="14" fillId="0" borderId="0" xfId="0" applyFont="1" applyFill="1" applyAlignment="1">
      <alignment horizontal="left"/>
    </xf>
    <xf numFmtId="4" fontId="14" fillId="0" borderId="0" xfId="569" applyNumberFormat="1" applyFont="1" applyFill="1" applyAlignment="1" applyProtection="1">
      <alignment horizontal="left"/>
    </xf>
    <xf numFmtId="4" fontId="32" fillId="0" borderId="0" xfId="569" applyNumberFormat="1" applyFont="1" applyFill="1" applyAlignment="1" applyProtection="1">
      <alignment horizontal="left" vertical="top" wrapText="1"/>
    </xf>
    <xf numFmtId="0" fontId="112" fillId="0" borderId="0" xfId="569" applyFont="1" applyAlignment="1">
      <alignment horizontal="center"/>
    </xf>
    <xf numFmtId="0" fontId="113" fillId="0" borderId="0" xfId="569" applyFont="1" applyAlignment="1"/>
    <xf numFmtId="0" fontId="14" fillId="0" borderId="0" xfId="569" applyFont="1" applyAlignment="1">
      <alignment wrapText="1"/>
    </xf>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applyAlignment="1"/>
    <xf numFmtId="0" fontId="14" fillId="0" borderId="0" xfId="1192" applyFont="1" applyAlignment="1">
      <alignment vertical="top" wrapText="1"/>
    </xf>
    <xf numFmtId="0" fontId="14" fillId="0" borderId="0" xfId="1192" applyAlignment="1">
      <alignment vertical="top" wrapText="1"/>
    </xf>
    <xf numFmtId="0" fontId="14" fillId="0" borderId="0" xfId="569" applyFont="1" applyAlignment="1"/>
    <xf numFmtId="4" fontId="14" fillId="0" borderId="0" xfId="0" applyNumberFormat="1" applyFont="1" applyFill="1" applyBorder="1" applyAlignment="1" applyProtection="1">
      <alignment horizontal="left"/>
    </xf>
    <xf numFmtId="0" fontId="21" fillId="0" borderId="4" xfId="0" applyFont="1" applyFill="1" applyBorder="1" applyAlignment="1" applyProtection="1">
      <alignment horizontal="left"/>
    </xf>
    <xf numFmtId="0" fontId="32" fillId="0" borderId="0" xfId="0" applyFont="1" applyFill="1" applyBorder="1" applyAlignment="1">
      <alignment horizontal="left" vertical="top"/>
    </xf>
    <xf numFmtId="0" fontId="14" fillId="0" borderId="0" xfId="0" applyFont="1" applyFill="1" applyBorder="1" applyAlignment="1">
      <alignment horizontal="left" vertical="top"/>
    </xf>
    <xf numFmtId="4" fontId="14" fillId="0" borderId="0" xfId="0" applyNumberFormat="1" applyFont="1" applyFill="1" applyAlignment="1" applyProtection="1">
      <alignment horizontal="left"/>
    </xf>
    <xf numFmtId="0" fontId="21" fillId="0" borderId="0" xfId="0" applyFont="1" applyFill="1" applyAlignment="1">
      <alignment horizontal="left" vertical="top" wrapText="1"/>
    </xf>
    <xf numFmtId="49" fontId="14" fillId="0" borderId="0" xfId="0" applyNumberFormat="1" applyFont="1" applyAlignment="1">
      <alignment horizontal="left" vertical="top" wrapText="1"/>
    </xf>
    <xf numFmtId="0" fontId="14" fillId="0" borderId="0" xfId="0" applyFont="1" applyFill="1" applyBorder="1" applyAlignment="1">
      <alignment horizontal="left" vertical="center" wrapText="1"/>
    </xf>
    <xf numFmtId="0" fontId="14" fillId="0" borderId="0" xfId="0" applyFont="1" applyFill="1" applyBorder="1" applyAlignment="1">
      <alignment horizontal="left" wrapText="1"/>
    </xf>
    <xf numFmtId="0" fontId="14" fillId="0" borderId="0" xfId="569" applyAlignment="1" applyProtection="1">
      <alignment horizontal="left" wrapText="1"/>
    </xf>
    <xf numFmtId="0" fontId="14" fillId="0" borderId="0" xfId="0" applyFont="1" applyFill="1" applyBorder="1" applyAlignment="1">
      <alignment horizontal="left" vertical="top" wrapText="1"/>
    </xf>
    <xf numFmtId="0" fontId="14" fillId="0" borderId="0" xfId="0" applyFont="1" applyFill="1" applyBorder="1" applyAlignment="1">
      <alignment vertical="top" wrapText="1"/>
    </xf>
    <xf numFmtId="0" fontId="15" fillId="0" borderId="0" xfId="244" applyFill="1" applyBorder="1" applyAlignment="1">
      <alignment horizontal="left" vertical="top" wrapText="1"/>
    </xf>
    <xf numFmtId="4" fontId="14" fillId="0" borderId="0" xfId="0" applyNumberFormat="1" applyFont="1" applyAlignment="1" applyProtection="1">
      <alignment horizontal="left"/>
    </xf>
    <xf numFmtId="0" fontId="21" fillId="0" borderId="0" xfId="0" applyFont="1" applyAlignment="1">
      <alignment vertical="top" wrapText="1"/>
    </xf>
    <xf numFmtId="0" fontId="32" fillId="0" borderId="0" xfId="1192" applyFont="1" applyFill="1" applyAlignment="1">
      <alignment horizontal="left" vertical="top" wrapText="1"/>
    </xf>
    <xf numFmtId="0" fontId="21" fillId="0" borderId="0" xfId="1192" applyFont="1" applyFill="1" applyAlignment="1">
      <alignment horizontal="left" vertical="top" wrapText="1"/>
    </xf>
    <xf numFmtId="0" fontId="32" fillId="0" borderId="0" xfId="0" applyFont="1" applyFill="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32" fillId="0" borderId="0" xfId="569" applyFont="1" applyAlignment="1">
      <alignment horizontal="left" vertical="top" wrapText="1"/>
    </xf>
    <xf numFmtId="0" fontId="14" fillId="0" borderId="0" xfId="569" applyFont="1" applyAlignment="1" applyProtection="1">
      <alignment horizontal="left" vertical="top"/>
    </xf>
    <xf numFmtId="0" fontId="14" fillId="0" borderId="0" xfId="569" applyFont="1" applyFill="1" applyAlignment="1">
      <alignment vertical="top" wrapText="1"/>
    </xf>
    <xf numFmtId="0" fontId="14" fillId="0" borderId="0" xfId="569" applyFont="1" applyAlignment="1">
      <alignment vertical="top" wrapText="1"/>
    </xf>
    <xf numFmtId="0" fontId="14" fillId="0" borderId="0" xfId="569" applyFont="1" applyAlignment="1" applyProtection="1">
      <alignment horizontal="left"/>
    </xf>
    <xf numFmtId="0" fontId="14" fillId="0" borderId="0" xfId="1192" applyFont="1" applyFill="1" applyAlignment="1">
      <alignment horizontal="left"/>
    </xf>
    <xf numFmtId="0" fontId="32" fillId="0" borderId="0" xfId="569" applyFont="1" applyBorder="1" applyAlignment="1">
      <alignment horizontal="left"/>
    </xf>
    <xf numFmtId="0" fontId="14" fillId="0" borderId="0" xfId="569" applyFont="1" applyBorder="1" applyAlignment="1">
      <alignment horizontal="left"/>
    </xf>
    <xf numFmtId="0" fontId="14" fillId="0" borderId="0" xfId="569" applyFont="1" applyAlignment="1" applyProtection="1">
      <alignment horizontal="left" vertical="top" wrapText="1"/>
    </xf>
    <xf numFmtId="0" fontId="21" fillId="0" borderId="16" xfId="569" applyFont="1" applyFill="1" applyBorder="1" applyAlignment="1" applyProtection="1">
      <alignment horizontal="left"/>
    </xf>
    <xf numFmtId="0" fontId="14" fillId="0" borderId="0" xfId="569" applyAlignment="1">
      <alignment horizontal="left" vertical="top" wrapText="1"/>
    </xf>
    <xf numFmtId="0" fontId="21" fillId="0" borderId="0" xfId="569" applyFont="1" applyFill="1" applyAlignment="1" applyProtection="1">
      <alignment horizontal="center"/>
    </xf>
    <xf numFmtId="0" fontId="14" fillId="0" borderId="0" xfId="569" applyFont="1" applyFill="1" applyAlignment="1" applyProtection="1"/>
    <xf numFmtId="0" fontId="14" fillId="0" borderId="0" xfId="1192" applyFont="1" applyAlignment="1">
      <alignment horizontal="left"/>
    </xf>
    <xf numFmtId="0" fontId="14" fillId="0" borderId="0" xfId="569" applyFont="1" applyBorder="1" applyAlignment="1">
      <alignment horizontal="left" vertical="top" wrapText="1"/>
    </xf>
    <xf numFmtId="0" fontId="15" fillId="0" borderId="0" xfId="244" applyNumberFormat="1" applyFill="1" applyAlignment="1" applyProtection="1">
      <alignment horizontal="left"/>
    </xf>
    <xf numFmtId="0" fontId="14" fillId="0" borderId="0" xfId="569" applyFont="1" applyFill="1" applyAlignment="1" applyProtection="1">
      <alignment horizontal="left" vertical="top" wrapText="1"/>
    </xf>
    <xf numFmtId="0" fontId="14" fillId="0" borderId="0" xfId="569" applyFill="1" applyAlignment="1" applyProtection="1"/>
    <xf numFmtId="0" fontId="14" fillId="0" borderId="0" xfId="569" applyFont="1" applyFill="1" applyAlignment="1">
      <alignment horizontal="left" vertical="center" wrapText="1"/>
    </xf>
    <xf numFmtId="0" fontId="21" fillId="0" borderId="0" xfId="0" applyFont="1" applyAlignment="1">
      <alignment horizontal="left" vertical="top"/>
    </xf>
    <xf numFmtId="0" fontId="32" fillId="0" borderId="0" xfId="569" applyFont="1" applyFill="1" applyAlignment="1">
      <alignment horizontal="center"/>
    </xf>
    <xf numFmtId="0" fontId="14" fillId="0" borderId="0" xfId="569" applyFill="1" applyAlignment="1">
      <alignment horizontal="center"/>
    </xf>
    <xf numFmtId="0" fontId="32" fillId="0" borderId="0" xfId="569" applyFont="1" applyAlignment="1">
      <alignment horizontal="left" wrapText="1"/>
    </xf>
    <xf numFmtId="0" fontId="32" fillId="0" borderId="0" xfId="569" applyFont="1" applyAlignment="1" applyProtection="1">
      <alignment horizontal="left"/>
    </xf>
    <xf numFmtId="4" fontId="14" fillId="0" borderId="0" xfId="569" applyNumberFormat="1" applyFont="1" applyAlignment="1" applyProtection="1">
      <alignment horizontal="left" vertical="top" wrapText="1"/>
    </xf>
    <xf numFmtId="0" fontId="14" fillId="0" borderId="0" xfId="1192" applyFont="1" applyFill="1" applyAlignment="1">
      <alignment vertical="top" wrapText="1"/>
    </xf>
    <xf numFmtId="0" fontId="21" fillId="0" borderId="0" xfId="569" applyFont="1" applyAlignment="1">
      <alignment horizontal="left"/>
    </xf>
    <xf numFmtId="0" fontId="21" fillId="0" borderId="4" xfId="0" applyFont="1" applyBorder="1" applyAlignment="1" applyProtection="1">
      <alignment horizontal="left" vertical="top"/>
    </xf>
    <xf numFmtId="4" fontId="32" fillId="0" borderId="0" xfId="0" applyNumberFormat="1" applyFont="1" applyFill="1" applyAlignment="1" applyProtection="1">
      <alignment horizontal="left" vertical="top" wrapText="1"/>
    </xf>
    <xf numFmtId="0" fontId="14" fillId="0" borderId="0" xfId="1192" applyFont="1" applyFill="1" applyAlignment="1" applyProtection="1">
      <alignment horizontal="left" vertical="top" wrapText="1"/>
      <protection locked="0"/>
    </xf>
    <xf numFmtId="0" fontId="14" fillId="0" borderId="27" xfId="569" applyFont="1" applyBorder="1" applyAlignment="1">
      <alignment horizontal="left"/>
    </xf>
    <xf numFmtId="0" fontId="15" fillId="0" borderId="0" xfId="244" applyAlignment="1" applyProtection="1">
      <alignment horizontal="left" vertical="top" wrapText="1"/>
    </xf>
    <xf numFmtId="0" fontId="14" fillId="0" borderId="0" xfId="569" applyFont="1" applyFill="1" applyAlignment="1">
      <alignment horizontal="left"/>
    </xf>
    <xf numFmtId="0" fontId="32" fillId="0" borderId="0" xfId="569" applyFont="1" applyAlignment="1" applyProtection="1">
      <alignment horizontal="center"/>
    </xf>
    <xf numFmtId="0" fontId="21" fillId="0" borderId="0" xfId="569" applyFont="1" applyAlignment="1" applyProtection="1">
      <alignment horizontal="center"/>
    </xf>
    <xf numFmtId="0" fontId="14" fillId="0" borderId="15" xfId="569" applyBorder="1" applyAlignment="1" applyProtection="1">
      <alignment horizontal="center" vertical="top" wrapText="1"/>
    </xf>
    <xf numFmtId="0" fontId="14" fillId="0" borderId="14" xfId="569" applyBorder="1" applyAlignment="1" applyProtection="1">
      <alignment horizontal="center" vertical="top" wrapText="1"/>
    </xf>
    <xf numFmtId="0" fontId="14" fillId="0" borderId="13" xfId="569" applyBorder="1" applyAlignment="1" applyProtection="1">
      <alignment horizontal="center" vertical="top" wrapText="1"/>
    </xf>
    <xf numFmtId="0" fontId="14" fillId="0" borderId="0" xfId="1192" applyFont="1" applyAlignment="1" applyProtection="1">
      <alignment vertical="top" wrapText="1"/>
    </xf>
    <xf numFmtId="0" fontId="32" fillId="0" borderId="0" xfId="569" applyFont="1" applyFill="1" applyAlignment="1">
      <alignment horizontal="left"/>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14" fillId="5" borderId="3" xfId="0" applyNumberFormat="1" applyFont="1" applyFill="1" applyBorder="1" applyAlignment="1" applyProtection="1">
      <alignment horizontal="right" vertical="top"/>
      <protection locked="0"/>
    </xf>
    <xf numFmtId="0" fontId="23" fillId="5" borderId="4" xfId="0" applyNumberFormat="1" applyFont="1" applyFill="1" applyBorder="1" applyAlignment="1" applyProtection="1">
      <alignment horizontal="right" vertical="top"/>
      <protection locked="0"/>
    </xf>
    <xf numFmtId="0" fontId="23" fillId="5" borderId="5" xfId="0" applyNumberFormat="1" applyFont="1" applyFill="1" applyBorder="1" applyAlignment="1" applyProtection="1">
      <alignment horizontal="right" vertical="top"/>
      <protection locked="0"/>
    </xf>
    <xf numFmtId="0" fontId="21" fillId="0" borderId="11" xfId="0" applyFont="1" applyFill="1" applyBorder="1" applyAlignment="1" applyProtection="1">
      <alignment horizontal="center" vertical="top" wrapText="1"/>
    </xf>
    <xf numFmtId="0" fontId="14" fillId="5" borderId="3" xfId="0" applyFont="1" applyFill="1" applyBorder="1" applyAlignment="1" applyProtection="1">
      <alignment horizontal="center"/>
      <protection locked="0"/>
    </xf>
    <xf numFmtId="3" fontId="23" fillId="5" borderId="11" xfId="0" applyNumberFormat="1" applyFont="1" applyFill="1" applyBorder="1" applyAlignment="1" applyProtection="1">
      <alignment horizontal="center"/>
      <protection locked="0"/>
    </xf>
    <xf numFmtId="10" fontId="23" fillId="0" borderId="11" xfId="0" applyNumberFormat="1" applyFont="1" applyFill="1" applyBorder="1" applyAlignment="1" applyProtection="1">
      <alignment horizontal="center"/>
    </xf>
    <xf numFmtId="168" fontId="23" fillId="0" borderId="11" xfId="0" applyNumberFormat="1" applyFont="1" applyFill="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5" borderId="3" xfId="0" applyFont="1" applyFill="1" applyBorder="1" applyAlignment="1" applyProtection="1">
      <alignment horizontal="center"/>
    </xf>
    <xf numFmtId="0" fontId="23" fillId="45" borderId="4" xfId="0" applyFont="1" applyFill="1" applyBorder="1" applyAlignment="1" applyProtection="1">
      <alignment horizontal="center"/>
    </xf>
    <xf numFmtId="0" fontId="23" fillId="45" borderId="5" xfId="0" applyFont="1" applyFill="1" applyBorder="1" applyAlignment="1" applyProtection="1">
      <alignment horizontal="center"/>
    </xf>
    <xf numFmtId="0" fontId="0" fillId="0" borderId="6" xfId="0" applyFill="1" applyBorder="1" applyAlignment="1" applyProtection="1">
      <alignment horizontal="left"/>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0" fontId="23" fillId="45" borderId="11" xfId="0" applyFont="1" applyFill="1" applyBorder="1" applyAlignment="1" applyProtection="1">
      <alignment horizontal="center"/>
    </xf>
    <xf numFmtId="0" fontId="0" fillId="0" borderId="11" xfId="0" applyBorder="1" applyAlignment="1" applyProtection="1">
      <alignment horizontal="center"/>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3" fillId="0" borderId="11" xfId="0"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2" borderId="11" xfId="0" applyFont="1" applyFill="1" applyBorder="1" applyAlignment="1" applyProtection="1">
      <alignment horizontal="center"/>
    </xf>
    <xf numFmtId="0" fontId="14"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51" fillId="5" borderId="3" xfId="0" applyNumberFormat="1" applyFont="1" applyFill="1" applyBorder="1" applyAlignment="1" applyProtection="1">
      <alignment horizontal="center"/>
      <protection locked="0"/>
    </xf>
    <xf numFmtId="175" fontId="51" fillId="5" borderId="4" xfId="0" applyNumberFormat="1" applyFont="1" applyFill="1" applyBorder="1" applyAlignment="1" applyProtection="1">
      <alignment horizontal="center"/>
      <protection locked="0"/>
    </xf>
    <xf numFmtId="175" fontId="5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7"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0" fontId="21"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4" fillId="0" borderId="11" xfId="543" applyFont="1" applyFill="1" applyBorder="1" applyAlignment="1" applyProtection="1">
      <alignment horizontal="center"/>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0" borderId="3" xfId="543" applyNumberFormat="1" applyFont="1" applyFill="1" applyBorder="1" applyAlignment="1" applyProtection="1">
      <alignment horizontal="center"/>
    </xf>
    <xf numFmtId="168" fontId="14" fillId="10" borderId="4" xfId="543" applyNumberFormat="1" applyFont="1" applyFill="1" applyBorder="1" applyAlignment="1" applyProtection="1">
      <alignment horizontal="center"/>
    </xf>
    <xf numFmtId="168" fontId="14" fillId="10"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0" fontId="21" fillId="10" borderId="3" xfId="543" applyFont="1" applyFill="1" applyBorder="1" applyAlignment="1" applyProtection="1">
      <alignment horizontal="center"/>
    </xf>
    <xf numFmtId="0" fontId="21" fillId="10" borderId="4" xfId="543" applyFont="1" applyFill="1" applyBorder="1" applyAlignment="1" applyProtection="1">
      <alignment horizontal="center"/>
    </xf>
    <xf numFmtId="0" fontId="21" fillId="10"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4"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3"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3"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23" fillId="5" borderId="11" xfId="0" applyNumberFormat="1" applyFont="1" applyFill="1" applyBorder="1" applyAlignment="1" applyProtection="1">
      <alignment horizontal="center"/>
      <protection locked="0"/>
    </xf>
    <xf numFmtId="9" fontId="166" fillId="44" borderId="8" xfId="0" applyNumberFormat="1" applyFont="1" applyFill="1" applyBorder="1" applyAlignment="1" applyProtection="1">
      <alignment horizontal="center"/>
    </xf>
    <xf numFmtId="9" fontId="166" fillId="44" borderId="0" xfId="0" applyNumberFormat="1" applyFont="1" applyFill="1" applyBorder="1" applyAlignment="1" applyProtection="1">
      <alignment horizontal="center"/>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0" fontId="4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4"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3" fillId="5" borderId="4" xfId="0" applyNumberFormat="1" applyFont="1" applyFill="1" applyBorder="1" applyAlignment="1" applyProtection="1">
      <alignment horizontal="lef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3" fillId="5" borderId="5" xfId="0"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52" fillId="0" borderId="1" xfId="0" applyFont="1" applyBorder="1" applyAlignment="1" applyProtection="1">
      <alignment horizontal="center" wrapText="1"/>
    </xf>
    <xf numFmtId="0" fontId="52" fillId="0" borderId="2" xfId="0" applyFont="1" applyBorder="1" applyAlignment="1" applyProtection="1">
      <alignment horizontal="center" wrapText="1"/>
    </xf>
    <xf numFmtId="0" fontId="52" fillId="0" borderId="7" xfId="0" applyFont="1" applyBorder="1" applyAlignment="1" applyProtection="1">
      <alignment horizontal="center" wrapText="1"/>
    </xf>
    <xf numFmtId="0" fontId="52" fillId="0" borderId="8"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12" xfId="0" applyFont="1" applyBorder="1" applyAlignment="1" applyProtection="1">
      <alignment horizontal="center" wrapText="1"/>
    </xf>
    <xf numFmtId="0" fontId="52" fillId="0" borderId="9" xfId="0" applyFont="1" applyBorder="1" applyAlignment="1" applyProtection="1">
      <alignment horizontal="center" wrapText="1"/>
    </xf>
    <xf numFmtId="0" fontId="52" fillId="0" borderId="6" xfId="0" applyFont="1" applyBorder="1" applyAlignment="1" applyProtection="1">
      <alignment horizontal="center" wrapText="1"/>
    </xf>
    <xf numFmtId="0" fontId="52"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4" fillId="0" borderId="1" xfId="0" applyFont="1" applyFill="1" applyBorder="1" applyAlignment="1" applyProtection="1">
      <alignment horizontal="center" vertical="top" wrapText="1"/>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3" fontId="42" fillId="10"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0" xfId="543" applyFont="1" applyFill="1" applyAlignment="1" applyProtection="1">
      <alignment horizontal="center"/>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23" fillId="5" borderId="3" xfId="0" quotePrefix="1" applyNumberFormat="1" applyFont="1" applyFill="1" applyBorder="1" applyAlignment="1" applyProtection="1">
      <alignment horizontal="center"/>
      <protection locked="0"/>
    </xf>
    <xf numFmtId="1" fontId="23" fillId="5" borderId="4" xfId="0" quotePrefix="1" applyNumberFormat="1" applyFont="1" applyFill="1" applyBorder="1" applyAlignment="1" applyProtection="1">
      <alignment horizontal="center"/>
      <protection locked="0"/>
    </xf>
    <xf numFmtId="1" fontId="23" fillId="5" borderId="5" xfId="0" quotePrefix="1"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3" fillId="5" borderId="4" xfId="0" applyNumberFormat="1" applyFont="1" applyFill="1" applyBorder="1" applyAlignment="1" applyProtection="1">
      <alignment horizontal="right"/>
      <protection locked="0"/>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0" fontId="21" fillId="0" borderId="11" xfId="0" applyFont="1" applyBorder="1" applyAlignment="1" applyProtection="1">
      <alignment horizontal="center" wrapText="1"/>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23" fillId="0" borderId="11" xfId="0" applyFont="1" applyFill="1" applyBorder="1" applyAlignment="1" applyProtection="1">
      <alignment horizontal="center" vertical="top" wrapText="1"/>
    </xf>
    <xf numFmtId="0" fontId="14"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0" fontId="21" fillId="0" borderId="17" xfId="0" applyFont="1" applyFill="1" applyBorder="1" applyAlignment="1" applyProtection="1">
      <alignment horizontal="center"/>
    </xf>
    <xf numFmtId="164" fontId="33"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1" fillId="5" borderId="3" xfId="0" applyNumberFormat="1" applyFont="1" applyFill="1" applyBorder="1" applyAlignment="1" applyProtection="1">
      <alignment horizontal="right"/>
      <protection locked="0"/>
    </xf>
    <xf numFmtId="0" fontId="51" fillId="5" borderId="4" xfId="0" applyNumberFormat="1" applyFont="1" applyFill="1" applyBorder="1" applyAlignment="1" applyProtection="1">
      <alignment horizontal="right"/>
      <protection locked="0"/>
    </xf>
    <xf numFmtId="0" fontId="51" fillId="5" borderId="5" xfId="0" applyNumberFormat="1" applyFont="1" applyFill="1" applyBorder="1" applyAlignment="1" applyProtection="1">
      <alignment horizontal="righ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NumberFormat="1" applyFont="1" applyFill="1" applyBorder="1" applyAlignment="1" applyProtection="1">
      <alignment horizontal="center"/>
      <protection locked="0"/>
    </xf>
    <xf numFmtId="0" fontId="51" fillId="5" borderId="4" xfId="0" applyNumberFormat="1" applyFont="1" applyFill="1" applyBorder="1" applyAlignment="1" applyProtection="1">
      <alignment horizontal="center"/>
      <protection locked="0"/>
    </xf>
    <xf numFmtId="0" fontId="51" fillId="5" borderId="5" xfId="0" applyNumberFormat="1" applyFont="1" applyFill="1" applyBorder="1" applyAlignment="1" applyProtection="1">
      <alignment horizontal="center"/>
      <protection locked="0"/>
    </xf>
    <xf numFmtId="0" fontId="23" fillId="5" borderId="3" xfId="0" applyFont="1" applyFill="1" applyBorder="1" applyAlignment="1" applyProtection="1">
      <protection locked="0"/>
    </xf>
    <xf numFmtId="0" fontId="23" fillId="0" borderId="4" xfId="0" applyFont="1" applyBorder="1" applyAlignment="1" applyProtection="1">
      <protection locked="0"/>
    </xf>
    <xf numFmtId="0" fontId="23" fillId="0" borderId="5" xfId="0" applyFont="1" applyBorder="1" applyAlignment="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4" fillId="0" borderId="0" xfId="543" applyFont="1" applyBorder="1" applyAlignment="1" applyProtection="1">
      <alignment horizontal="center"/>
    </xf>
    <xf numFmtId="2" fontId="14" fillId="0" borderId="0" xfId="543" applyNumberFormat="1" applyFont="1" applyBorder="1" applyAlignment="1" applyProtection="1">
      <alignment horizontal="center"/>
    </xf>
    <xf numFmtId="0" fontId="21" fillId="0" borderId="6" xfId="0" applyFont="1" applyBorder="1" applyAlignment="1" applyProtection="1">
      <alignment horizontal="center"/>
    </xf>
    <xf numFmtId="0" fontId="23" fillId="0" borderId="3" xfId="0" applyFont="1" applyBorder="1" applyAlignment="1" applyProtection="1">
      <alignment horizontal="left"/>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71" fontId="14" fillId="0" borderId="0" xfId="543" applyNumberFormat="1" applyFont="1" applyBorder="1" applyAlignment="1" applyProtection="1">
      <alignment horizontal="center"/>
    </xf>
    <xf numFmtId="9" fontId="14" fillId="0" borderId="0" xfId="543" applyNumberFormat="1" applyFont="1" applyFill="1" applyBorder="1" applyAlignment="1" applyProtection="1">
      <alignment horizontal="center" vertical="center"/>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168" fontId="119" fillId="5" borderId="10" xfId="0" applyNumberFormat="1" applyFont="1" applyFill="1" applyBorder="1" applyAlignment="1" applyProtection="1">
      <alignment horizontal="left"/>
      <protection locked="0"/>
    </xf>
    <xf numFmtId="168" fontId="119" fillId="5" borderId="13" xfId="0" applyNumberFormat="1" applyFont="1" applyFill="1" applyBorder="1" applyAlignment="1" applyProtection="1">
      <alignment horizontal="left"/>
      <protection locked="0"/>
    </xf>
    <xf numFmtId="0" fontId="166" fillId="44" borderId="8" xfId="0" applyFont="1" applyFill="1" applyBorder="1" applyAlignment="1" applyProtection="1">
      <alignment horizontal="center" vertical="top" wrapText="1"/>
    </xf>
    <xf numFmtId="0" fontId="166"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3" fillId="0" borderId="11" xfId="0" applyFont="1" applyFill="1" applyBorder="1" applyAlignment="1" applyProtection="1">
      <alignment horizontal="center"/>
    </xf>
    <xf numFmtId="0" fontId="14" fillId="0" borderId="0" xfId="0" applyFont="1" applyFill="1" applyBorder="1" applyAlignment="1" applyProtection="1">
      <alignment horizontal="left" wrapText="1"/>
    </xf>
    <xf numFmtId="0" fontId="21" fillId="0" borderId="0" xfId="0" applyFont="1" applyAlignment="1" applyProtection="1">
      <alignment horizontal="center" vertical="center"/>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3" fillId="5" borderId="3" xfId="0" applyNumberFormat="1" applyFont="1" applyFill="1" applyBorder="1" applyAlignment="1" applyProtection="1">
      <alignment horizontal="right" vertical="top"/>
      <protection locked="0"/>
    </xf>
    <xf numFmtId="0" fontId="23"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14" fillId="0" borderId="6" xfId="0" applyFont="1" applyFill="1" applyBorder="1" applyAlignment="1" applyProtection="1">
      <alignment horizontal="center"/>
      <protection locked="0"/>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Fill="1" applyAlignment="1" applyProtection="1">
      <alignment horizontal="left"/>
      <protection locked="0"/>
    </xf>
    <xf numFmtId="0" fontId="0" fillId="43"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0" fontId="14" fillId="43" borderId="0" xfId="0" applyFont="1" applyFill="1" applyBorder="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6" fontId="23" fillId="5" borderId="4" xfId="271" applyNumberFormat="1" applyFont="1" applyFill="1" applyBorder="1" applyAlignment="1" applyProtection="1">
      <alignment horizontal="left"/>
      <protection locked="0"/>
    </xf>
    <xf numFmtId="0" fontId="23" fillId="0" borderId="6" xfId="0" applyFont="1" applyBorder="1" applyAlignment="1" applyProtection="1">
      <alignment horizontal="left"/>
    </xf>
    <xf numFmtId="0" fontId="14" fillId="5" borderId="0" xfId="244" applyFont="1" applyFill="1" applyBorder="1" applyAlignment="1" applyProtection="1">
      <alignment horizontal="left"/>
      <protection locked="0"/>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3"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1" fillId="0" borderId="2" xfId="0" applyNumberFormat="1" applyFont="1" applyFill="1" applyBorder="1" applyAlignment="1" applyProtection="1">
      <alignment horizontal="left" vertical="top" wrapText="1"/>
    </xf>
    <xf numFmtId="168" fontId="51"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3" fillId="5" borderId="6" xfId="0" applyFont="1" applyFill="1" applyBorder="1" applyAlignment="1" applyProtection="1">
      <alignment horizontal="lef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5" borderId="9" xfId="0" applyFont="1" applyFill="1" applyBorder="1" applyAlignment="1" applyProtection="1">
      <alignment horizontal="center"/>
      <protection locked="0"/>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168" fontId="14" fillId="43" borderId="3" xfId="0" applyNumberFormat="1" applyFont="1" applyFill="1" applyBorder="1" applyAlignment="1" applyProtection="1">
      <alignment horizontal="center"/>
      <protection locked="0"/>
    </xf>
    <xf numFmtId="168" fontId="14" fillId="43" borderId="4" xfId="0" applyNumberFormat="1" applyFont="1" applyFill="1" applyBorder="1" applyAlignment="1" applyProtection="1">
      <alignment horizontal="center"/>
      <protection locked="0"/>
    </xf>
    <xf numFmtId="168" fontId="14" fillId="43" borderId="5" xfId="0" applyNumberFormat="1" applyFont="1" applyFill="1" applyBorder="1" applyAlignment="1" applyProtection="1">
      <alignment horizontal="center"/>
      <protection locked="0"/>
    </xf>
    <xf numFmtId="180" fontId="22" fillId="43" borderId="3" xfId="0" applyNumberFormat="1" applyFont="1" applyFill="1" applyBorder="1" applyAlignment="1" applyProtection="1">
      <alignment horizontal="center"/>
      <protection locked="0"/>
    </xf>
    <xf numFmtId="180" fontId="22" fillId="43" borderId="4" xfId="0" applyNumberFormat="1" applyFont="1" applyFill="1" applyBorder="1" applyAlignment="1" applyProtection="1">
      <alignment horizontal="center"/>
      <protection locked="0"/>
    </xf>
    <xf numFmtId="180" fontId="22"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0" borderId="5" xfId="0" applyBorder="1" applyAlignment="1" applyProtection="1">
      <alignment horizontal="left"/>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14" fillId="43" borderId="4" xfId="0" applyFont="1" applyFill="1" applyBorder="1" applyAlignment="1" applyProtection="1">
      <alignment horizontal="left" wrapText="1"/>
      <protection locked="0"/>
    </xf>
    <xf numFmtId="0" fontId="14" fillId="5" borderId="6" xfId="0" applyFont="1" applyFill="1" applyBorder="1" applyAlignment="1" applyProtection="1">
      <alignment horizontal="left" vertical="top"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3" fontId="23" fillId="0" borderId="11" xfId="0" applyNumberFormat="1" applyFont="1" applyFill="1" applyBorder="1" applyAlignment="1" applyProtection="1">
      <alignment horizontal="center"/>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3"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8" fontId="23"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4" fillId="5" borderId="11" xfId="0"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56" fillId="2" borderId="3" xfId="0" applyFont="1" applyFill="1" applyBorder="1" applyAlignment="1" applyProtection="1">
      <alignment horizontal="center" vertical="top"/>
    </xf>
    <xf numFmtId="0" fontId="56" fillId="2" borderId="4" xfId="0" applyFont="1" applyFill="1" applyBorder="1" applyAlignment="1" applyProtection="1">
      <alignment horizontal="center" vertical="top"/>
    </xf>
    <xf numFmtId="0" fontId="56"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1"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2"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2" fillId="0" borderId="0" xfId="569" applyFont="1" applyFill="1" applyBorder="1" applyAlignment="1" applyProtection="1">
      <alignment vertical="top" wrapText="1"/>
    </xf>
    <xf numFmtId="0" fontId="14" fillId="0" borderId="0" xfId="569" applyFill="1" applyBorder="1" applyAlignment="1">
      <alignment vertical="top" wrapText="1"/>
    </xf>
    <xf numFmtId="0" fontId="14" fillId="0" borderId="0" xfId="569" applyFont="1" applyFill="1" applyBorder="1" applyAlignment="1" applyProtection="1">
      <alignment horizontal="right" vertical="top" wrapText="1"/>
    </xf>
    <xf numFmtId="0" fontId="14" fillId="0" borderId="0" xfId="569" applyFont="1" applyFill="1" applyBorder="1" applyAlignment="1">
      <alignment vertical="top" wrapText="1"/>
    </xf>
    <xf numFmtId="0" fontId="14" fillId="0" borderId="0" xfId="569" applyFont="1" applyFill="1" applyBorder="1" applyAlignment="1" applyProtection="1">
      <alignment horizontal="left" vertical="top" wrapText="1"/>
    </xf>
    <xf numFmtId="0" fontId="14" fillId="0" borderId="0" xfId="569"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0" fontId="100" fillId="44" borderId="0" xfId="8719" applyFont="1" applyFill="1" applyAlignment="1">
      <alignment horizontal="left"/>
    </xf>
    <xf numFmtId="0" fontId="4" fillId="43" borderId="68" xfId="8719" applyFill="1" applyBorder="1" applyAlignment="1" applyProtection="1">
      <alignment horizontal="center"/>
      <protection locked="0"/>
    </xf>
    <xf numFmtId="0" fontId="4" fillId="43" borderId="69" xfId="8719" applyFill="1" applyBorder="1" applyAlignment="1" applyProtection="1">
      <alignment horizontal="center"/>
      <protection locked="0"/>
    </xf>
    <xf numFmtId="0" fontId="4" fillId="43" borderId="70" xfId="8719" applyFill="1" applyBorder="1" applyAlignment="1" applyProtection="1">
      <alignment horizontal="center"/>
      <protection locked="0"/>
    </xf>
    <xf numFmtId="0" fontId="21" fillId="44" borderId="0" xfId="8719" applyFont="1" applyFill="1" applyAlignment="1">
      <alignment horizontal="left" vertical="top"/>
    </xf>
    <xf numFmtId="0" fontId="100" fillId="44" borderId="0" xfId="4503" applyFont="1" applyFill="1" applyBorder="1" applyAlignment="1">
      <alignment horizontal="left" vertical="top"/>
    </xf>
    <xf numFmtId="0" fontId="100" fillId="48" borderId="42" xfId="8719" applyFont="1" applyFill="1" applyBorder="1" applyAlignment="1">
      <alignment horizontal="center"/>
    </xf>
    <xf numFmtId="0" fontId="100" fillId="48" borderId="0" xfId="8719" applyFont="1" applyFill="1" applyAlignment="1">
      <alignment horizontal="left" vertical="top" wrapText="1"/>
    </xf>
    <xf numFmtId="0" fontId="62" fillId="48" borderId="66" xfId="8719" applyFont="1" applyFill="1" applyBorder="1" applyAlignment="1">
      <alignment horizontal="center"/>
    </xf>
    <xf numFmtId="0" fontId="62" fillId="48" borderId="29" xfId="8719" applyFont="1" applyFill="1" applyBorder="1" applyAlignment="1">
      <alignment horizontal="center"/>
    </xf>
    <xf numFmtId="0" fontId="62" fillId="48" borderId="31" xfId="8719" applyFont="1" applyFill="1" applyBorder="1" applyAlignment="1">
      <alignment horizontal="center"/>
    </xf>
    <xf numFmtId="0" fontId="4" fillId="48" borderId="67" xfId="8719" applyFill="1" applyBorder="1" applyAlignment="1">
      <alignment horizontal="center"/>
    </xf>
    <xf numFmtId="0" fontId="4" fillId="48" borderId="0" xfId="8719" applyFill="1" applyAlignment="1">
      <alignment horizontal="center"/>
    </xf>
    <xf numFmtId="0" fontId="4" fillId="48" borderId="41" xfId="8719" applyFill="1" applyBorder="1" applyAlignment="1">
      <alignment horizontal="center"/>
    </xf>
    <xf numFmtId="0" fontId="21" fillId="48" borderId="67" xfId="8719" applyFont="1" applyFill="1" applyBorder="1" applyAlignment="1">
      <alignment horizontal="center"/>
    </xf>
    <xf numFmtId="0" fontId="21" fillId="48" borderId="0" xfId="8719" applyFont="1" applyFill="1" applyAlignment="1">
      <alignment horizontal="center"/>
    </xf>
    <xf numFmtId="0" fontId="21" fillId="48" borderId="41" xfId="8719" applyFont="1" applyFill="1" applyBorder="1" applyAlignment="1">
      <alignment horizontal="center"/>
    </xf>
    <xf numFmtId="0" fontId="100" fillId="48" borderId="67" xfId="8719" applyFont="1" applyFill="1" applyBorder="1" applyAlignment="1">
      <alignment horizontal="center"/>
    </xf>
    <xf numFmtId="0" fontId="100" fillId="48" borderId="0" xfId="8719" applyFont="1" applyFill="1" applyAlignment="1">
      <alignment horizontal="center"/>
    </xf>
    <xf numFmtId="0" fontId="100" fillId="48" borderId="41" xfId="8719" applyFont="1" applyFill="1" applyBorder="1" applyAlignment="1">
      <alignment horizontal="center"/>
    </xf>
    <xf numFmtId="0" fontId="100" fillId="48" borderId="0" xfId="8719" applyFont="1" applyFill="1" applyAlignment="1">
      <alignment horizontal="left"/>
    </xf>
    <xf numFmtId="0" fontId="100" fillId="45" borderId="74" xfId="8719" applyFont="1" applyFill="1" applyBorder="1" applyAlignment="1">
      <alignment horizontal="center"/>
    </xf>
    <xf numFmtId="0" fontId="100" fillId="45" borderId="75" xfId="8719" applyFont="1" applyFill="1" applyBorder="1" applyAlignment="1">
      <alignment horizontal="center"/>
    </xf>
    <xf numFmtId="182" fontId="149" fillId="44" borderId="75" xfId="700" applyNumberFormat="1" applyFont="1" applyFill="1" applyBorder="1" applyAlignment="1">
      <alignment horizontal="center"/>
    </xf>
    <xf numFmtId="182" fontId="149" fillId="44" borderId="95" xfId="700" applyNumberFormat="1" applyFont="1" applyFill="1" applyBorder="1" applyAlignment="1">
      <alignment horizontal="center"/>
    </xf>
    <xf numFmtId="0" fontId="145" fillId="43" borderId="82" xfId="8719" applyFont="1" applyFill="1" applyBorder="1" applyAlignment="1">
      <alignment horizontal="left"/>
    </xf>
    <xf numFmtId="0" fontId="145" fillId="43" borderId="11" xfId="8719" applyFont="1" applyFill="1" applyBorder="1" applyAlignment="1">
      <alignment horizontal="left"/>
    </xf>
    <xf numFmtId="182" fontId="51" fillId="43" borderId="11" xfId="700" applyNumberFormat="1" applyFont="1" applyFill="1" applyBorder="1" applyAlignment="1" applyProtection="1">
      <alignment horizontal="center"/>
      <protection locked="0"/>
    </xf>
    <xf numFmtId="182" fontId="51" fillId="43" borderId="93" xfId="700" applyNumberFormat="1" applyFont="1" applyFill="1" applyBorder="1" applyAlignment="1" applyProtection="1">
      <alignment horizontal="center"/>
      <protection locked="0"/>
    </xf>
    <xf numFmtId="0" fontId="144" fillId="45" borderId="74" xfId="8719" applyFont="1" applyFill="1" applyBorder="1" applyAlignment="1">
      <alignment horizontal="center"/>
    </xf>
    <xf numFmtId="0" fontId="144" fillId="45" borderId="75" xfId="8719" applyFont="1" applyFill="1" applyBorder="1" applyAlignment="1">
      <alignment horizontal="center"/>
    </xf>
    <xf numFmtId="182" fontId="52" fillId="44" borderId="75" xfId="700" applyNumberFormat="1" applyFont="1" applyFill="1" applyBorder="1" applyAlignment="1" applyProtection="1">
      <alignment horizontal="center"/>
      <protection locked="0"/>
    </xf>
    <xf numFmtId="182" fontId="52" fillId="44" borderId="95" xfId="700" applyNumberFormat="1" applyFont="1" applyFill="1" applyBorder="1" applyAlignment="1" applyProtection="1">
      <alignment horizontal="center"/>
      <protection locked="0"/>
    </xf>
    <xf numFmtId="0" fontId="158" fillId="45" borderId="67" xfId="8719" applyFont="1" applyFill="1" applyBorder="1" applyAlignment="1">
      <alignment horizontal="center"/>
    </xf>
    <xf numFmtId="0" fontId="158" fillId="45" borderId="0" xfId="8719" applyFont="1" applyFill="1" applyAlignment="1">
      <alignment horizontal="center"/>
    </xf>
    <xf numFmtId="0" fontId="158" fillId="45" borderId="12" xfId="8719" applyFont="1" applyFill="1" applyBorder="1" applyAlignment="1">
      <alignment horizontal="center"/>
    </xf>
    <xf numFmtId="182" fontId="149" fillId="44" borderId="105" xfId="700" applyNumberFormat="1" applyFont="1" applyFill="1" applyBorder="1" applyAlignment="1">
      <alignment horizontal="center"/>
    </xf>
    <xf numFmtId="182" fontId="149" fillId="44" borderId="29" xfId="700" applyNumberFormat="1" applyFont="1" applyFill="1" applyBorder="1" applyAlignment="1">
      <alignment horizontal="center"/>
    </xf>
    <xf numFmtId="182" fontId="149" fillId="44" borderId="31" xfId="700" applyNumberFormat="1" applyFont="1" applyFill="1" applyBorder="1" applyAlignment="1">
      <alignment horizontal="center"/>
    </xf>
    <xf numFmtId="0" fontId="145" fillId="43" borderId="83" xfId="8719" applyFont="1" applyFill="1" applyBorder="1" applyAlignment="1" applyProtection="1">
      <alignment horizontal="center"/>
      <protection locked="0"/>
    </xf>
    <xf numFmtId="0" fontId="145" fillId="43" borderId="84" xfId="8719" applyFont="1" applyFill="1" applyBorder="1" applyAlignment="1" applyProtection="1">
      <alignment horizontal="center"/>
      <protection locked="0"/>
    </xf>
    <xf numFmtId="0" fontId="52" fillId="43" borderId="75" xfId="8719" applyFont="1" applyFill="1" applyBorder="1" applyAlignment="1" applyProtection="1">
      <alignment horizontal="center"/>
      <protection locked="0"/>
    </xf>
    <xf numFmtId="0" fontId="52" fillId="43" borderId="95" xfId="8719" applyFont="1" applyFill="1" applyBorder="1" applyAlignment="1" applyProtection="1">
      <alignment horizontal="center"/>
      <protection locked="0"/>
    </xf>
    <xf numFmtId="182" fontId="4" fillId="43" borderId="84" xfId="700" applyNumberFormat="1" applyFont="1" applyFill="1" applyBorder="1" applyAlignment="1" applyProtection="1">
      <alignment horizontal="center"/>
      <protection locked="0"/>
    </xf>
    <xf numFmtId="182" fontId="4" fillId="43" borderId="87" xfId="700" applyNumberFormat="1" applyFont="1" applyFill="1" applyBorder="1" applyAlignment="1" applyProtection="1">
      <alignment horizontal="center"/>
      <protection locked="0"/>
    </xf>
    <xf numFmtId="0" fontId="4" fillId="43" borderId="83" xfId="8719" applyFill="1" applyBorder="1" applyAlignment="1" applyProtection="1">
      <alignment horizontal="center"/>
      <protection locked="0"/>
    </xf>
    <xf numFmtId="0" fontId="4" fillId="43" borderId="84" xfId="8719" applyFill="1" applyBorder="1" applyAlignment="1" applyProtection="1">
      <alignment horizontal="center"/>
      <protection locked="0"/>
    </xf>
    <xf numFmtId="0" fontId="4" fillId="43" borderId="87" xfId="8719" applyFill="1" applyBorder="1" applyAlignment="1" applyProtection="1">
      <alignment horizontal="center"/>
      <protection locked="0"/>
    </xf>
    <xf numFmtId="0" fontId="145" fillId="43" borderId="94" xfId="8719" applyFont="1" applyFill="1" applyBorder="1" applyAlignment="1" applyProtection="1">
      <alignment horizontal="center"/>
      <protection locked="0"/>
    </xf>
    <xf numFmtId="0" fontId="145" fillId="43" borderId="4" xfId="8719" applyFont="1" applyFill="1" applyBorder="1" applyAlignment="1" applyProtection="1">
      <alignment horizontal="center"/>
      <protection locked="0"/>
    </xf>
    <xf numFmtId="0" fontId="52" fillId="43" borderId="11" xfId="8719" applyFont="1" applyFill="1" applyBorder="1" applyAlignment="1" applyProtection="1">
      <alignment horizontal="center"/>
      <protection locked="0"/>
    </xf>
    <xf numFmtId="0" fontId="52" fillId="43" borderId="93" xfId="8719" applyFont="1" applyFill="1" applyBorder="1" applyAlignment="1" applyProtection="1">
      <alignment horizontal="center"/>
      <protection locked="0"/>
    </xf>
    <xf numFmtId="182" fontId="4" fillId="43" borderId="4" xfId="700" applyNumberFormat="1" applyFont="1" applyFill="1" applyBorder="1" applyAlignment="1" applyProtection="1">
      <alignment horizontal="center"/>
    </xf>
    <xf numFmtId="182" fontId="4" fillId="43" borderId="81" xfId="700" applyNumberFormat="1" applyFont="1" applyFill="1" applyBorder="1" applyAlignment="1" applyProtection="1">
      <alignment horizontal="center"/>
    </xf>
    <xf numFmtId="0" fontId="4" fillId="43" borderId="94" xfId="8719" applyFill="1" applyBorder="1" applyAlignment="1" applyProtection="1">
      <alignment horizontal="center"/>
      <protection locked="0"/>
    </xf>
    <xf numFmtId="0" fontId="4" fillId="43" borderId="4" xfId="8719" applyFill="1" applyBorder="1" applyAlignment="1" applyProtection="1">
      <alignment horizontal="center"/>
      <protection locked="0"/>
    </xf>
    <xf numFmtId="0" fontId="4" fillId="43" borderId="81" xfId="8719" applyFill="1" applyBorder="1" applyAlignment="1" applyProtection="1">
      <alignment horizontal="center"/>
      <protection locked="0"/>
    </xf>
    <xf numFmtId="0" fontId="52" fillId="43" borderId="94" xfId="8719" applyFont="1" applyFill="1" applyBorder="1" applyAlignment="1" applyProtection="1">
      <alignment horizontal="center"/>
      <protection locked="0"/>
    </xf>
    <xf numFmtId="0" fontId="52" fillId="43" borderId="4" xfId="8719" applyFont="1" applyFill="1" applyBorder="1" applyAlignment="1" applyProtection="1">
      <alignment horizontal="center"/>
      <protection locked="0"/>
    </xf>
    <xf numFmtId="0" fontId="145" fillId="45" borderId="94" xfId="8719" applyFont="1" applyFill="1" applyBorder="1" applyAlignment="1">
      <alignment horizontal="center"/>
    </xf>
    <xf numFmtId="0" fontId="145" fillId="45" borderId="4" xfId="8719" applyFont="1" applyFill="1" applyBorder="1" applyAlignment="1">
      <alignment horizontal="center"/>
    </xf>
    <xf numFmtId="0" fontId="145" fillId="45" borderId="81" xfId="8719" applyFont="1" applyFill="1" applyBorder="1" applyAlignment="1">
      <alignment horizontal="center"/>
    </xf>
    <xf numFmtId="0" fontId="145" fillId="45" borderId="71" xfId="8719" applyFont="1" applyFill="1" applyBorder="1" applyAlignment="1">
      <alignment horizontal="center"/>
    </xf>
    <xf numFmtId="0" fontId="145" fillId="45" borderId="72" xfId="8719" applyFont="1" applyFill="1" applyBorder="1" applyAlignment="1">
      <alignment horizontal="center"/>
    </xf>
    <xf numFmtId="164" fontId="51" fillId="45" borderId="72" xfId="8720" applyNumberFormat="1" applyFont="1" applyFill="1" applyBorder="1" applyAlignment="1" applyProtection="1">
      <alignment horizontal="center"/>
      <protection locked="0"/>
    </xf>
    <xf numFmtId="164" fontId="51" fillId="45" borderId="76" xfId="8720" applyNumberFormat="1" applyFont="1" applyFill="1" applyBorder="1" applyAlignment="1" applyProtection="1">
      <alignment horizontal="center"/>
      <protection locked="0"/>
    </xf>
    <xf numFmtId="182" fontId="4" fillId="44" borderId="4" xfId="700" applyNumberFormat="1" applyFont="1" applyFill="1" applyBorder="1" applyAlignment="1">
      <alignment horizontal="center"/>
    </xf>
    <xf numFmtId="182" fontId="4" fillId="44" borderId="81" xfId="700" applyNumberFormat="1" applyFont="1" applyFill="1" applyBorder="1" applyAlignment="1">
      <alignment horizontal="center"/>
    </xf>
    <xf numFmtId="0" fontId="144" fillId="45" borderId="83" xfId="8719" applyFont="1" applyFill="1" applyBorder="1" applyAlignment="1">
      <alignment horizontal="center"/>
    </xf>
    <xf numFmtId="0" fontId="144" fillId="45" borderId="84" xfId="8719" applyFont="1" applyFill="1" applyBorder="1" applyAlignment="1">
      <alignment horizontal="center"/>
    </xf>
    <xf numFmtId="168" fontId="163" fillId="44" borderId="11" xfId="8720" applyNumberFormat="1" applyFont="1" applyFill="1" applyBorder="1" applyAlignment="1">
      <alignment horizontal="center"/>
    </xf>
    <xf numFmtId="0" fontId="100" fillId="45" borderId="94" xfId="8719" applyFont="1" applyFill="1" applyBorder="1" applyAlignment="1">
      <alignment horizontal="center"/>
    </xf>
    <xf numFmtId="0" fontId="100" fillId="45" borderId="4" xfId="8719" applyFont="1" applyFill="1" applyBorder="1" applyAlignment="1">
      <alignment horizontal="center"/>
    </xf>
    <xf numFmtId="0" fontId="100" fillId="45" borderId="81" xfId="8719" applyFont="1" applyFill="1" applyBorder="1" applyAlignment="1">
      <alignment horizontal="center"/>
    </xf>
    <xf numFmtId="182" fontId="51" fillId="44" borderId="4" xfId="700" applyNumberFormat="1" applyFont="1" applyFill="1" applyBorder="1" applyAlignment="1">
      <alignment horizontal="center"/>
    </xf>
    <xf numFmtId="182" fontId="51" fillId="44" borderId="81" xfId="700" applyNumberFormat="1" applyFont="1" applyFill="1" applyBorder="1" applyAlignment="1">
      <alignment horizontal="center"/>
    </xf>
    <xf numFmtId="0" fontId="145" fillId="45" borderId="5" xfId="8719" applyFont="1" applyFill="1" applyBorder="1" applyAlignment="1">
      <alignment horizontal="center"/>
    </xf>
    <xf numFmtId="168" fontId="51" fillId="43" borderId="11" xfId="8720" applyNumberFormat="1" applyFont="1" applyFill="1" applyBorder="1" applyAlignment="1" applyProtection="1">
      <alignment horizontal="center"/>
      <protection locked="0"/>
    </xf>
    <xf numFmtId="0" fontId="144" fillId="45" borderId="94" xfId="8719" applyFont="1" applyFill="1" applyBorder="1" applyAlignment="1">
      <alignment horizontal="center"/>
    </xf>
    <xf numFmtId="0" fontId="144" fillId="45" borderId="4" xfId="8719" applyFont="1" applyFill="1" applyBorder="1" applyAlignment="1">
      <alignment horizontal="center"/>
    </xf>
    <xf numFmtId="0" fontId="144" fillId="45" borderId="81" xfId="8719" applyFont="1" applyFill="1" applyBorder="1" applyAlignment="1">
      <alignment horizontal="center"/>
    </xf>
    <xf numFmtId="182" fontId="51" fillId="43" borderId="4" xfId="700" applyNumberFormat="1" applyFont="1" applyFill="1" applyBorder="1" applyAlignment="1" applyProtection="1">
      <alignment horizontal="center"/>
      <protection locked="0"/>
    </xf>
    <xf numFmtId="182" fontId="51" fillId="43" borderId="81" xfId="700" applyNumberFormat="1" applyFont="1" applyFill="1" applyBorder="1" applyAlignment="1" applyProtection="1">
      <alignment horizontal="center"/>
      <protection locked="0"/>
    </xf>
    <xf numFmtId="0" fontId="145" fillId="43" borderId="81" xfId="8719" applyFont="1" applyFill="1" applyBorder="1" applyAlignment="1" applyProtection="1">
      <alignment horizontal="center"/>
      <protection locked="0"/>
    </xf>
    <xf numFmtId="0" fontId="145" fillId="47" borderId="94" xfId="8719" applyFont="1" applyFill="1" applyBorder="1" applyAlignment="1">
      <alignment horizontal="center"/>
    </xf>
    <xf numFmtId="0" fontId="145" fillId="47" borderId="4" xfId="8719" applyFont="1" applyFill="1" applyBorder="1" applyAlignment="1">
      <alignment horizontal="center"/>
    </xf>
    <xf numFmtId="0" fontId="145" fillId="47" borderId="5" xfId="8719" applyFont="1" applyFill="1" applyBorder="1" applyAlignment="1">
      <alignment horizontal="center"/>
    </xf>
    <xf numFmtId="168" fontId="149" fillId="47" borderId="3" xfId="8720" applyNumberFormat="1" applyFont="1" applyFill="1" applyBorder="1" applyAlignment="1">
      <alignment horizontal="center"/>
    </xf>
    <xf numFmtId="168" fontId="149" fillId="47" borderId="4" xfId="8720" applyNumberFormat="1" applyFont="1" applyFill="1" applyBorder="1" applyAlignment="1">
      <alignment horizontal="center"/>
    </xf>
    <xf numFmtId="168" fontId="149" fillId="47" borderId="5" xfId="8720" applyNumberFormat="1" applyFont="1" applyFill="1" applyBorder="1" applyAlignment="1">
      <alignment horizontal="center"/>
    </xf>
    <xf numFmtId="0" fontId="145" fillId="47" borderId="81" xfId="8719" applyFont="1" applyFill="1" applyBorder="1" applyAlignment="1">
      <alignment horizontal="center"/>
    </xf>
    <xf numFmtId="0" fontId="145" fillId="45" borderId="82" xfId="8719" applyFont="1" applyFill="1" applyBorder="1" applyAlignment="1">
      <alignment horizontal="center"/>
    </xf>
    <xf numFmtId="0" fontId="145" fillId="45" borderId="11" xfId="8719" applyFont="1" applyFill="1" applyBorder="1" applyAlignment="1">
      <alignment horizontal="center"/>
    </xf>
    <xf numFmtId="0" fontId="4" fillId="43" borderId="11" xfId="8719" applyFill="1" applyBorder="1" applyAlignment="1" applyProtection="1">
      <alignment horizontal="center"/>
      <protection locked="0"/>
    </xf>
    <xf numFmtId="14" fontId="4" fillId="43" borderId="11" xfId="8719" applyNumberFormat="1" applyFill="1" applyBorder="1" applyAlignment="1" applyProtection="1">
      <alignment horizontal="center"/>
      <protection locked="0"/>
    </xf>
    <xf numFmtId="0" fontId="4" fillId="45" borderId="77" xfId="8719" applyFill="1" applyBorder="1" applyAlignment="1">
      <alignment horizontal="center"/>
    </xf>
    <xf numFmtId="0" fontId="4" fillId="45" borderId="78" xfId="8719" applyFill="1" applyBorder="1" applyAlignment="1">
      <alignment horizontal="center"/>
    </xf>
    <xf numFmtId="0" fontId="4" fillId="45" borderId="79" xfId="8719" applyFill="1" applyBorder="1" applyAlignment="1">
      <alignment horizontal="center"/>
    </xf>
    <xf numFmtId="0" fontId="145" fillId="45" borderId="78" xfId="8719" applyFont="1" applyFill="1" applyBorder="1" applyAlignment="1">
      <alignment horizontal="center"/>
    </xf>
    <xf numFmtId="0" fontId="145" fillId="45" borderId="79" xfId="8719" applyFont="1" applyFill="1" applyBorder="1" applyAlignment="1">
      <alignment horizontal="center"/>
    </xf>
    <xf numFmtId="0" fontId="52" fillId="45" borderId="77" xfId="8719" applyFont="1" applyFill="1" applyBorder="1" applyAlignment="1">
      <alignment horizontal="center"/>
    </xf>
    <xf numFmtId="0" fontId="52" fillId="45" borderId="78" xfId="8719" applyFont="1" applyFill="1" applyBorder="1" applyAlignment="1">
      <alignment horizontal="center"/>
    </xf>
    <xf numFmtId="0" fontId="52" fillId="45" borderId="79" xfId="8719" applyFont="1" applyFill="1" applyBorder="1" applyAlignment="1">
      <alignment horizontal="center"/>
    </xf>
    <xf numFmtId="0" fontId="100" fillId="45" borderId="68" xfId="8719" applyFont="1" applyFill="1" applyBorder="1" applyAlignment="1">
      <alignment horizontal="center"/>
    </xf>
    <xf numFmtId="0" fontId="100" fillId="45" borderId="69" xfId="8719" applyFont="1" applyFill="1" applyBorder="1" applyAlignment="1">
      <alignment horizontal="center"/>
    </xf>
    <xf numFmtId="0" fontId="100" fillId="45" borderId="70" xfId="8719" applyFont="1" applyFill="1" applyBorder="1" applyAlignment="1">
      <alignment horizontal="center"/>
    </xf>
    <xf numFmtId="0" fontId="144" fillId="45" borderId="71" xfId="8719" applyFont="1" applyFill="1" applyBorder="1" applyAlignment="1">
      <alignment horizontal="left"/>
    </xf>
    <xf numFmtId="0" fontId="144" fillId="45" borderId="72" xfId="8719" applyFont="1" applyFill="1" applyBorder="1" applyAlignment="1">
      <alignment horizontal="left"/>
    </xf>
    <xf numFmtId="0" fontId="144" fillId="45" borderId="76" xfId="8719" applyFont="1" applyFill="1" applyBorder="1" applyAlignment="1">
      <alignment horizontal="left"/>
    </xf>
    <xf numFmtId="0" fontId="100" fillId="45" borderId="66" xfId="8719" applyFont="1" applyFill="1" applyBorder="1" applyAlignment="1">
      <alignment horizontal="center"/>
    </xf>
    <xf numFmtId="0" fontId="100" fillId="45" borderId="29" xfId="8719" applyFont="1" applyFill="1" applyBorder="1" applyAlignment="1">
      <alignment horizontal="center"/>
    </xf>
    <xf numFmtId="0" fontId="100" fillId="45" borderId="31" xfId="8719" applyFont="1" applyFill="1" applyBorder="1" applyAlignment="1">
      <alignment horizontal="center"/>
    </xf>
    <xf numFmtId="0" fontId="4" fillId="43" borderId="82" xfId="8719" applyFill="1" applyBorder="1" applyAlignment="1" applyProtection="1">
      <alignment horizontal="left" vertical="top"/>
      <protection locked="0"/>
    </xf>
    <xf numFmtId="0" fontId="4" fillId="43" borderId="11" xfId="8719" applyFill="1" applyBorder="1" applyAlignment="1" applyProtection="1">
      <alignment horizontal="left" vertical="top"/>
      <protection locked="0"/>
    </xf>
    <xf numFmtId="0" fontId="4" fillId="43" borderId="93" xfId="8719" applyFill="1" applyBorder="1" applyAlignment="1" applyProtection="1">
      <alignment horizontal="left" vertical="top"/>
      <protection locked="0"/>
    </xf>
    <xf numFmtId="0" fontId="4" fillId="43" borderId="74" xfId="8719" applyFill="1" applyBorder="1" applyAlignment="1" applyProtection="1">
      <alignment horizontal="left" vertical="top"/>
      <protection locked="0"/>
    </xf>
    <xf numFmtId="0" fontId="4" fillId="43" borderId="75" xfId="8719" applyFill="1" applyBorder="1" applyAlignment="1" applyProtection="1">
      <alignment horizontal="left" vertical="top"/>
      <protection locked="0"/>
    </xf>
    <xf numFmtId="0" fontId="4" fillId="43" borderId="95" xfId="8719" applyFill="1" applyBorder="1" applyAlignment="1" applyProtection="1">
      <alignment horizontal="left" vertical="top"/>
      <protection locked="0"/>
    </xf>
    <xf numFmtId="0" fontId="145" fillId="45" borderId="74" xfId="8719" applyFont="1" applyFill="1" applyBorder="1" applyAlignment="1">
      <alignment horizontal="center"/>
    </xf>
    <xf numFmtId="0" fontId="145" fillId="45" borderId="75" xfId="8719" applyFont="1" applyFill="1" applyBorder="1" applyAlignment="1">
      <alignment horizontal="center"/>
    </xf>
    <xf numFmtId="0" fontId="149" fillId="43" borderId="11" xfId="8719" applyFont="1" applyFill="1" applyBorder="1" applyAlignment="1" applyProtection="1">
      <alignment horizontal="center"/>
      <protection locked="0"/>
    </xf>
    <xf numFmtId="14" fontId="149" fillId="43" borderId="11" xfId="8719" applyNumberFormat="1" applyFont="1" applyFill="1" applyBorder="1" applyAlignment="1" applyProtection="1">
      <alignment horizontal="center"/>
      <protection locked="0"/>
    </xf>
    <xf numFmtId="182" fontId="149" fillId="43" borderId="3" xfId="8720" applyNumberFormat="1" applyFont="1" applyFill="1" applyBorder="1" applyAlignment="1" applyProtection="1">
      <alignment horizontal="center"/>
      <protection locked="0"/>
    </xf>
    <xf numFmtId="182" fontId="149" fillId="43" borderId="4" xfId="8720" applyNumberFormat="1" applyFont="1" applyFill="1" applyBorder="1" applyAlignment="1" applyProtection="1">
      <alignment horizontal="center"/>
      <protection locked="0"/>
    </xf>
    <xf numFmtId="182" fontId="149" fillId="43" borderId="81" xfId="8720" applyNumberFormat="1" applyFont="1" applyFill="1" applyBorder="1" applyAlignment="1" applyProtection="1">
      <alignment horizontal="center"/>
      <protection locked="0"/>
    </xf>
    <xf numFmtId="0" fontId="149" fillId="43" borderId="75" xfId="8719" applyFont="1" applyFill="1" applyBorder="1" applyAlignment="1" applyProtection="1">
      <alignment horizontal="center"/>
      <protection locked="0"/>
    </xf>
    <xf numFmtId="14" fontId="149" fillId="43" borderId="75" xfId="8719" applyNumberFormat="1" applyFont="1" applyFill="1" applyBorder="1" applyAlignment="1" applyProtection="1">
      <alignment horizontal="center"/>
      <protection locked="0"/>
    </xf>
    <xf numFmtId="182" fontId="149" fillId="43" borderId="86" xfId="8720" applyNumberFormat="1" applyFont="1" applyFill="1" applyBorder="1" applyAlignment="1" applyProtection="1">
      <alignment horizontal="center"/>
      <protection locked="0"/>
    </xf>
    <xf numFmtId="182" fontId="149" fillId="43" borderId="84" xfId="8720" applyNumberFormat="1" applyFont="1" applyFill="1" applyBorder="1" applyAlignment="1" applyProtection="1">
      <alignment horizontal="center"/>
      <protection locked="0"/>
    </xf>
    <xf numFmtId="182" fontId="149" fillId="43" borderId="87" xfId="8720" applyNumberFormat="1" applyFont="1" applyFill="1" applyBorder="1" applyAlignment="1" applyProtection="1">
      <alignment horizontal="center"/>
      <protection locked="0"/>
    </xf>
    <xf numFmtId="182" fontId="149" fillId="43" borderId="92" xfId="8720" applyNumberFormat="1" applyFont="1" applyFill="1" applyBorder="1" applyAlignment="1" applyProtection="1">
      <alignment horizontal="center"/>
      <protection locked="0"/>
    </xf>
    <xf numFmtId="182" fontId="149" fillId="43" borderId="78" xfId="8720" applyNumberFormat="1" applyFont="1" applyFill="1" applyBorder="1" applyAlignment="1" applyProtection="1">
      <alignment horizontal="center"/>
      <protection locked="0"/>
    </xf>
    <xf numFmtId="182" fontId="149" fillId="43" borderId="79" xfId="8720" applyNumberFormat="1" applyFont="1" applyFill="1" applyBorder="1" applyAlignment="1" applyProtection="1">
      <alignment horizontal="center"/>
      <protection locked="0"/>
    </xf>
    <xf numFmtId="0" fontId="149" fillId="43" borderId="3" xfId="8719" applyFont="1" applyFill="1" applyBorder="1" applyAlignment="1" applyProtection="1">
      <alignment horizontal="center"/>
      <protection locked="0"/>
    </xf>
    <xf numFmtId="0" fontId="149" fillId="43" borderId="4" xfId="8719" applyFont="1" applyFill="1" applyBorder="1" applyAlignment="1" applyProtection="1">
      <alignment horizontal="center"/>
      <protection locked="0"/>
    </xf>
    <xf numFmtId="0" fontId="149" fillId="43" borderId="5" xfId="8719" applyFont="1" applyFill="1" applyBorder="1" applyAlignment="1" applyProtection="1">
      <alignment horizontal="center"/>
      <protection locked="0"/>
    </xf>
    <xf numFmtId="14" fontId="4" fillId="43" borderId="3" xfId="8719" applyNumberFormat="1" applyFill="1" applyBorder="1" applyAlignment="1" applyProtection="1">
      <alignment horizontal="center"/>
      <protection locked="0"/>
    </xf>
    <xf numFmtId="14" fontId="4" fillId="43" borderId="4" xfId="8719" applyNumberFormat="1" applyFill="1" applyBorder="1" applyAlignment="1" applyProtection="1">
      <alignment horizontal="center"/>
      <protection locked="0"/>
    </xf>
    <xf numFmtId="14" fontId="4" fillId="43" borderId="5" xfId="8719" applyNumberFormat="1" applyFill="1" applyBorder="1" applyAlignment="1" applyProtection="1">
      <alignment horizontal="center"/>
      <protection locked="0"/>
    </xf>
    <xf numFmtId="14" fontId="149" fillId="43" borderId="3" xfId="8719" applyNumberFormat="1" applyFont="1" applyFill="1" applyBorder="1" applyAlignment="1" applyProtection="1">
      <alignment horizontal="center"/>
      <protection locked="0"/>
    </xf>
    <xf numFmtId="14" fontId="149" fillId="43" borderId="4" xfId="8719" applyNumberFormat="1" applyFont="1" applyFill="1" applyBorder="1" applyAlignment="1" applyProtection="1">
      <alignment horizontal="center"/>
      <protection locked="0"/>
    </xf>
    <xf numFmtId="0" fontId="165" fillId="45" borderId="102" xfId="8719" applyFont="1" applyFill="1" applyBorder="1" applyAlignment="1">
      <alignment horizontal="left"/>
    </xf>
    <xf numFmtId="0" fontId="165" fillId="45" borderId="103" xfId="8719" applyFont="1" applyFill="1" applyBorder="1" applyAlignment="1">
      <alignment horizontal="left"/>
    </xf>
    <xf numFmtId="0" fontId="165" fillId="45" borderId="104" xfId="8719" applyFont="1" applyFill="1" applyBorder="1" applyAlignment="1">
      <alignment horizontal="left"/>
    </xf>
    <xf numFmtId="0" fontId="100" fillId="43" borderId="3" xfId="8719" applyFont="1" applyFill="1" applyBorder="1" applyAlignment="1" applyProtection="1">
      <alignment horizontal="center"/>
      <protection locked="0"/>
    </xf>
    <xf numFmtId="0" fontId="100" fillId="43" borderId="4" xfId="8719" applyFont="1" applyFill="1" applyBorder="1" applyAlignment="1" applyProtection="1">
      <alignment horizontal="center"/>
      <protection locked="0"/>
    </xf>
    <xf numFmtId="0" fontId="100" fillId="43" borderId="5" xfId="8719" applyFont="1" applyFill="1" applyBorder="1" applyAlignment="1" applyProtection="1">
      <alignment horizontal="center"/>
      <protection locked="0"/>
    </xf>
    <xf numFmtId="0" fontId="144" fillId="45" borderId="77" xfId="8719" applyFont="1" applyFill="1" applyBorder="1" applyAlignment="1">
      <alignment horizontal="center"/>
    </xf>
    <xf numFmtId="0" fontId="144" fillId="45" borderId="78" xfId="8719" applyFont="1" applyFill="1" applyBorder="1" applyAlignment="1">
      <alignment horizontal="center"/>
    </xf>
    <xf numFmtId="0" fontId="144" fillId="45" borderId="79" xfId="8719" applyFont="1" applyFill="1" applyBorder="1" applyAlignment="1">
      <alignment horizontal="center"/>
    </xf>
    <xf numFmtId="0" fontId="100" fillId="45" borderId="5" xfId="8719" applyFont="1" applyFill="1" applyBorder="1" applyAlignment="1">
      <alignment horizontal="center"/>
    </xf>
    <xf numFmtId="0" fontId="100" fillId="45" borderId="3" xfId="8719" applyFont="1" applyFill="1" applyBorder="1" applyAlignment="1">
      <alignment horizontal="center"/>
    </xf>
    <xf numFmtId="0" fontId="153" fillId="45" borderId="3" xfId="8719" applyFont="1" applyFill="1" applyBorder="1" applyAlignment="1">
      <alignment horizontal="center"/>
    </xf>
    <xf numFmtId="0" fontId="153" fillId="45" borderId="4" xfId="8719" applyFont="1" applyFill="1" applyBorder="1" applyAlignment="1">
      <alignment horizontal="center"/>
    </xf>
    <xf numFmtId="0" fontId="153" fillId="45" borderId="5" xfId="8719" applyFont="1" applyFill="1" applyBorder="1" applyAlignment="1">
      <alignment horizontal="center"/>
    </xf>
    <xf numFmtId="0" fontId="100" fillId="45" borderId="86" xfId="8719" applyFont="1" applyFill="1" applyBorder="1" applyAlignment="1">
      <alignment horizontal="center"/>
    </xf>
    <xf numFmtId="0" fontId="100" fillId="45" borderId="84" xfId="8719" applyFont="1" applyFill="1" applyBorder="1" applyAlignment="1">
      <alignment horizontal="center"/>
    </xf>
    <xf numFmtId="0" fontId="100" fillId="45" borderId="87" xfId="8719" applyFont="1" applyFill="1" applyBorder="1" applyAlignment="1">
      <alignment horizontal="center"/>
    </xf>
    <xf numFmtId="0" fontId="100" fillId="45" borderId="80" xfId="8719" applyFont="1" applyFill="1" applyBorder="1" applyAlignment="1">
      <alignment horizontal="center"/>
    </xf>
    <xf numFmtId="0" fontId="100" fillId="45" borderId="2" xfId="8719" applyFont="1" applyFill="1" applyBorder="1" applyAlignment="1">
      <alignment horizontal="center"/>
    </xf>
    <xf numFmtId="0" fontId="100" fillId="45" borderId="7" xfId="8719" applyFont="1" applyFill="1" applyBorder="1" applyAlignment="1">
      <alignment horizontal="center"/>
    </xf>
    <xf numFmtId="0" fontId="100" fillId="45" borderId="88" xfId="8719" applyFont="1" applyFill="1" applyBorder="1" applyAlignment="1">
      <alignment horizontal="center"/>
    </xf>
    <xf numFmtId="0" fontId="100" fillId="45" borderId="42" xfId="8719" applyFont="1" applyFill="1" applyBorder="1" applyAlignment="1">
      <alignment horizontal="center"/>
    </xf>
    <xf numFmtId="0" fontId="100" fillId="45" borderId="89" xfId="8719" applyFont="1" applyFill="1" applyBorder="1" applyAlignment="1">
      <alignment horizontal="center"/>
    </xf>
    <xf numFmtId="0" fontId="144" fillId="45" borderId="1" xfId="8719" applyFont="1" applyFill="1" applyBorder="1" applyAlignment="1">
      <alignment horizontal="center" wrapText="1"/>
    </xf>
    <xf numFmtId="0" fontId="144" fillId="45" borderId="2" xfId="8719" applyFont="1" applyFill="1" applyBorder="1" applyAlignment="1">
      <alignment horizontal="center" wrapText="1"/>
    </xf>
    <xf numFmtId="0" fontId="144" fillId="45" borderId="7" xfId="8719" applyFont="1" applyFill="1" applyBorder="1" applyAlignment="1">
      <alignment horizontal="center" wrapText="1"/>
    </xf>
    <xf numFmtId="0" fontId="144" fillId="45" borderId="9" xfId="8719" applyFont="1" applyFill="1" applyBorder="1" applyAlignment="1">
      <alignment horizontal="center" wrapText="1"/>
    </xf>
    <xf numFmtId="0" fontId="144" fillId="45" borderId="6" xfId="8719" applyFont="1" applyFill="1" applyBorder="1" applyAlignment="1">
      <alignment horizontal="center" wrapText="1"/>
    </xf>
    <xf numFmtId="0" fontId="144" fillId="45" borderId="10" xfId="8719" applyFont="1" applyFill="1" applyBorder="1" applyAlignment="1">
      <alignment horizontal="center" wrapText="1"/>
    </xf>
    <xf numFmtId="0" fontId="153" fillId="45" borderId="1" xfId="8719" applyFont="1" applyFill="1" applyBorder="1" applyAlignment="1">
      <alignment horizontal="center" wrapText="1"/>
    </xf>
    <xf numFmtId="0" fontId="153" fillId="45" borderId="2" xfId="8719" applyFont="1" applyFill="1" applyBorder="1" applyAlignment="1">
      <alignment horizontal="center" wrapText="1"/>
    </xf>
    <xf numFmtId="0" fontId="153" fillId="45" borderId="7" xfId="8719" applyFont="1" applyFill="1" applyBorder="1" applyAlignment="1">
      <alignment horizontal="center" wrapText="1"/>
    </xf>
    <xf numFmtId="0" fontId="153" fillId="45" borderId="9" xfId="8719" applyFont="1" applyFill="1" applyBorder="1" applyAlignment="1">
      <alignment horizontal="center" wrapText="1"/>
    </xf>
    <xf numFmtId="0" fontId="153" fillId="45" borderId="6" xfId="8719" applyFont="1" applyFill="1" applyBorder="1" applyAlignment="1">
      <alignment horizontal="center" wrapText="1"/>
    </xf>
    <xf numFmtId="0" fontId="153" fillId="45" borderId="10" xfId="8719" applyFont="1" applyFill="1" applyBorder="1" applyAlignment="1">
      <alignment horizontal="center" wrapText="1"/>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29" xfId="8719" applyFont="1" applyFill="1" applyBorder="1" applyAlignment="1">
      <alignment horizontal="center"/>
    </xf>
    <xf numFmtId="0" fontId="149" fillId="43" borderId="29" xfId="8719" applyFont="1" applyFill="1" applyBorder="1" applyAlignment="1" applyProtection="1">
      <alignment horizontal="center"/>
      <protection locked="0"/>
    </xf>
    <xf numFmtId="0" fontId="149" fillId="43" borderId="31" xfId="8719" applyFont="1" applyFill="1" applyBorder="1" applyAlignment="1" applyProtection="1">
      <alignment horizontal="center"/>
      <protection locked="0"/>
    </xf>
    <xf numFmtId="0" fontId="157" fillId="45" borderId="68" xfId="8719" applyFont="1" applyFill="1" applyBorder="1" applyAlignment="1">
      <alignment horizontal="center"/>
    </xf>
    <xf numFmtId="0" fontId="157" fillId="45" borderId="69" xfId="8719" applyFont="1" applyFill="1" applyBorder="1" applyAlignment="1">
      <alignment horizontal="center"/>
    </xf>
    <xf numFmtId="0" fontId="157" fillId="45" borderId="70" xfId="8719" applyFont="1" applyFill="1" applyBorder="1" applyAlignment="1">
      <alignment horizontal="center"/>
    </xf>
    <xf numFmtId="0" fontId="168" fillId="43" borderId="68" xfId="8719" applyFont="1" applyFill="1" applyBorder="1" applyAlignment="1" applyProtection="1">
      <alignment horizontal="left"/>
      <protection locked="0"/>
    </xf>
    <xf numFmtId="0" fontId="168" fillId="43" borderId="69" xfId="8719" applyFont="1" applyFill="1" applyBorder="1" applyAlignment="1" applyProtection="1">
      <alignment horizontal="left"/>
      <protection locked="0"/>
    </xf>
    <xf numFmtId="0" fontId="168" fillId="43" borderId="70" xfId="8719" applyFont="1" applyFill="1" applyBorder="1" applyAlignment="1" applyProtection="1">
      <alignment horizontal="left"/>
      <protection locked="0"/>
    </xf>
    <xf numFmtId="0" fontId="169" fillId="43" borderId="66" xfId="8719" applyFont="1" applyFill="1" applyBorder="1" applyAlignment="1" applyProtection="1">
      <alignment horizontal="left" vertical="top"/>
      <protection locked="0"/>
    </xf>
    <xf numFmtId="0" fontId="169" fillId="43" borderId="29" xfId="8719" applyFont="1" applyFill="1" applyBorder="1" applyAlignment="1" applyProtection="1">
      <alignment horizontal="left" vertical="top"/>
      <protection locked="0"/>
    </xf>
    <xf numFmtId="0" fontId="169" fillId="43" borderId="31" xfId="8719" applyFont="1" applyFill="1" applyBorder="1" applyAlignment="1" applyProtection="1">
      <alignment horizontal="left" vertical="top"/>
      <protection locked="0"/>
    </xf>
    <xf numFmtId="0" fontId="169" fillId="43" borderId="67" xfId="8719" applyFont="1" applyFill="1" applyBorder="1" applyAlignment="1" applyProtection="1">
      <alignment horizontal="left" vertical="top"/>
      <protection locked="0"/>
    </xf>
    <xf numFmtId="0" fontId="169" fillId="43" borderId="0" xfId="8719" applyFont="1" applyFill="1" applyAlignment="1" applyProtection="1">
      <alignment horizontal="left" vertical="top"/>
      <protection locked="0"/>
    </xf>
    <xf numFmtId="0" fontId="169" fillId="43" borderId="41" xfId="8719" applyFont="1" applyFill="1" applyBorder="1" applyAlignment="1" applyProtection="1">
      <alignment horizontal="left" vertical="top"/>
      <protection locked="0"/>
    </xf>
    <xf numFmtId="0" fontId="169" fillId="43" borderId="88" xfId="8719" applyFont="1" applyFill="1" applyBorder="1" applyAlignment="1" applyProtection="1">
      <alignment horizontal="left" vertical="top"/>
      <protection locked="0"/>
    </xf>
    <xf numFmtId="0" fontId="169" fillId="43" borderId="42" xfId="8719" applyFont="1" applyFill="1" applyBorder="1" applyAlignment="1" applyProtection="1">
      <alignment horizontal="left" vertical="top"/>
      <protection locked="0"/>
    </xf>
    <xf numFmtId="0" fontId="169" fillId="43" borderId="44" xfId="8719" applyFont="1" applyFill="1" applyBorder="1" applyAlignment="1" applyProtection="1">
      <alignment horizontal="left" vertical="top"/>
      <protection locked="0"/>
    </xf>
    <xf numFmtId="0" fontId="144" fillId="45" borderId="91" xfId="8719" applyFont="1" applyFill="1" applyBorder="1" applyAlignment="1">
      <alignment horizontal="center"/>
    </xf>
    <xf numFmtId="0" fontId="100" fillId="43" borderId="85" xfId="8719" applyFont="1" applyFill="1" applyBorder="1" applyAlignment="1" applyProtection="1">
      <alignment horizontal="center"/>
      <protection locked="0"/>
    </xf>
    <xf numFmtId="0" fontId="100" fillId="43" borderId="75" xfId="8719" applyFont="1" applyFill="1" applyBorder="1" applyAlignment="1" applyProtection="1">
      <alignment horizontal="center"/>
      <protection locked="0"/>
    </xf>
    <xf numFmtId="0" fontId="100" fillId="47" borderId="75" xfId="8719" applyFont="1" applyFill="1" applyBorder="1" applyAlignment="1" applyProtection="1">
      <alignment horizontal="center"/>
      <protection locked="0"/>
    </xf>
    <xf numFmtId="0" fontId="100" fillId="47" borderId="95" xfId="8719" applyFont="1" applyFill="1" applyBorder="1" applyAlignment="1" applyProtection="1">
      <alignment horizontal="center"/>
      <protection locked="0"/>
    </xf>
    <xf numFmtId="0" fontId="100" fillId="45" borderId="71" xfId="8719" applyFont="1" applyFill="1" applyBorder="1" applyAlignment="1">
      <alignment horizontal="left" wrapText="1"/>
    </xf>
    <xf numFmtId="0" fontId="100" fillId="45" borderId="72" xfId="8719" applyFont="1" applyFill="1" applyBorder="1" applyAlignment="1">
      <alignment horizontal="left" wrapText="1"/>
    </xf>
    <xf numFmtId="0" fontId="100" fillId="45" borderId="76" xfId="8719" applyFont="1" applyFill="1" applyBorder="1" applyAlignment="1">
      <alignment horizontal="left" wrapText="1"/>
    </xf>
    <xf numFmtId="0" fontId="100" fillId="45" borderId="82" xfId="8719" applyFont="1" applyFill="1" applyBorder="1" applyAlignment="1">
      <alignment horizontal="left" wrapText="1"/>
    </xf>
    <xf numFmtId="0" fontId="100" fillId="45" borderId="11" xfId="8719" applyFont="1" applyFill="1" applyBorder="1" applyAlignment="1">
      <alignment horizontal="left" wrapText="1"/>
    </xf>
    <xf numFmtId="0" fontId="100" fillId="45" borderId="93" xfId="8719" applyFont="1" applyFill="1" applyBorder="1" applyAlignment="1">
      <alignment horizontal="left" wrapText="1"/>
    </xf>
    <xf numFmtId="0" fontId="164" fillId="45" borderId="68" xfId="8719" applyFont="1" applyFill="1" applyBorder="1" applyAlignment="1">
      <alignment horizontal="left"/>
    </xf>
    <xf numFmtId="0" fontId="164" fillId="45" borderId="69" xfId="8719" applyFont="1" applyFill="1" applyBorder="1" applyAlignment="1">
      <alignment horizontal="left"/>
    </xf>
    <xf numFmtId="0" fontId="164" fillId="45" borderId="70" xfId="8719" applyFont="1" applyFill="1" applyBorder="1" applyAlignment="1">
      <alignment horizontal="left"/>
    </xf>
    <xf numFmtId="0" fontId="167" fillId="43" borderId="82" xfId="8719" applyFont="1" applyFill="1" applyBorder="1" applyAlignment="1" applyProtection="1">
      <alignment horizontal="left" vertical="top"/>
      <protection locked="0"/>
    </xf>
    <xf numFmtId="0" fontId="167" fillId="43" borderId="11" xfId="8719" applyFont="1" applyFill="1" applyBorder="1" applyAlignment="1" applyProtection="1">
      <alignment horizontal="left" vertical="top"/>
      <protection locked="0"/>
    </xf>
    <xf numFmtId="0" fontId="167" fillId="43" borderId="93" xfId="8719" applyFont="1" applyFill="1" applyBorder="1" applyAlignment="1" applyProtection="1">
      <alignment horizontal="left" vertical="top"/>
      <protection locked="0"/>
    </xf>
    <xf numFmtId="0" fontId="167" fillId="43" borderId="74" xfId="8719" applyFont="1" applyFill="1" applyBorder="1" applyAlignment="1" applyProtection="1">
      <alignment horizontal="left" vertical="top"/>
      <protection locked="0"/>
    </xf>
    <xf numFmtId="0" fontId="167" fillId="43" borderId="75" xfId="8719" applyFont="1" applyFill="1" applyBorder="1" applyAlignment="1" applyProtection="1">
      <alignment horizontal="left" vertical="top"/>
      <protection locked="0"/>
    </xf>
    <xf numFmtId="0" fontId="167" fillId="43" borderId="95" xfId="8719" applyFont="1" applyFill="1" applyBorder="1" applyAlignment="1" applyProtection="1">
      <alignment horizontal="left" vertical="top"/>
      <protection locked="0"/>
    </xf>
    <xf numFmtId="0" fontId="100" fillId="43" borderId="10" xfId="8719" applyFont="1" applyFill="1" applyBorder="1" applyAlignment="1" applyProtection="1">
      <alignment horizontal="center"/>
      <protection locked="0"/>
    </xf>
    <xf numFmtId="0" fontId="100" fillId="43" borderId="13" xfId="8719" applyFont="1" applyFill="1" applyBorder="1" applyAlignment="1" applyProtection="1">
      <alignment horizontal="center"/>
      <protection locked="0"/>
    </xf>
    <xf numFmtId="0" fontId="100" fillId="43" borderId="98" xfId="8719" applyFont="1" applyFill="1" applyBorder="1" applyAlignment="1" applyProtection="1">
      <alignment horizontal="center"/>
      <protection locked="0"/>
    </xf>
    <xf numFmtId="0" fontId="167" fillId="43" borderId="66" xfId="8719" applyFont="1" applyFill="1" applyBorder="1" applyAlignment="1">
      <alignment horizontal="left" vertical="top"/>
    </xf>
    <xf numFmtId="0" fontId="167" fillId="43" borderId="29" xfId="8719" applyFont="1" applyFill="1" applyBorder="1" applyAlignment="1">
      <alignment horizontal="left" vertical="top"/>
    </xf>
    <xf numFmtId="0" fontId="167" fillId="43" borderId="31" xfId="8719" applyFont="1" applyFill="1" applyBorder="1" applyAlignment="1">
      <alignment horizontal="left" vertical="top"/>
    </xf>
    <xf numFmtId="0" fontId="167" fillId="43" borderId="88" xfId="8719" applyFont="1" applyFill="1" applyBorder="1" applyAlignment="1">
      <alignment horizontal="left" vertical="top"/>
    </xf>
    <xf numFmtId="0" fontId="167" fillId="43" borderId="42" xfId="8719" applyFont="1" applyFill="1" applyBorder="1" applyAlignment="1">
      <alignment horizontal="left" vertical="top"/>
    </xf>
    <xf numFmtId="0" fontId="167" fillId="43" borderId="44" xfId="8719" applyFont="1" applyFill="1" applyBorder="1" applyAlignment="1">
      <alignment horizontal="left" vertical="top"/>
    </xf>
    <xf numFmtId="0" fontId="100" fillId="45" borderId="102" xfId="8719" applyFont="1" applyFill="1" applyBorder="1" applyAlignment="1">
      <alignment horizontal="center"/>
    </xf>
    <xf numFmtId="0" fontId="100" fillId="45" borderId="103" xfId="8719" applyFont="1" applyFill="1" applyBorder="1" applyAlignment="1">
      <alignment horizontal="center"/>
    </xf>
    <xf numFmtId="0" fontId="100" fillId="45" borderId="73" xfId="8719" applyFont="1" applyFill="1" applyBorder="1" applyAlignment="1">
      <alignment horizontal="center"/>
    </xf>
    <xf numFmtId="0" fontId="100" fillId="43" borderId="74" xfId="8719" applyFont="1" applyFill="1" applyBorder="1" applyAlignment="1" applyProtection="1">
      <alignment horizontal="center"/>
      <protection locked="0"/>
    </xf>
    <xf numFmtId="0" fontId="100" fillId="43" borderId="86" xfId="8719" applyFont="1" applyFill="1" applyBorder="1" applyAlignment="1" applyProtection="1">
      <alignment horizontal="center"/>
      <protection locked="0"/>
    </xf>
    <xf numFmtId="0" fontId="4" fillId="43" borderId="75" xfId="8719" applyFill="1" applyBorder="1" applyAlignment="1" applyProtection="1">
      <alignment horizontal="center"/>
      <protection locked="0"/>
    </xf>
    <xf numFmtId="0" fontId="4" fillId="43" borderId="95" xfId="8719" applyFill="1" applyBorder="1" applyAlignment="1" applyProtection="1">
      <alignment horizontal="center"/>
      <protection locked="0"/>
    </xf>
    <xf numFmtId="0" fontId="100" fillId="43" borderId="9" xfId="8719" applyFont="1" applyFill="1" applyBorder="1" applyAlignment="1" applyProtection="1">
      <alignment horizontal="center"/>
      <protection locked="0"/>
    </xf>
    <xf numFmtId="0" fontId="4" fillId="43" borderId="13" xfId="8719" applyFill="1" applyBorder="1" applyAlignment="1" applyProtection="1">
      <alignment horizontal="center"/>
      <protection locked="0"/>
    </xf>
    <xf numFmtId="0" fontId="4" fillId="43" borderId="98" xfId="8719" applyFill="1" applyBorder="1" applyAlignment="1" applyProtection="1">
      <alignment horizontal="center"/>
      <protection locked="0"/>
    </xf>
    <xf numFmtId="0" fontId="100" fillId="43" borderId="97" xfId="8719" applyFont="1" applyFill="1" applyBorder="1" applyAlignment="1" applyProtection="1">
      <alignment horizontal="center"/>
      <protection locked="0"/>
    </xf>
    <xf numFmtId="0" fontId="100" fillId="45" borderId="66" xfId="8719" applyFont="1" applyFill="1" applyBorder="1" applyAlignment="1">
      <alignment horizontal="left" wrapText="1"/>
    </xf>
    <xf numFmtId="0" fontId="100" fillId="45" borderId="29" xfId="8719" applyFont="1" applyFill="1" applyBorder="1" applyAlignment="1">
      <alignment horizontal="left" wrapText="1"/>
    </xf>
    <xf numFmtId="0" fontId="100" fillId="45" borderId="67" xfId="8719" applyFont="1" applyFill="1" applyBorder="1" applyAlignment="1">
      <alignment horizontal="left" wrapText="1"/>
    </xf>
    <xf numFmtId="0" fontId="100" fillId="45" borderId="0" xfId="8719" applyFont="1" applyFill="1" applyAlignment="1">
      <alignment horizontal="left" wrapText="1"/>
    </xf>
    <xf numFmtId="0" fontId="100" fillId="45" borderId="88" xfId="8719" applyFont="1" applyFill="1" applyBorder="1" applyAlignment="1">
      <alignment horizontal="left" wrapText="1"/>
    </xf>
    <xf numFmtId="0" fontId="100" fillId="45" borderId="42" xfId="8719" applyFont="1" applyFill="1" applyBorder="1" applyAlignment="1">
      <alignment horizontal="left" wrapText="1"/>
    </xf>
    <xf numFmtId="0" fontId="149" fillId="43" borderId="0" xfId="8719" applyFont="1" applyFill="1" applyAlignment="1" applyProtection="1">
      <alignment horizontal="center"/>
      <protection locked="0"/>
    </xf>
    <xf numFmtId="0" fontId="149" fillId="43" borderId="41" xfId="8719" applyFont="1" applyFill="1" applyBorder="1" applyAlignment="1" applyProtection="1">
      <alignment horizontal="center"/>
      <protection locked="0"/>
    </xf>
    <xf numFmtId="0" fontId="149" fillId="43" borderId="42" xfId="8719" applyFont="1" applyFill="1" applyBorder="1" applyAlignment="1" applyProtection="1">
      <alignment horizontal="center"/>
      <protection locked="0"/>
    </xf>
    <xf numFmtId="0" fontId="149" fillId="43" borderId="44" xfId="8719" applyFont="1" applyFill="1" applyBorder="1" applyAlignment="1" applyProtection="1">
      <alignment horizontal="center"/>
      <protection locked="0"/>
    </xf>
    <xf numFmtId="0" fontId="100" fillId="45" borderId="71" xfId="8719" applyFont="1" applyFill="1" applyBorder="1" applyAlignment="1">
      <alignment horizontal="center"/>
    </xf>
    <xf numFmtId="0" fontId="100" fillId="45" borderId="72" xfId="8719" applyFont="1" applyFill="1" applyBorder="1" applyAlignment="1">
      <alignment horizontal="center"/>
    </xf>
    <xf numFmtId="0" fontId="100" fillId="45" borderId="82" xfId="8719" applyFont="1" applyFill="1" applyBorder="1" applyAlignment="1">
      <alignment horizontal="center"/>
    </xf>
    <xf numFmtId="0" fontId="100" fillId="45" borderId="11" xfId="8719" applyFont="1" applyFill="1" applyBorder="1" applyAlignment="1">
      <alignment horizontal="center"/>
    </xf>
    <xf numFmtId="0" fontId="100" fillId="45" borderId="72" xfId="8719" applyFont="1" applyFill="1" applyBorder="1" applyAlignment="1">
      <alignment horizontal="center" wrapText="1"/>
    </xf>
    <xf numFmtId="0" fontId="100" fillId="45" borderId="11" xfId="8719" applyFont="1" applyFill="1" applyBorder="1" applyAlignment="1">
      <alignment horizontal="center" wrapText="1"/>
    </xf>
    <xf numFmtId="0" fontId="144" fillId="45" borderId="72" xfId="8719" applyFont="1" applyFill="1" applyBorder="1" applyAlignment="1">
      <alignment horizontal="center"/>
    </xf>
    <xf numFmtId="0" fontId="144" fillId="45" borderId="76" xfId="8719" applyFont="1" applyFill="1" applyBorder="1" applyAlignment="1">
      <alignment horizontal="center"/>
    </xf>
    <xf numFmtId="0" fontId="144" fillId="45" borderId="11" xfId="8719" applyFont="1" applyFill="1" applyBorder="1" applyAlignment="1">
      <alignment horizontal="center"/>
    </xf>
    <xf numFmtId="0" fontId="144" fillId="45" borderId="93" xfId="8719" applyFont="1" applyFill="1" applyBorder="1" applyAlignment="1">
      <alignment horizontal="center"/>
    </xf>
    <xf numFmtId="0" fontId="100" fillId="45" borderId="104" xfId="8719" applyFont="1" applyFill="1" applyBorder="1" applyAlignment="1">
      <alignment horizontal="center"/>
    </xf>
    <xf numFmtId="0" fontId="100" fillId="43" borderId="95" xfId="8719" applyFont="1" applyFill="1" applyBorder="1" applyAlignment="1" applyProtection="1">
      <alignment horizontal="center"/>
      <protection locked="0"/>
    </xf>
    <xf numFmtId="0" fontId="100" fillId="43" borderId="11" xfId="8719" applyFont="1" applyFill="1" applyBorder="1" applyAlignment="1" applyProtection="1">
      <alignment horizontal="center"/>
      <protection locked="0"/>
    </xf>
    <xf numFmtId="0" fontId="100" fillId="43" borderId="93" xfId="8719" applyFont="1" applyFill="1" applyBorder="1" applyAlignment="1" applyProtection="1">
      <alignment horizontal="center"/>
      <protection locked="0"/>
    </xf>
    <xf numFmtId="0" fontId="100" fillId="45" borderId="66" xfId="8719" applyFont="1" applyFill="1" applyBorder="1" applyAlignment="1">
      <alignment horizontal="center" wrapText="1"/>
    </xf>
    <xf numFmtId="0" fontId="100" fillId="45" borderId="29" xfId="8719" applyFont="1" applyFill="1" applyBorder="1" applyAlignment="1">
      <alignment horizontal="center" wrapText="1"/>
    </xf>
    <xf numFmtId="0" fontId="100" fillId="45" borderId="31" xfId="8719" applyFont="1" applyFill="1" applyBorder="1" applyAlignment="1">
      <alignment horizontal="center" wrapText="1"/>
    </xf>
    <xf numFmtId="0" fontId="100" fillId="45" borderId="44" xfId="8719" applyFont="1" applyFill="1" applyBorder="1" applyAlignment="1">
      <alignment horizontal="center"/>
    </xf>
    <xf numFmtId="0" fontId="4" fillId="43" borderId="82" xfId="8719" applyFill="1" applyBorder="1" applyAlignment="1" applyProtection="1">
      <alignment horizontal="center"/>
      <protection locked="0"/>
    </xf>
    <xf numFmtId="182" fontId="149" fillId="43" borderId="11" xfId="700" applyNumberFormat="1" applyFont="1" applyFill="1" applyBorder="1" applyAlignment="1" applyProtection="1">
      <alignment horizontal="center"/>
      <protection locked="0"/>
    </xf>
    <xf numFmtId="182" fontId="149" fillId="43" borderId="93" xfId="700" applyNumberFormat="1" applyFont="1" applyFill="1" applyBorder="1" applyAlignment="1" applyProtection="1">
      <alignment horizontal="center"/>
      <protection locked="0"/>
    </xf>
    <xf numFmtId="0" fontId="144" fillId="45" borderId="71" xfId="8719" applyFont="1" applyFill="1" applyBorder="1" applyAlignment="1">
      <alignment horizontal="center"/>
    </xf>
    <xf numFmtId="182" fontId="149" fillId="43" borderId="99" xfId="700" applyNumberFormat="1" applyFont="1" applyFill="1" applyBorder="1" applyAlignment="1" applyProtection="1">
      <alignment horizontal="center"/>
      <protection locked="0"/>
    </xf>
    <xf numFmtId="182" fontId="149" fillId="43" borderId="100" xfId="700" applyNumberFormat="1" applyFont="1" applyFill="1" applyBorder="1" applyAlignment="1" applyProtection="1">
      <alignment horizontal="center"/>
      <protection locked="0"/>
    </xf>
    <xf numFmtId="0" fontId="144" fillId="45" borderId="96" xfId="8719" applyFont="1" applyFill="1" applyBorder="1" applyAlignment="1">
      <alignment horizontal="right"/>
    </xf>
    <xf numFmtId="0" fontId="144" fillId="45" borderId="43" xfId="8719" applyFont="1" applyFill="1" applyBorder="1" applyAlignment="1">
      <alignment horizontal="right"/>
    </xf>
    <xf numFmtId="44" fontId="144" fillId="45" borderId="43" xfId="8719" applyNumberFormat="1" applyFont="1" applyFill="1" applyBorder="1" applyAlignment="1">
      <alignment horizontal="center"/>
    </xf>
    <xf numFmtId="0" fontId="144" fillId="45" borderId="43" xfId="8719" applyFont="1" applyFill="1" applyBorder="1" applyAlignment="1">
      <alignment horizontal="center"/>
    </xf>
    <xf numFmtId="0" fontId="144" fillId="45" borderId="101" xfId="8719" applyFont="1" applyFill="1" applyBorder="1" applyAlignment="1">
      <alignment horizontal="center"/>
    </xf>
    <xf numFmtId="0" fontId="101" fillId="43" borderId="82" xfId="8719" applyFont="1" applyFill="1" applyBorder="1" applyAlignment="1" applyProtection="1">
      <alignment horizontal="center"/>
      <protection locked="0"/>
    </xf>
    <xf numFmtId="0" fontId="101" fillId="43" borderId="11" xfId="8719" applyFont="1" applyFill="1" applyBorder="1" applyAlignment="1" applyProtection="1">
      <alignment horizontal="center"/>
      <protection locked="0"/>
    </xf>
    <xf numFmtId="0" fontId="144" fillId="45" borderId="97" xfId="8719" applyFont="1" applyFill="1" applyBorder="1" applyAlignment="1">
      <alignment horizontal="center"/>
    </xf>
    <xf numFmtId="0" fontId="144" fillId="45" borderId="13" xfId="8719" applyFont="1" applyFill="1" applyBorder="1" applyAlignment="1">
      <alignment horizontal="center"/>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5" borderId="82" xfId="8719" applyFont="1" applyFill="1" applyBorder="1" applyAlignment="1">
      <alignment horizontal="center"/>
    </xf>
    <xf numFmtId="0" fontId="144" fillId="45" borderId="3" xfId="8719" applyFont="1" applyFill="1" applyBorder="1" applyAlignment="1">
      <alignment horizontal="center"/>
    </xf>
    <xf numFmtId="0" fontId="149" fillId="43" borderId="95" xfId="8719" applyFont="1" applyFill="1" applyBorder="1" applyAlignment="1" applyProtection="1">
      <alignment horizontal="center"/>
      <protection locked="0"/>
    </xf>
    <xf numFmtId="0" fontId="155" fillId="43" borderId="82" xfId="8719" applyFont="1" applyFill="1" applyBorder="1" applyAlignment="1" applyProtection="1">
      <alignment horizontal="center"/>
      <protection locked="0"/>
    </xf>
    <xf numFmtId="0" fontId="155" fillId="43" borderId="11" xfId="8719" applyFont="1" applyFill="1" applyBorder="1" applyAlignment="1" applyProtection="1">
      <alignment horizontal="center"/>
      <protection locked="0"/>
    </xf>
    <xf numFmtId="0" fontId="155" fillId="43" borderId="93" xfId="8719" applyFont="1" applyFill="1" applyBorder="1" applyAlignment="1" applyProtection="1">
      <alignment horizontal="center"/>
      <protection locked="0"/>
    </xf>
    <xf numFmtId="0" fontId="155" fillId="43" borderId="5" xfId="8719" applyFont="1" applyFill="1" applyBorder="1" applyAlignment="1" applyProtection="1">
      <alignment horizontal="center"/>
      <protection locked="0"/>
    </xf>
    <xf numFmtId="0" fontId="155" fillId="43" borderId="74" xfId="8719" applyFont="1" applyFill="1" applyBorder="1" applyAlignment="1" applyProtection="1">
      <alignment horizontal="center"/>
      <protection locked="0"/>
    </xf>
    <xf numFmtId="0" fontId="155" fillId="43" borderId="75" xfId="8719" applyFont="1" applyFill="1" applyBorder="1" applyAlignment="1" applyProtection="1">
      <alignment horizontal="center"/>
      <protection locked="0"/>
    </xf>
    <xf numFmtId="0" fontId="155" fillId="43" borderId="95" xfId="8719" applyFont="1" applyFill="1" applyBorder="1" applyAlignment="1" applyProtection="1">
      <alignment horizontal="center"/>
      <protection locked="0"/>
    </xf>
    <xf numFmtId="0" fontId="155" fillId="43" borderId="85" xfId="8719" applyFont="1" applyFill="1" applyBorder="1" applyAlignment="1" applyProtection="1">
      <alignment horizontal="center"/>
      <protection locked="0"/>
    </xf>
    <xf numFmtId="0" fontId="52" fillId="45" borderId="66" xfId="8719" applyFont="1" applyFill="1" applyBorder="1" applyAlignment="1">
      <alignment horizontal="center"/>
    </xf>
    <xf numFmtId="0" fontId="52" fillId="45" borderId="29" xfId="8719" applyFont="1" applyFill="1" applyBorder="1" applyAlignment="1">
      <alignment horizontal="center"/>
    </xf>
    <xf numFmtId="0" fontId="52" fillId="45" borderId="31" xfId="8719" applyFont="1" applyFill="1" applyBorder="1" applyAlignment="1">
      <alignment horizontal="center"/>
    </xf>
    <xf numFmtId="182" fontId="155" fillId="43" borderId="75" xfId="8720" applyNumberFormat="1" applyFont="1" applyFill="1" applyBorder="1" applyAlignment="1" applyProtection="1">
      <alignment horizontal="center"/>
      <protection locked="0"/>
    </xf>
    <xf numFmtId="180" fontId="155" fillId="43" borderId="75" xfId="8719" applyNumberFormat="1" applyFont="1" applyFill="1" applyBorder="1" applyAlignment="1" applyProtection="1">
      <alignment horizontal="center"/>
      <protection locked="0"/>
    </xf>
    <xf numFmtId="182" fontId="155" fillId="43" borderId="75" xfId="700" applyNumberFormat="1" applyFont="1" applyFill="1" applyBorder="1" applyAlignment="1" applyProtection="1">
      <alignment horizontal="center"/>
      <protection locked="0"/>
    </xf>
    <xf numFmtId="182" fontId="155" fillId="43" borderId="95" xfId="700" applyNumberFormat="1" applyFont="1" applyFill="1" applyBorder="1" applyAlignment="1" applyProtection="1">
      <alignment horizontal="center"/>
      <protection locked="0"/>
    </xf>
    <xf numFmtId="0" fontId="145" fillId="45" borderId="96" xfId="8719" applyFont="1" applyFill="1" applyBorder="1" applyAlignment="1">
      <alignment horizontal="center"/>
    </xf>
    <xf numFmtId="0" fontId="145" fillId="45" borderId="43" xfId="8719" applyFont="1" applyFill="1" applyBorder="1" applyAlignment="1">
      <alignment horizontal="center"/>
    </xf>
    <xf numFmtId="182" fontId="145" fillId="45" borderId="43" xfId="8720" applyNumberFormat="1" applyFont="1" applyFill="1" applyBorder="1" applyAlignment="1">
      <alignment horizontal="center"/>
    </xf>
    <xf numFmtId="180" fontId="145" fillId="45" borderId="43" xfId="8720" applyNumberFormat="1" applyFont="1" applyFill="1" applyBorder="1" applyAlignment="1">
      <alignment horizontal="center"/>
    </xf>
    <xf numFmtId="44" fontId="145" fillId="45" borderId="43" xfId="8720" applyFont="1" applyFill="1" applyBorder="1" applyAlignment="1">
      <alignment horizontal="center"/>
    </xf>
    <xf numFmtId="182" fontId="155" fillId="43" borderId="11" xfId="8720" applyNumberFormat="1" applyFont="1" applyFill="1" applyBorder="1" applyAlignment="1" applyProtection="1">
      <alignment horizontal="center"/>
      <protection locked="0"/>
    </xf>
    <xf numFmtId="180" fontId="155" fillId="43" borderId="11" xfId="8719" applyNumberFormat="1" applyFont="1" applyFill="1" applyBorder="1" applyAlignment="1" applyProtection="1">
      <alignment horizontal="center"/>
      <protection locked="0"/>
    </xf>
    <xf numFmtId="182" fontId="155" fillId="43" borderId="11" xfId="700" applyNumberFormat="1" applyFont="1" applyFill="1" applyBorder="1" applyAlignment="1" applyProtection="1">
      <alignment horizontal="center"/>
      <protection locked="0"/>
    </xf>
    <xf numFmtId="182" fontId="155" fillId="43" borderId="93" xfId="700" applyNumberFormat="1" applyFont="1" applyFill="1" applyBorder="1" applyAlignment="1" applyProtection="1">
      <alignment horizontal="center"/>
      <protection locked="0"/>
    </xf>
    <xf numFmtId="0" fontId="144" fillId="45" borderId="70" xfId="8719" applyFont="1" applyFill="1" applyBorder="1" applyAlignment="1">
      <alignment horizontal="center"/>
    </xf>
    <xf numFmtId="0" fontId="145" fillId="45" borderId="66" xfId="8719" applyFont="1" applyFill="1" applyBorder="1" applyAlignment="1">
      <alignment horizontal="center"/>
    </xf>
    <xf numFmtId="0" fontId="145" fillId="45" borderId="29" xfId="8719" applyFont="1" applyFill="1" applyBorder="1" applyAlignment="1">
      <alignment horizontal="center"/>
    </xf>
    <xf numFmtId="0" fontId="145" fillId="45" borderId="31" xfId="8719" applyFont="1" applyFill="1" applyBorder="1" applyAlignment="1">
      <alignment horizontal="center"/>
    </xf>
    <xf numFmtId="0" fontId="52" fillId="45" borderId="66" xfId="8719" applyFont="1" applyFill="1" applyBorder="1" applyAlignment="1">
      <alignment horizontal="center" vertical="center" wrapText="1"/>
    </xf>
    <xf numFmtId="0" fontId="52" fillId="45" borderId="29" xfId="8719" applyFont="1" applyFill="1" applyBorder="1" applyAlignment="1">
      <alignment horizontal="center" vertical="center" wrapText="1"/>
    </xf>
    <xf numFmtId="0" fontId="52" fillId="45" borderId="31" xfId="8719" applyFont="1" applyFill="1" applyBorder="1" applyAlignment="1">
      <alignment horizontal="center" vertical="center" wrapText="1"/>
    </xf>
    <xf numFmtId="0" fontId="30" fillId="45" borderId="66" xfId="8719" applyFont="1" applyFill="1" applyBorder="1" applyAlignment="1">
      <alignment horizontal="center" vertical="center" wrapText="1"/>
    </xf>
    <xf numFmtId="0" fontId="30" fillId="45" borderId="29" xfId="8719" applyFont="1" applyFill="1" applyBorder="1" applyAlignment="1">
      <alignment horizontal="center" vertical="center" wrapText="1"/>
    </xf>
    <xf numFmtId="0" fontId="30" fillId="45" borderId="31" xfId="8719" applyFont="1" applyFill="1" applyBorder="1" applyAlignment="1">
      <alignment horizontal="center" vertical="center" wrapText="1"/>
    </xf>
    <xf numFmtId="1" fontId="4" fillId="43" borderId="11" xfId="8719" applyNumberFormat="1" applyFill="1" applyBorder="1" applyAlignment="1" applyProtection="1">
      <alignment horizontal="center"/>
      <protection locked="0"/>
    </xf>
    <xf numFmtId="1" fontId="149" fillId="44" borderId="13" xfId="8719" applyNumberFormat="1" applyFont="1" applyFill="1" applyBorder="1" applyAlignment="1">
      <alignment horizontal="center"/>
    </xf>
    <xf numFmtId="9" fontId="149" fillId="44" borderId="13" xfId="8721" applyFont="1" applyFill="1" applyBorder="1" applyAlignment="1">
      <alignment horizontal="center"/>
    </xf>
    <xf numFmtId="0" fontId="145" fillId="43" borderId="74" xfId="8719" applyFont="1" applyFill="1" applyBorder="1" applyAlignment="1" applyProtection="1">
      <alignment horizontal="right"/>
      <protection locked="0"/>
    </xf>
    <xf numFmtId="0" fontId="145" fillId="43" borderId="75" xfId="8719" applyFont="1" applyFill="1" applyBorder="1" applyAlignment="1" applyProtection="1">
      <alignment horizontal="right"/>
      <protection locked="0"/>
    </xf>
    <xf numFmtId="0" fontId="145" fillId="43" borderId="95" xfId="8719" applyFont="1" applyFill="1" applyBorder="1" applyAlignment="1" applyProtection="1">
      <alignment horizontal="right"/>
      <protection locked="0"/>
    </xf>
    <xf numFmtId="0" fontId="4" fillId="43" borderId="85" xfId="8719" applyFill="1" applyBorder="1" applyAlignment="1" applyProtection="1">
      <alignment horizontal="center"/>
      <protection locked="0"/>
    </xf>
    <xf numFmtId="0" fontId="4" fillId="43" borderId="74" xfId="8719" applyFill="1" applyBorder="1" applyAlignment="1" applyProtection="1">
      <alignment horizontal="center"/>
      <protection locked="0"/>
    </xf>
    <xf numFmtId="0" fontId="4" fillId="43" borderId="86" xfId="8719" applyFill="1" applyBorder="1" applyAlignment="1" applyProtection="1">
      <alignment horizontal="center"/>
      <protection locked="0"/>
    </xf>
    <xf numFmtId="0" fontId="145" fillId="43" borderId="82" xfId="8719" applyFont="1" applyFill="1" applyBorder="1" applyAlignment="1" applyProtection="1">
      <alignment horizontal="right"/>
      <protection locked="0"/>
    </xf>
    <xf numFmtId="0" fontId="145" fillId="43" borderId="11" xfId="8719" applyFont="1" applyFill="1" applyBorder="1" applyAlignment="1" applyProtection="1">
      <alignment horizontal="right"/>
      <protection locked="0"/>
    </xf>
    <xf numFmtId="0" fontId="145" fillId="43" borderId="93" xfId="8719" applyFont="1" applyFill="1" applyBorder="1" applyAlignment="1" applyProtection="1">
      <alignment horizontal="right"/>
      <protection locked="0"/>
    </xf>
    <xf numFmtId="0" fontId="4" fillId="43" borderId="5" xfId="8719" applyFill="1" applyBorder="1" applyAlignment="1" applyProtection="1">
      <alignment horizontal="center"/>
      <protection locked="0"/>
    </xf>
    <xf numFmtId="0" fontId="4" fillId="43" borderId="93" xfId="8719" applyFill="1" applyBorder="1" applyAlignment="1" applyProtection="1">
      <alignment horizontal="center"/>
      <protection locked="0"/>
    </xf>
    <xf numFmtId="0" fontId="147" fillId="43" borderId="82" xfId="8719" applyFont="1" applyFill="1" applyBorder="1" applyAlignment="1" applyProtection="1">
      <alignment horizontal="center"/>
      <protection locked="0"/>
    </xf>
    <xf numFmtId="0" fontId="147" fillId="43" borderId="11" xfId="8719"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4" fillId="43" borderId="3" xfId="8719" applyFill="1" applyBorder="1" applyAlignment="1" applyProtection="1">
      <alignment horizontal="center"/>
      <protection locked="0"/>
    </xf>
    <xf numFmtId="0" fontId="145" fillId="43" borderId="94" xfId="8719" applyFont="1" applyFill="1" applyBorder="1" applyAlignment="1" applyProtection="1">
      <alignment horizontal="right"/>
      <protection locked="0"/>
    </xf>
    <xf numFmtId="0" fontId="145" fillId="43" borderId="4" xfId="8719" applyFont="1" applyFill="1" applyBorder="1" applyAlignment="1" applyProtection="1">
      <alignment horizontal="right"/>
      <protection locked="0"/>
    </xf>
    <xf numFmtId="0" fontId="145" fillId="43" borderId="81" xfId="8719" applyFont="1" applyFill="1" applyBorder="1" applyAlignment="1" applyProtection="1">
      <alignment horizontal="right"/>
      <protection locked="0"/>
    </xf>
    <xf numFmtId="0" fontId="153" fillId="43" borderId="82" xfId="8719" applyFont="1" applyFill="1" applyBorder="1" applyAlignment="1" applyProtection="1">
      <alignment horizontal="right"/>
      <protection locked="0"/>
    </xf>
    <xf numFmtId="0" fontId="153" fillId="43" borderId="11" xfId="8719" applyFont="1" applyFill="1" applyBorder="1" applyAlignment="1" applyProtection="1">
      <alignment horizontal="right"/>
      <protection locked="0"/>
    </xf>
    <xf numFmtId="0" fontId="153" fillId="43" borderId="93" xfId="8719" applyFont="1" applyFill="1" applyBorder="1" applyAlignment="1" applyProtection="1">
      <alignment horizontal="right"/>
      <protection locked="0"/>
    </xf>
    <xf numFmtId="0" fontId="144" fillId="43" borderId="82" xfId="8719" applyFont="1" applyFill="1" applyBorder="1" applyAlignment="1" applyProtection="1">
      <alignment horizontal="right"/>
      <protection locked="0"/>
    </xf>
    <xf numFmtId="0" fontId="144" fillId="43" borderId="11" xfId="8719" applyFont="1" applyFill="1" applyBorder="1" applyAlignment="1" applyProtection="1">
      <alignment horizontal="right"/>
      <protection locked="0"/>
    </xf>
    <xf numFmtId="0" fontId="144" fillId="43" borderId="93" xfId="8719" applyFont="1" applyFill="1" applyBorder="1" applyAlignment="1" applyProtection="1">
      <alignment horizontal="right"/>
      <protection locked="0"/>
    </xf>
    <xf numFmtId="0" fontId="147" fillId="43" borderId="5" xfId="8719" applyFont="1" applyFill="1" applyBorder="1" applyAlignment="1" applyProtection="1">
      <alignment horizontal="center"/>
      <protection locked="0"/>
    </xf>
    <xf numFmtId="0" fontId="147" fillId="43" borderId="93" xfId="8719" applyFont="1" applyFill="1" applyBorder="1" applyAlignment="1" applyProtection="1">
      <alignment horizontal="center"/>
      <protection locked="0"/>
    </xf>
    <xf numFmtId="1" fontId="147" fillId="43" borderId="13" xfId="8719" applyNumberFormat="1" applyFont="1" applyFill="1" applyBorder="1" applyAlignment="1" applyProtection="1">
      <alignment horizontal="center"/>
      <protection locked="0"/>
    </xf>
    <xf numFmtId="1" fontId="4" fillId="43" borderId="13" xfId="8719" applyNumberFormat="1" applyFill="1" applyBorder="1" applyAlignment="1" applyProtection="1">
      <alignment horizontal="center"/>
      <protection locked="0"/>
    </xf>
    <xf numFmtId="0" fontId="52" fillId="43" borderId="71" xfId="8719" applyFont="1" applyFill="1" applyBorder="1" applyAlignment="1" applyProtection="1">
      <alignment horizontal="right"/>
      <protection locked="0"/>
    </xf>
    <xf numFmtId="0" fontId="52" fillId="43" borderId="72" xfId="8719" applyFont="1" applyFill="1" applyBorder="1" applyAlignment="1" applyProtection="1">
      <alignment horizontal="right"/>
      <protection locked="0"/>
    </xf>
    <xf numFmtId="0" fontId="52" fillId="43" borderId="76" xfId="8719" applyFont="1" applyFill="1" applyBorder="1" applyAlignment="1" applyProtection="1">
      <alignment horizontal="right"/>
      <protection locked="0"/>
    </xf>
    <xf numFmtId="0" fontId="152" fillId="43" borderId="91" xfId="8719" applyFont="1" applyFill="1" applyBorder="1" applyAlignment="1" applyProtection="1">
      <alignment horizontal="center"/>
      <protection locked="0"/>
    </xf>
    <xf numFmtId="0" fontId="152" fillId="43" borderId="72" xfId="8719" applyFont="1" applyFill="1" applyBorder="1" applyAlignment="1" applyProtection="1">
      <alignment horizontal="center"/>
      <protection locked="0"/>
    </xf>
    <xf numFmtId="0" fontId="152" fillId="43" borderId="76" xfId="8719" applyFont="1" applyFill="1" applyBorder="1" applyAlignment="1" applyProtection="1">
      <alignment horizontal="center"/>
      <protection locked="0"/>
    </xf>
    <xf numFmtId="0" fontId="147" fillId="43" borderId="71" xfId="8719" applyFont="1" applyFill="1" applyBorder="1" applyAlignment="1" applyProtection="1">
      <alignment horizontal="center"/>
      <protection locked="0"/>
    </xf>
    <xf numFmtId="0" fontId="147" fillId="43" borderId="72" xfId="8719" applyFont="1" applyFill="1" applyBorder="1" applyAlignment="1" applyProtection="1">
      <alignment horizontal="center"/>
      <protection locked="0"/>
    </xf>
    <xf numFmtId="0" fontId="147" fillId="43" borderId="92" xfId="8719" applyFont="1" applyFill="1" applyBorder="1" applyAlignment="1" applyProtection="1">
      <alignment horizontal="center"/>
      <protection locked="0"/>
    </xf>
    <xf numFmtId="9" fontId="4" fillId="43" borderId="68" xfId="8719" applyNumberFormat="1" applyFill="1" applyBorder="1" applyAlignment="1" applyProtection="1">
      <alignment horizontal="center"/>
      <protection locked="0"/>
    </xf>
    <xf numFmtId="9" fontId="4" fillId="43" borderId="69" xfId="8719" applyNumberFormat="1" applyFill="1" applyBorder="1" applyAlignment="1" applyProtection="1">
      <alignment horizontal="center"/>
      <protection locked="0"/>
    </xf>
    <xf numFmtId="9" fontId="4" fillId="43" borderId="70" xfId="8719" applyNumberFormat="1" applyFill="1" applyBorder="1" applyAlignment="1" applyProtection="1">
      <alignment horizontal="center"/>
      <protection locked="0"/>
    </xf>
    <xf numFmtId="0" fontId="149" fillId="44" borderId="68" xfId="8719" applyFont="1" applyFill="1" applyBorder="1" applyAlignment="1">
      <alignment horizontal="center"/>
    </xf>
    <xf numFmtId="0" fontId="149" fillId="44" borderId="69" xfId="8719" applyFont="1" applyFill="1" applyBorder="1" applyAlignment="1">
      <alignment horizontal="center"/>
    </xf>
    <xf numFmtId="0" fontId="149" fillId="44" borderId="70" xfId="8719" applyFont="1" applyFill="1" applyBorder="1" applyAlignment="1">
      <alignment horizontal="center"/>
    </xf>
    <xf numFmtId="0" fontId="150" fillId="44" borderId="90" xfId="8719" applyFont="1" applyFill="1" applyBorder="1" applyAlignment="1">
      <alignment horizontal="center"/>
    </xf>
    <xf numFmtId="0" fontId="150" fillId="44" borderId="42" xfId="8719" applyFont="1" applyFill="1" applyBorder="1" applyAlignment="1">
      <alignment horizontal="center"/>
    </xf>
    <xf numFmtId="0" fontId="150" fillId="44" borderId="89" xfId="8719" applyFont="1" applyFill="1" applyBorder="1" applyAlignment="1">
      <alignment horizontal="center"/>
    </xf>
    <xf numFmtId="9" fontId="150" fillId="44" borderId="90" xfId="1022" applyFont="1" applyFill="1" applyBorder="1" applyAlignment="1">
      <alignment horizontal="center"/>
    </xf>
    <xf numFmtId="9" fontId="150" fillId="44" borderId="42" xfId="1022" applyFont="1" applyFill="1" applyBorder="1" applyAlignment="1">
      <alignment horizontal="center"/>
    </xf>
    <xf numFmtId="9" fontId="150" fillId="44" borderId="44" xfId="1022" applyFont="1" applyFill="1" applyBorder="1" applyAlignment="1">
      <alignment horizontal="center"/>
    </xf>
    <xf numFmtId="0" fontId="63" fillId="45" borderId="68" xfId="8719" applyFont="1" applyFill="1" applyBorder="1" applyAlignment="1">
      <alignment horizontal="center"/>
    </xf>
    <xf numFmtId="0" fontId="63" fillId="45" borderId="69" xfId="8719" applyFont="1" applyFill="1" applyBorder="1" applyAlignment="1">
      <alignment horizontal="center"/>
    </xf>
    <xf numFmtId="0" fontId="63" fillId="45" borderId="70" xfId="8719" applyFont="1" applyFill="1" applyBorder="1" applyAlignment="1">
      <alignment horizontal="center"/>
    </xf>
    <xf numFmtId="0" fontId="151" fillId="45" borderId="67" xfId="8719" applyFont="1" applyFill="1" applyBorder="1" applyAlignment="1">
      <alignment horizontal="center" vertical="center" wrapText="1"/>
    </xf>
    <xf numFmtId="0" fontId="151" fillId="45" borderId="0" xfId="8719" applyFont="1" applyFill="1" applyAlignment="1">
      <alignment horizontal="center" vertical="center"/>
    </xf>
    <xf numFmtId="0" fontId="151" fillId="45" borderId="41" xfId="8719" applyFont="1" applyFill="1" applyBorder="1" applyAlignment="1">
      <alignment horizontal="center" vertical="center"/>
    </xf>
    <xf numFmtId="0" fontId="151" fillId="45" borderId="67" xfId="8719" applyFont="1" applyFill="1" applyBorder="1" applyAlignment="1">
      <alignment horizontal="center" vertical="center"/>
    </xf>
    <xf numFmtId="0" fontId="145" fillId="45" borderId="67" xfId="8719" applyFont="1" applyFill="1" applyBorder="1" applyAlignment="1">
      <alignment horizontal="center" vertical="center" wrapText="1"/>
    </xf>
    <xf numFmtId="0" fontId="145" fillId="45" borderId="0" xfId="8719" applyFont="1" applyFill="1" applyAlignment="1">
      <alignment horizontal="center" vertical="center"/>
    </xf>
    <xf numFmtId="0" fontId="145" fillId="45" borderId="41" xfId="8719" applyFont="1" applyFill="1" applyBorder="1" applyAlignment="1">
      <alignment horizontal="center" vertical="center"/>
    </xf>
    <xf numFmtId="0" fontId="145" fillId="45" borderId="67" xfId="8719" applyFont="1" applyFill="1" applyBorder="1" applyAlignment="1">
      <alignment horizontal="center" vertical="center"/>
    </xf>
    <xf numFmtId="0" fontId="52" fillId="45" borderId="68" xfId="8719" applyFont="1" applyFill="1" applyBorder="1" applyAlignment="1">
      <alignment horizontal="center"/>
    </xf>
    <xf numFmtId="0" fontId="52" fillId="45" borderId="69" xfId="8719" applyFont="1" applyFill="1" applyBorder="1" applyAlignment="1">
      <alignment horizontal="center"/>
    </xf>
    <xf numFmtId="0" fontId="52" fillId="45" borderId="70" xfId="8719" applyFont="1" applyFill="1" applyBorder="1" applyAlignment="1">
      <alignment horizontal="center"/>
    </xf>
    <xf numFmtId="0" fontId="145" fillId="45" borderId="29" xfId="8719" applyFont="1" applyFill="1" applyBorder="1" applyAlignment="1">
      <alignment horizontal="center" vertical="center" wrapText="1"/>
    </xf>
    <xf numFmtId="0" fontId="145" fillId="45" borderId="31" xfId="8719" applyFont="1" applyFill="1" applyBorder="1" applyAlignment="1">
      <alignment horizontal="center" vertical="center" wrapText="1"/>
    </xf>
    <xf numFmtId="0" fontId="145" fillId="45" borderId="88" xfId="8719" applyFont="1" applyFill="1" applyBorder="1" applyAlignment="1">
      <alignment horizontal="center" vertical="center" wrapText="1"/>
    </xf>
    <xf numFmtId="0" fontId="145" fillId="45" borderId="42" xfId="8719" applyFont="1" applyFill="1" applyBorder="1" applyAlignment="1">
      <alignment horizontal="center" vertical="center" wrapText="1"/>
    </xf>
    <xf numFmtId="0" fontId="145" fillId="45" borderId="44" xfId="8719" applyFont="1" applyFill="1" applyBorder="1" applyAlignment="1">
      <alignment horizontal="center" vertical="center" wrapText="1"/>
    </xf>
    <xf numFmtId="0" fontId="150" fillId="44" borderId="88" xfId="8719" applyFont="1" applyFill="1" applyBorder="1" applyAlignment="1">
      <alignment horizontal="center"/>
    </xf>
    <xf numFmtId="0" fontId="150" fillId="44" borderId="3" xfId="8719" applyFont="1" applyFill="1" applyBorder="1" applyAlignment="1">
      <alignment horizontal="center"/>
    </xf>
    <xf numFmtId="0" fontId="150" fillId="44" borderId="4" xfId="8719" applyFont="1" applyFill="1" applyBorder="1" applyAlignment="1">
      <alignment horizontal="center"/>
    </xf>
    <xf numFmtId="0" fontId="150" fillId="44" borderId="5" xfId="8719" applyFont="1" applyFill="1" applyBorder="1" applyAlignment="1">
      <alignment horizontal="center"/>
    </xf>
    <xf numFmtId="9" fontId="150" fillId="44" borderId="3" xfId="8719" applyNumberFormat="1" applyFont="1" applyFill="1" applyBorder="1" applyAlignment="1">
      <alignment horizontal="center"/>
    </xf>
    <xf numFmtId="9" fontId="150" fillId="44" borderId="4" xfId="8719" applyNumberFormat="1" applyFont="1" applyFill="1" applyBorder="1" applyAlignment="1">
      <alignment horizontal="center"/>
    </xf>
    <xf numFmtId="9" fontId="150" fillId="44" borderId="81" xfId="8719" applyNumberFormat="1" applyFont="1" applyFill="1" applyBorder="1" applyAlignment="1">
      <alignment horizontal="center"/>
    </xf>
    <xf numFmtId="0" fontId="150" fillId="44" borderId="83" xfId="8719" applyFont="1" applyFill="1" applyBorder="1" applyAlignment="1">
      <alignment horizontal="center"/>
    </xf>
    <xf numFmtId="0" fontId="150" fillId="44" borderId="84" xfId="8719" applyFont="1" applyFill="1" applyBorder="1" applyAlignment="1">
      <alignment horizontal="center"/>
    </xf>
    <xf numFmtId="0" fontId="150" fillId="44" borderId="85" xfId="8719" applyFont="1" applyFill="1" applyBorder="1" applyAlignment="1">
      <alignment horizontal="center"/>
    </xf>
    <xf numFmtId="9" fontId="150" fillId="43" borderId="82" xfId="8719" applyNumberFormat="1" applyFont="1" applyFill="1" applyBorder="1" applyAlignment="1">
      <alignment horizontal="center"/>
    </xf>
    <xf numFmtId="0" fontId="150" fillId="43" borderId="11" xfId="8719" applyFont="1" applyFill="1" applyBorder="1" applyAlignment="1">
      <alignment horizontal="center"/>
    </xf>
    <xf numFmtId="0" fontId="150" fillId="45" borderId="80" xfId="8719" applyFont="1" applyFill="1" applyBorder="1" applyAlignment="1">
      <alignment horizontal="center"/>
    </xf>
    <xf numFmtId="0" fontId="150" fillId="45" borderId="2" xfId="8719" applyFont="1" applyFill="1" applyBorder="1" applyAlignment="1">
      <alignment horizontal="center"/>
    </xf>
    <xf numFmtId="0" fontId="150" fillId="45" borderId="7"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150" fillId="45" borderId="81" xfId="8719" applyFont="1" applyFill="1" applyBorder="1" applyAlignment="1">
      <alignment horizontal="center"/>
    </xf>
    <xf numFmtId="0" fontId="149" fillId="43" borderId="68" xfId="8719" applyFont="1" applyFill="1" applyBorder="1" applyAlignment="1" applyProtection="1">
      <alignment horizontal="center"/>
      <protection locked="0"/>
    </xf>
    <xf numFmtId="0" fontId="149" fillId="43" borderId="69" xfId="8719" applyFont="1" applyFill="1" applyBorder="1" applyAlignment="1" applyProtection="1">
      <alignment horizontal="center"/>
      <protection locked="0"/>
    </xf>
    <xf numFmtId="0" fontId="149" fillId="43" borderId="70" xfId="8719" applyFont="1" applyFill="1" applyBorder="1" applyAlignment="1" applyProtection="1">
      <alignment horizontal="center"/>
      <protection locked="0"/>
    </xf>
    <xf numFmtId="0" fontId="100" fillId="45" borderId="0" xfId="8719" applyFont="1" applyFill="1" applyAlignment="1">
      <alignment horizontal="center"/>
    </xf>
    <xf numFmtId="0" fontId="100" fillId="45" borderId="41" xfId="8719" applyFont="1" applyFill="1" applyBorder="1" applyAlignment="1">
      <alignment horizontal="center"/>
    </xf>
    <xf numFmtId="0" fontId="4" fillId="44" borderId="72" xfId="8719" applyFill="1" applyBorder="1" applyAlignment="1">
      <alignment horizontal="center"/>
    </xf>
    <xf numFmtId="0" fontId="4" fillId="44" borderId="76" xfId="8719" applyFill="1" applyBorder="1" applyAlignment="1">
      <alignment horizontal="center"/>
    </xf>
    <xf numFmtId="0" fontId="149" fillId="44" borderId="68" xfId="8719" applyFont="1" applyFill="1" applyBorder="1" applyAlignment="1">
      <alignment horizontal="left"/>
    </xf>
    <xf numFmtId="0" fontId="149" fillId="44" borderId="69" xfId="8719" applyFont="1" applyFill="1" applyBorder="1" applyAlignment="1">
      <alignment horizontal="left"/>
    </xf>
    <xf numFmtId="0" fontId="149" fillId="44" borderId="70" xfId="8719" applyFont="1" applyFill="1" applyBorder="1" applyAlignment="1">
      <alignment horizontal="left"/>
    </xf>
    <xf numFmtId="0" fontId="4" fillId="44" borderId="68" xfId="8719" applyFill="1" applyBorder="1" applyAlignment="1">
      <alignment horizontal="center"/>
    </xf>
    <xf numFmtId="0" fontId="4" fillId="44" borderId="69" xfId="8719" applyFill="1" applyBorder="1" applyAlignment="1">
      <alignment horizontal="center"/>
    </xf>
    <xf numFmtId="0" fontId="4"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6" fillId="45" borderId="68" xfId="8719" applyFont="1" applyFill="1" applyBorder="1" applyAlignment="1">
      <alignment horizontal="center" wrapText="1"/>
    </xf>
    <xf numFmtId="0" fontId="146" fillId="45" borderId="69" xfId="8719" applyFont="1" applyFill="1" applyBorder="1" applyAlignment="1">
      <alignment horizontal="center" wrapText="1"/>
    </xf>
    <xf numFmtId="0" fontId="146" fillId="45" borderId="70" xfId="8719" applyFont="1" applyFill="1" applyBorder="1" applyAlignment="1">
      <alignment horizontal="center" wrapText="1"/>
    </xf>
    <xf numFmtId="0" fontId="143" fillId="47" borderId="66" xfId="8719" applyFont="1" applyFill="1" applyBorder="1" applyAlignment="1">
      <alignment horizontal="center"/>
    </xf>
    <xf numFmtId="0" fontId="143" fillId="47" borderId="29" xfId="8719" applyFont="1" applyFill="1" applyBorder="1" applyAlignment="1">
      <alignment horizontal="center"/>
    </xf>
    <xf numFmtId="0" fontId="143" fillId="47" borderId="31" xfId="8719" applyFont="1" applyFill="1" applyBorder="1" applyAlignment="1">
      <alignment horizontal="center"/>
    </xf>
    <xf numFmtId="0" fontId="144" fillId="48" borderId="67" xfId="8719" applyFont="1" applyFill="1" applyBorder="1" applyAlignment="1">
      <alignment horizontal="center"/>
    </xf>
    <xf numFmtId="0" fontId="144" fillId="48" borderId="0" xfId="8719" applyFont="1" applyFill="1" applyAlignment="1">
      <alignment horizontal="center"/>
    </xf>
    <xf numFmtId="0" fontId="144" fillId="48" borderId="41" xfId="8719" applyFont="1" applyFill="1" applyBorder="1" applyAlignment="1">
      <alignment horizontal="center"/>
    </xf>
    <xf numFmtId="14" fontId="149" fillId="43" borderId="73" xfId="8719" applyNumberFormat="1" applyFont="1" applyFill="1" applyBorder="1" applyAlignment="1" applyProtection="1">
      <alignment horizontal="center"/>
      <protection locked="0"/>
    </xf>
    <xf numFmtId="14" fontId="149" fillId="43" borderId="68" xfId="8719" applyNumberFormat="1" applyFont="1" applyFill="1" applyBorder="1" applyAlignment="1" applyProtection="1">
      <alignment horizontal="center" vertical="center"/>
      <protection locked="0"/>
    </xf>
    <xf numFmtId="0" fontId="149" fillId="43" borderId="69" xfId="8719" applyFont="1" applyFill="1" applyBorder="1" applyAlignment="1" applyProtection="1">
      <alignment horizontal="center" vertical="center"/>
      <protection locked="0"/>
    </xf>
    <xf numFmtId="0" fontId="149" fillId="43" borderId="70" xfId="8719" applyFont="1" applyFill="1" applyBorder="1" applyAlignment="1" applyProtection="1">
      <alignment horizontal="center" vertical="center"/>
      <protection locked="0"/>
    </xf>
    <xf numFmtId="1" fontId="4" fillId="44" borderId="68" xfId="8719" applyNumberFormat="1" applyFill="1" applyBorder="1" applyAlignment="1">
      <alignment horizontal="center"/>
    </xf>
    <xf numFmtId="168" fontId="14" fillId="5" borderId="4" xfId="1192" applyNumberFormat="1" applyFill="1" applyBorder="1" applyAlignment="1" applyProtection="1">
      <alignment horizontal="center"/>
      <protection locked="0"/>
    </xf>
    <xf numFmtId="168" fontId="14" fillId="43" borderId="6" xfId="543"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 fontId="14" fillId="5" borderId="2" xfId="1192" applyNumberFormat="1" applyFill="1" applyBorder="1" applyAlignment="1" applyProtection="1">
      <alignment horizontal="center"/>
      <protection locked="0"/>
    </xf>
    <xf numFmtId="165" fontId="120" fillId="0" borderId="55" xfId="4496" applyNumberFormat="1" applyFont="1" applyFill="1" applyBorder="1" applyAlignment="1">
      <alignment horizontal="center" vertical="top" wrapText="1"/>
    </xf>
    <xf numFmtId="165" fontId="120" fillId="0" borderId="6" xfId="4496" applyNumberFormat="1" applyFont="1" applyFill="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Fill="1" applyBorder="1" applyAlignment="1" applyProtection="1">
      <alignment horizontal="left" vertical="center" wrapText="1"/>
    </xf>
    <xf numFmtId="0" fontId="14" fillId="0" borderId="51" xfId="4495" applyFont="1" applyFill="1" applyBorder="1" applyAlignment="1" applyProtection="1">
      <alignment horizontal="left" vertical="center" wrapText="1"/>
    </xf>
    <xf numFmtId="0" fontId="14" fillId="0" borderId="52" xfId="4495" applyFont="1" applyFill="1" applyBorder="1" applyAlignment="1" applyProtection="1">
      <alignment horizontal="left" vertical="center" wrapText="1"/>
    </xf>
    <xf numFmtId="0" fontId="14" fillId="0" borderId="57" xfId="4495" applyFont="1" applyFill="1" applyBorder="1" applyAlignment="1" applyProtection="1">
      <alignment horizontal="left" vertical="center" wrapText="1"/>
    </xf>
    <xf numFmtId="0" fontId="14" fillId="0" borderId="58" xfId="4495" applyFont="1" applyFill="1" applyBorder="1" applyAlignment="1" applyProtection="1">
      <alignment horizontal="left" vertical="center" wrapText="1"/>
    </xf>
    <xf numFmtId="0" fontId="14" fillId="0" borderId="59" xfId="4495" applyFont="1" applyFill="1" applyBorder="1" applyAlignment="1" applyProtection="1">
      <alignment horizontal="left" vertical="center" wrapText="1"/>
    </xf>
    <xf numFmtId="0" fontId="14" fillId="0" borderId="53" xfId="4495" applyFont="1" applyFill="1" applyBorder="1" applyAlignment="1" applyProtection="1">
      <alignment horizontal="left" vertical="center" wrapText="1"/>
    </xf>
    <xf numFmtId="0" fontId="14" fillId="0" borderId="0" xfId="4495" applyFont="1" applyFill="1" applyBorder="1" applyAlignment="1" applyProtection="1">
      <alignment horizontal="left" vertical="center" wrapText="1"/>
    </xf>
    <xf numFmtId="0" fontId="14" fillId="0" borderId="54" xfId="4495" applyFont="1" applyFill="1" applyBorder="1" applyAlignment="1" applyProtection="1">
      <alignment horizontal="left" vertical="center" wrapText="1"/>
    </xf>
    <xf numFmtId="0" fontId="21" fillId="0" borderId="0" xfId="4495" applyFont="1" applyAlignment="1" applyProtection="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Border="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applyAlignment="1"/>
    <xf numFmtId="0" fontId="120" fillId="0" borderId="48" xfId="4496" applyFont="1" applyBorder="1" applyAlignment="1"/>
    <xf numFmtId="0" fontId="120" fillId="0" borderId="49" xfId="4496" applyFont="1" applyBorder="1" applyAlignment="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120" fillId="0" borderId="50" xfId="4496" applyFont="1" applyFill="1" applyBorder="1" applyAlignment="1">
      <alignment horizontal="left" vertical="top" wrapText="1"/>
    </xf>
    <xf numFmtId="0" fontId="120" fillId="0" borderId="51" xfId="4496" applyFont="1" applyFill="1" applyBorder="1" applyAlignment="1">
      <alignment horizontal="left" vertical="top" wrapText="1"/>
    </xf>
    <xf numFmtId="0" fontId="120" fillId="0" borderId="52" xfId="4496" applyFont="1" applyFill="1" applyBorder="1" applyAlignment="1">
      <alignment horizontal="left" vertical="top" wrapText="1"/>
    </xf>
    <xf numFmtId="0" fontId="120" fillId="0" borderId="53" xfId="4496" applyFont="1" applyFill="1" applyBorder="1" applyAlignment="1">
      <alignment horizontal="left" vertical="top" wrapText="1"/>
    </xf>
    <xf numFmtId="0" fontId="120" fillId="0" borderId="0" xfId="4496" applyFont="1" applyFill="1" applyBorder="1" applyAlignment="1">
      <alignment horizontal="left" vertical="top" wrapText="1"/>
    </xf>
    <xf numFmtId="0" fontId="120" fillId="0" borderId="54" xfId="4496" applyFont="1" applyFill="1" applyBorder="1" applyAlignment="1">
      <alignment horizontal="left" vertical="top" wrapText="1"/>
    </xf>
    <xf numFmtId="0" fontId="20" fillId="3" borderId="2" xfId="4495" applyFont="1" applyFill="1" applyBorder="1" applyAlignment="1" applyProtection="1">
      <alignment horizontal="center" vertical="center"/>
    </xf>
    <xf numFmtId="0" fontId="20" fillId="3" borderId="16" xfId="4495" applyFont="1" applyFill="1" applyBorder="1" applyAlignment="1" applyProtection="1">
      <alignment horizontal="center" vertical="center"/>
    </xf>
    <xf numFmtId="0" fontId="21" fillId="0" borderId="48" xfId="4495" applyFont="1" applyFill="1" applyBorder="1" applyAlignment="1" applyProtection="1">
      <alignment horizontal="left" vertical="top"/>
    </xf>
    <xf numFmtId="0" fontId="21" fillId="0" borderId="49" xfId="4495" applyFont="1" applyFill="1" applyBorder="1" applyAlignment="1" applyProtection="1">
      <alignment horizontal="left" vertical="top"/>
    </xf>
    <xf numFmtId="1" fontId="14" fillId="0" borderId="3" xfId="4495" applyNumberFormat="1" applyFont="1" applyFill="1" applyBorder="1" applyAlignment="1" applyProtection="1">
      <alignment horizontal="center"/>
    </xf>
    <xf numFmtId="1" fontId="14" fillId="0" borderId="4" xfId="4495" applyNumberFormat="1" applyFont="1" applyFill="1" applyBorder="1" applyAlignment="1" applyProtection="1">
      <alignment horizontal="center"/>
    </xf>
    <xf numFmtId="1" fontId="14" fillId="0" borderId="5" xfId="4495" applyNumberFormat="1" applyFont="1" applyFill="1" applyBorder="1" applyAlignment="1" applyProtection="1">
      <alignment horizontal="center"/>
    </xf>
    <xf numFmtId="0" fontId="14" fillId="0" borderId="50" xfId="4495" applyFont="1" applyFill="1" applyBorder="1" applyAlignment="1" applyProtection="1">
      <alignment vertical="center" wrapText="1"/>
    </xf>
    <xf numFmtId="0" fontId="14" fillId="0" borderId="51" xfId="4495" applyFont="1" applyFill="1" applyBorder="1" applyAlignment="1" applyProtection="1">
      <alignment vertical="center" wrapText="1"/>
    </xf>
    <xf numFmtId="0" fontId="14" fillId="0" borderId="52" xfId="4495" applyFont="1" applyFill="1" applyBorder="1" applyAlignment="1" applyProtection="1">
      <alignment vertical="center" wrapText="1"/>
    </xf>
    <xf numFmtId="0" fontId="14" fillId="0" borderId="57" xfId="4495" applyFont="1" applyFill="1" applyBorder="1" applyAlignment="1" applyProtection="1">
      <alignment vertical="center" wrapText="1"/>
    </xf>
    <xf numFmtId="0" fontId="14" fillId="0" borderId="58" xfId="4495" applyFont="1" applyFill="1" applyBorder="1" applyAlignment="1" applyProtection="1">
      <alignment vertical="center" wrapText="1"/>
    </xf>
    <xf numFmtId="0" fontId="14" fillId="0" borderId="59" xfId="4495" applyFont="1" applyFill="1" applyBorder="1" applyAlignment="1" applyProtection="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Fill="1" applyBorder="1" applyAlignment="1" applyProtection="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Fill="1" applyBorder="1" applyAlignment="1">
      <alignment horizontal="center" vertical="top"/>
    </xf>
    <xf numFmtId="168" fontId="120" fillId="0" borderId="6" xfId="4496" applyNumberFormat="1" applyFont="1" applyFill="1" applyBorder="1" applyAlignment="1">
      <alignment horizontal="center" vertical="top"/>
    </xf>
    <xf numFmtId="10" fontId="120" fillId="0" borderId="3" xfId="4496" applyNumberFormat="1" applyFont="1" applyFill="1" applyBorder="1" applyAlignment="1">
      <alignment horizontal="center" vertical="top" wrapText="1"/>
    </xf>
    <xf numFmtId="10" fontId="120" fillId="0" borderId="4" xfId="4496" applyNumberFormat="1" applyFont="1" applyFill="1" applyBorder="1" applyAlignment="1">
      <alignment horizontal="center" vertical="top" wrapText="1"/>
    </xf>
    <xf numFmtId="10" fontId="120" fillId="0" borderId="5" xfId="4496" applyNumberFormat="1" applyFont="1" applyFill="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Font="1" applyAlignment="1" applyProtection="1">
      <alignment horizontal="right"/>
    </xf>
    <xf numFmtId="0" fontId="14" fillId="5" borderId="6" xfId="1192" applyFont="1"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Font="1" applyFill="1" applyBorder="1" applyAlignment="1" applyProtection="1">
      <alignment horizontal="center"/>
    </xf>
    <xf numFmtId="9" fontId="14" fillId="0" borderId="6" xfId="1192" quotePrefix="1" applyNumberFormat="1" applyFont="1" applyFill="1" applyBorder="1" applyAlignment="1" applyProtection="1">
      <alignment horizontal="center"/>
    </xf>
    <xf numFmtId="9" fontId="14" fillId="0" borderId="0" xfId="1192" quotePrefix="1" applyNumberFormat="1" applyFont="1" applyFill="1" applyBorder="1" applyAlignment="1" applyProtection="1">
      <alignment horizontal="center"/>
    </xf>
    <xf numFmtId="168" fontId="14" fillId="0" borderId="0" xfId="1192" applyNumberFormat="1" applyFont="1" applyBorder="1" applyAlignment="1" applyProtection="1">
      <alignment horizontal="right"/>
    </xf>
    <xf numFmtId="1" fontId="14" fillId="5" borderId="2" xfId="1192" applyNumberFormat="1" applyFont="1" applyFill="1" applyBorder="1" applyAlignment="1" applyProtection="1">
      <alignment horizontal="center"/>
      <protection locked="0"/>
    </xf>
    <xf numFmtId="1" fontId="14" fillId="5" borderId="4" xfId="1192" applyNumberFormat="1" applyFont="1" applyFill="1" applyBorder="1" applyAlignment="1" applyProtection="1">
      <alignment horizontal="center"/>
      <protection locked="0"/>
    </xf>
    <xf numFmtId="0" fontId="140" fillId="0" borderId="6" xfId="1192" applyFont="1" applyBorder="1" applyAlignment="1" applyProtection="1">
      <alignment horizontal="center"/>
    </xf>
    <xf numFmtId="168" fontId="14" fillId="43" borderId="6" xfId="543" applyNumberFormat="1" applyFont="1" applyFill="1" applyBorder="1" applyAlignment="1" applyProtection="1">
      <alignment horizontal="center"/>
      <protection locked="0"/>
    </xf>
    <xf numFmtId="168" fontId="14" fillId="0" borderId="4" xfId="1192" applyNumberFormat="1" applyFont="1" applyFill="1" applyBorder="1" applyAlignment="1" applyProtection="1">
      <alignment horizontal="right"/>
    </xf>
    <xf numFmtId="2" fontId="14" fillId="0" borderId="0" xfId="1192" applyNumberFormat="1" applyFont="1" applyAlignment="1" applyProtection="1">
      <alignment horizontal="right"/>
    </xf>
    <xf numFmtId="0" fontId="21" fillId="0" borderId="0" xfId="4495" applyFont="1" applyFill="1" applyBorder="1" applyAlignment="1" applyProtection="1">
      <alignment horizontal="right"/>
    </xf>
    <xf numFmtId="0" fontId="22" fillId="5" borderId="6" xfId="4495" applyFont="1" applyFill="1" applyBorder="1" applyAlignment="1" applyProtection="1">
      <alignment horizontal="left"/>
      <protection locked="0"/>
    </xf>
    <xf numFmtId="0" fontId="14" fillId="0" borderId="0" xfId="4495" applyFont="1" applyBorder="1" applyAlignment="1" applyProtection="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Fill="1" applyBorder="1" applyAlignment="1" applyProtection="1">
      <alignment horizontal="center"/>
    </xf>
    <xf numFmtId="0" fontId="14" fillId="0" borderId="11" xfId="4495" applyNumberFormat="1" applyFont="1" applyFill="1" applyBorder="1" applyAlignment="1" applyProtection="1">
      <alignment horizontal="center"/>
    </xf>
    <xf numFmtId="0" fontId="14" fillId="0" borderId="0" xfId="1192" applyFont="1" applyBorder="1" applyAlignment="1" applyProtection="1">
      <alignment horizontal="right"/>
    </xf>
    <xf numFmtId="168" fontId="14" fillId="0" borderId="0" xfId="1192" applyNumberFormat="1" applyFont="1" applyAlignment="1" applyProtection="1">
      <alignment horizontal="right"/>
    </xf>
    <xf numFmtId="0" fontId="118" fillId="5" borderId="6" xfId="4495" applyFill="1" applyBorder="1" applyAlignment="1" applyProtection="1">
      <alignment horizontal="center"/>
      <protection locked="0"/>
    </xf>
    <xf numFmtId="0" fontId="21" fillId="0" borderId="0" xfId="4495" applyFont="1" applyFill="1" applyBorder="1" applyAlignment="1" applyProtection="1">
      <alignment horizontal="left" vertical="top"/>
    </xf>
    <xf numFmtId="0" fontId="118" fillId="0" borderId="0" xfId="4495" applyFill="1" applyBorder="1" applyAlignment="1" applyProtection="1">
      <alignment horizontal="center"/>
      <protection locked="0"/>
    </xf>
    <xf numFmtId="0" fontId="14" fillId="0" borderId="3" xfId="4495" applyFont="1" applyFill="1" applyBorder="1" applyAlignment="1" applyProtection="1">
      <alignment horizontal="center"/>
    </xf>
    <xf numFmtId="0" fontId="14" fillId="0" borderId="4" xfId="4495" applyFont="1" applyFill="1" applyBorder="1" applyAlignment="1" applyProtection="1">
      <alignment horizontal="center"/>
    </xf>
    <xf numFmtId="0" fontId="14" fillId="0" borderId="5" xfId="4495" applyFont="1" applyFill="1" applyBorder="1" applyAlignment="1" applyProtection="1">
      <alignment horizontal="center"/>
    </xf>
    <xf numFmtId="168" fontId="14" fillId="0" borderId="6" xfId="4496"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5" applyNumberFormat="1" applyFont="1" applyFill="1" applyBorder="1" applyAlignment="1" applyProtection="1">
      <alignment horizontal="right"/>
    </xf>
    <xf numFmtId="168" fontId="116" fillId="0" borderId="6" xfId="4495" applyNumberFormat="1" applyFont="1" applyFill="1" applyBorder="1" applyAlignment="1" applyProtection="1">
      <alignment horizontal="right"/>
    </xf>
    <xf numFmtId="6" fontId="14" fillId="0" borderId="3" xfId="1192" applyNumberFormat="1" applyFont="1" applyBorder="1" applyAlignment="1" applyProtection="1">
      <alignment horizontal="right"/>
    </xf>
    <xf numFmtId="6" fontId="14" fillId="0" borderId="4" xfId="1192" applyNumberFormat="1" applyFont="1" applyBorder="1" applyAlignment="1" applyProtection="1">
      <alignment horizontal="right"/>
    </xf>
    <xf numFmtId="6" fontId="14" fillId="0" borderId="5" xfId="1192" applyNumberFormat="1" applyFont="1" applyBorder="1" applyAlignment="1" applyProtection="1">
      <alignment horizontal="right"/>
    </xf>
    <xf numFmtId="168" fontId="14" fillId="0" borderId="4" xfId="4495" applyNumberFormat="1" applyFont="1" applyFill="1" applyBorder="1" applyAlignment="1" applyProtection="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Font="1" applyBorder="1" applyAlignment="1" applyProtection="1">
      <alignment horizontal="right"/>
    </xf>
    <xf numFmtId="168" fontId="14" fillId="0" borderId="2" xfId="1192" applyNumberFormat="1" applyFont="1" applyBorder="1" applyAlignment="1" applyProtection="1">
      <alignment horizontal="right"/>
    </xf>
    <xf numFmtId="165" fontId="14" fillId="0" borderId="0" xfId="1192" applyNumberFormat="1" applyFont="1" applyFill="1" applyAlignment="1" applyProtection="1">
      <alignment horizontal="right"/>
    </xf>
    <xf numFmtId="0" fontId="14" fillId="0" borderId="53" xfId="4495" applyFont="1" applyFill="1" applyBorder="1" applyAlignment="1" applyProtection="1">
      <alignment horizontal="left" vertical="top" wrapText="1"/>
    </xf>
    <xf numFmtId="0" fontId="14" fillId="0" borderId="0" xfId="4495" applyFont="1" applyFill="1" applyBorder="1" applyAlignment="1" applyProtection="1">
      <alignment horizontal="left" vertical="top" wrapText="1"/>
    </xf>
    <xf numFmtId="0" fontId="14" fillId="0" borderId="54" xfId="4495" applyFont="1" applyFill="1" applyBorder="1" applyAlignment="1" applyProtection="1">
      <alignment horizontal="left" vertical="top" wrapText="1"/>
    </xf>
    <xf numFmtId="0" fontId="14" fillId="0" borderId="57" xfId="4495" applyFont="1" applyFill="1" applyBorder="1" applyAlignment="1" applyProtection="1">
      <alignment horizontal="left" vertical="top" wrapText="1"/>
    </xf>
    <xf numFmtId="0" fontId="14" fillId="0" borderId="58" xfId="4495" applyFont="1" applyFill="1" applyBorder="1" applyAlignment="1" applyProtection="1">
      <alignment horizontal="left" vertical="top" wrapText="1"/>
    </xf>
    <xf numFmtId="0" fontId="14" fillId="0" borderId="59" xfId="4495"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5" applyFont="1" applyFill="1" applyBorder="1" applyAlignment="1" applyProtection="1">
      <alignment horizontal="left" vertical="top" wrapText="1"/>
    </xf>
    <xf numFmtId="0" fontId="14" fillId="0" borderId="51" xfId="4495" applyFont="1" applyFill="1" applyBorder="1" applyAlignment="1" applyProtection="1">
      <alignment horizontal="left" vertical="top" wrapText="1"/>
    </xf>
    <xf numFmtId="0" fontId="14" fillId="0" borderId="52" xfId="4495" applyFont="1" applyFill="1" applyBorder="1" applyAlignment="1" applyProtection="1">
      <alignment horizontal="left" vertical="top" wrapText="1"/>
    </xf>
    <xf numFmtId="0" fontId="21" fillId="0" borderId="0" xfId="4495" applyFont="1" applyFill="1" applyBorder="1" applyProtection="1"/>
    <xf numFmtId="0" fontId="14" fillId="43" borderId="53" xfId="4495" applyFont="1" applyFill="1" applyBorder="1" applyAlignment="1" applyProtection="1">
      <alignment vertical="top" wrapText="1"/>
      <protection locked="0"/>
    </xf>
    <xf numFmtId="0" fontId="14" fillId="43" borderId="0" xfId="4495" applyFont="1" applyFill="1" applyBorder="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Border="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Border="1" applyAlignment="1" applyProtection="1">
      <alignment horizontal="center"/>
    </xf>
    <xf numFmtId="0" fontId="21" fillId="0" borderId="54" xfId="4495" applyFont="1" applyBorder="1" applyAlignment="1" applyProtection="1">
      <alignment horizontal="center"/>
    </xf>
    <xf numFmtId="0" fontId="22" fillId="0" borderId="51" xfId="4495" applyFont="1" applyBorder="1" applyAlignment="1">
      <alignment horizontal="left" vertical="top" wrapText="1"/>
    </xf>
    <xf numFmtId="0" fontId="22" fillId="0" borderId="0" xfId="4495" applyFont="1" applyBorder="1" applyAlignment="1">
      <alignment horizontal="left" vertical="top" wrapText="1"/>
    </xf>
    <xf numFmtId="0" fontId="21" fillId="0" borderId="0" xfId="4495" applyFont="1" applyBorder="1" applyAlignment="1" applyProtection="1">
      <alignment horizontal="center" vertical="top"/>
    </xf>
    <xf numFmtId="0" fontId="21" fillId="0" borderId="54" xfId="4495" applyFont="1" applyBorder="1" applyAlignment="1" applyProtection="1">
      <alignment horizontal="center" vertical="top"/>
    </xf>
    <xf numFmtId="0" fontId="118" fillId="5" borderId="63" xfId="4495" applyFill="1" applyBorder="1" applyAlignment="1" applyProtection="1">
      <alignment horizontal="center"/>
      <protection locked="0"/>
    </xf>
    <xf numFmtId="0" fontId="118" fillId="5" borderId="64" xfId="4495" applyFill="1" applyBorder="1" applyAlignment="1" applyProtection="1">
      <alignment horizontal="center"/>
      <protection locked="0"/>
    </xf>
    <xf numFmtId="0" fontId="14" fillId="0" borderId="0" xfId="4495" applyFont="1" applyFill="1" applyBorder="1" applyAlignment="1" applyProtection="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ont="1" applyFill="1" applyBorder="1" applyAlignment="1" applyProtection="1">
      <alignment horizontal="left" vertical="top"/>
      <protection locked="0"/>
    </xf>
    <xf numFmtId="0" fontId="22" fillId="0" borderId="0" xfId="4495" applyFont="1" applyFill="1" applyBorder="1" applyAlignment="1" applyProtection="1">
      <alignment horizontal="center"/>
    </xf>
    <xf numFmtId="0" fontId="14" fillId="0" borderId="0" xfId="4495" applyFont="1" applyFill="1" applyBorder="1" applyAlignment="1" applyProtection="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14" fillId="45" borderId="11" xfId="4495" applyFont="1" applyFill="1" applyBorder="1" applyAlignment="1" applyProtection="1">
      <alignment horizontal="center"/>
    </xf>
    <xf numFmtId="0" fontId="128" fillId="0" borderId="0" xfId="4495" applyFont="1" applyAlignment="1">
      <alignment horizontal="left" vertical="center" wrapText="1"/>
    </xf>
    <xf numFmtId="0" fontId="21" fillId="0" borderId="11" xfId="4495" applyFont="1" applyBorder="1" applyAlignment="1" applyProtection="1">
      <alignment horizontal="center"/>
    </xf>
    <xf numFmtId="0" fontId="22" fillId="0" borderId="58" xfId="4495" applyFont="1" applyBorder="1" applyAlignment="1">
      <alignment horizontal="left" vertical="top" wrapText="1"/>
    </xf>
    <xf numFmtId="0" fontId="22" fillId="0" borderId="51" xfId="4495" applyNumberFormat="1" applyFont="1" applyBorder="1" applyAlignment="1">
      <alignment horizontal="left" vertical="top" wrapText="1"/>
    </xf>
    <xf numFmtId="0" fontId="22" fillId="0" borderId="0" xfId="4495" applyNumberFormat="1" applyFont="1" applyBorder="1" applyAlignment="1">
      <alignment horizontal="left" vertical="top" wrapText="1"/>
    </xf>
    <xf numFmtId="0" fontId="21" fillId="0" borderId="51" xfId="4495" applyFont="1" applyBorder="1" applyAlignment="1" applyProtection="1">
      <alignment horizontal="center" vertical="top"/>
    </xf>
    <xf numFmtId="0" fontId="21" fillId="0" borderId="52" xfId="4495" applyFont="1" applyBorder="1" applyAlignment="1" applyProtection="1">
      <alignment horizontal="center" vertical="top"/>
    </xf>
    <xf numFmtId="0" fontId="118" fillId="5" borderId="50" xfId="4495" applyFill="1" applyBorder="1" applyAlignment="1" applyProtection="1">
      <alignment horizontal="center"/>
    </xf>
    <xf numFmtId="0" fontId="118" fillId="5" borderId="51" xfId="4495" applyFill="1" applyBorder="1" applyAlignment="1" applyProtection="1">
      <alignment horizontal="center"/>
    </xf>
    <xf numFmtId="0" fontId="51" fillId="0" borderId="51" xfId="4495" applyFont="1" applyBorder="1" applyAlignment="1" applyProtection="1">
      <alignment horizontal="left" wrapText="1"/>
    </xf>
    <xf numFmtId="0" fontId="51" fillId="0" borderId="0" xfId="4495" applyFont="1" applyBorder="1" applyAlignment="1" applyProtection="1">
      <alignment horizontal="left" wrapText="1"/>
    </xf>
    <xf numFmtId="9" fontId="22" fillId="5" borderId="6" xfId="4495" applyNumberFormat="1" applyFont="1" applyFill="1" applyBorder="1" applyAlignment="1" applyProtection="1">
      <alignment horizontal="left"/>
    </xf>
    <xf numFmtId="0" fontId="118" fillId="5" borderId="55" xfId="4495" applyFill="1" applyBorder="1" applyAlignment="1" applyProtection="1">
      <alignment horizontal="center"/>
    </xf>
    <xf numFmtId="0" fontId="118" fillId="5" borderId="6" xfId="4495" applyFill="1" applyBorder="1" applyAlignment="1" applyProtection="1">
      <alignment horizontal="center"/>
    </xf>
    <xf numFmtId="0" fontId="22" fillId="5" borderId="0" xfId="4495" applyFont="1" applyFill="1" applyBorder="1" applyAlignment="1" applyProtection="1">
      <alignment horizontal="left" vertical="top" wrapText="1"/>
    </xf>
    <xf numFmtId="0" fontId="22" fillId="5" borderId="58" xfId="4495" applyFont="1" applyFill="1" applyBorder="1" applyAlignment="1" applyProtection="1">
      <alignment horizontal="left" vertical="top" wrapText="1"/>
    </xf>
    <xf numFmtId="0" fontId="22" fillId="5" borderId="6" xfId="4495" applyFont="1" applyFill="1" applyBorder="1" applyAlignment="1" applyProtection="1">
      <alignment horizontal="left"/>
    </xf>
    <xf numFmtId="0" fontId="118" fillId="5" borderId="63" xfId="4495" applyFill="1" applyBorder="1" applyAlignment="1" applyProtection="1">
      <alignment horizontal="center"/>
    </xf>
    <xf numFmtId="0" fontId="118" fillId="5" borderId="64" xfId="4495" applyFill="1" applyBorder="1" applyAlignment="1" applyProtection="1">
      <alignment horizontal="center"/>
    </xf>
    <xf numFmtId="0" fontId="21" fillId="0" borderId="0" xfId="4495" applyFont="1" applyFill="1" applyBorder="1" applyAlignment="1" applyProtection="1">
      <alignment horizontal="center"/>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Fill="1" applyBorder="1" applyAlignment="1" applyProtection="1">
      <alignment horizontal="center"/>
    </xf>
    <xf numFmtId="0" fontId="118" fillId="0" borderId="0" xfId="4495" applyFill="1" applyBorder="1" applyAlignment="1" applyProtection="1">
      <alignment horizontal="center"/>
    </xf>
    <xf numFmtId="0" fontId="22" fillId="5" borderId="0" xfId="4495" applyFont="1" applyFill="1" applyBorder="1" applyAlignment="1" applyProtection="1">
      <alignment horizontal="left" vertical="top"/>
    </xf>
    <xf numFmtId="0" fontId="118" fillId="5" borderId="53" xfId="4495" applyFill="1" applyBorder="1" applyAlignment="1" applyProtection="1">
      <alignment horizontal="center"/>
    </xf>
    <xf numFmtId="0" fontId="118" fillId="5" borderId="0" xfId="4495" applyFill="1" applyBorder="1" applyAlignment="1" applyProtection="1">
      <alignment horizontal="center"/>
    </xf>
    <xf numFmtId="0" fontId="22" fillId="0" borderId="0" xfId="4495" applyFont="1" applyFill="1" applyBorder="1" applyAlignment="1" applyProtection="1">
      <alignment horizontal="left" vertical="top" wrapText="1"/>
    </xf>
    <xf numFmtId="0" fontId="22" fillId="0" borderId="58" xfId="4495" applyFont="1" applyFill="1" applyBorder="1" applyAlignment="1" applyProtection="1">
      <alignment horizontal="left" vertical="top" wrapText="1"/>
    </xf>
    <xf numFmtId="0" fontId="22" fillId="5" borderId="58" xfId="4495" applyFont="1" applyFill="1" applyBorder="1" applyAlignment="1" applyProtection="1">
      <alignment horizontal="left"/>
    </xf>
    <xf numFmtId="0" fontId="51" fillId="0" borderId="51" xfId="4495" applyFont="1" applyFill="1" applyBorder="1" applyAlignment="1" applyProtection="1">
      <alignment horizontal="left" vertical="top" wrapText="1"/>
    </xf>
    <xf numFmtId="0" fontId="51" fillId="0" borderId="0" xfId="4495" applyFont="1" applyFill="1" applyBorder="1" applyAlignment="1" applyProtection="1">
      <alignment horizontal="left" vertical="top" wrapText="1"/>
    </xf>
    <xf numFmtId="9" fontId="22" fillId="5" borderId="58" xfId="4495" applyNumberFormat="1" applyFont="1" applyFill="1" applyBorder="1" applyAlignment="1" applyProtection="1">
      <alignment horizontal="left"/>
    </xf>
    <xf numFmtId="0" fontId="21" fillId="0" borderId="4" xfId="4495" applyFont="1" applyFill="1" applyBorder="1" applyAlignment="1" applyProtection="1">
      <alignment horizontal="left"/>
    </xf>
    <xf numFmtId="0" fontId="21" fillId="0" borderId="5" xfId="4495" applyFont="1" applyFill="1" applyBorder="1" applyAlignment="1" applyProtection="1">
      <alignment horizontal="left"/>
    </xf>
    <xf numFmtId="1" fontId="21" fillId="0" borderId="4" xfId="4495" applyNumberFormat="1" applyFont="1" applyFill="1" applyBorder="1" applyAlignment="1" applyProtection="1">
      <alignment horizontal="center" wrapText="1"/>
    </xf>
    <xf numFmtId="0" fontId="21" fillId="0" borderId="4" xfId="4495" applyFont="1" applyFill="1" applyBorder="1" applyAlignment="1" applyProtection="1">
      <alignment horizontal="center" wrapText="1"/>
    </xf>
    <xf numFmtId="0" fontId="21" fillId="0" borderId="5" xfId="4495" applyFont="1" applyFill="1" applyBorder="1" applyAlignment="1" applyProtection="1">
      <alignment horizontal="center" wrapText="1"/>
    </xf>
    <xf numFmtId="0" fontId="21" fillId="0" borderId="3" xfId="4495" applyFont="1" applyFill="1" applyBorder="1" applyAlignment="1" applyProtection="1">
      <alignment horizontal="center" wrapText="1"/>
    </xf>
    <xf numFmtId="0" fontId="21" fillId="0" borderId="11" xfId="4495" applyFont="1" applyFill="1" applyBorder="1" applyAlignment="1" applyProtection="1">
      <alignment horizontal="center"/>
    </xf>
    <xf numFmtId="0" fontId="14" fillId="0" borderId="50" xfId="4496" applyFont="1" applyBorder="1" applyAlignment="1" applyProtection="1">
      <alignment horizontal="left" wrapText="1"/>
    </xf>
    <xf numFmtId="0" fontId="14" fillId="0" borderId="51" xfId="4496" applyFont="1" applyBorder="1" applyAlignment="1" applyProtection="1">
      <alignment horizontal="left" wrapText="1"/>
    </xf>
    <xf numFmtId="0" fontId="14" fillId="0" borderId="52" xfId="4496" applyFont="1" applyBorder="1" applyAlignment="1" applyProtection="1">
      <alignment horizontal="left" wrapText="1"/>
    </xf>
    <xf numFmtId="0" fontId="14" fillId="0" borderId="53" xfId="4496" applyFont="1" applyBorder="1" applyAlignment="1" applyProtection="1">
      <alignment horizontal="left" wrapText="1"/>
    </xf>
    <xf numFmtId="0" fontId="14" fillId="0" borderId="0" xfId="4496" applyFont="1" applyBorder="1" applyAlignment="1" applyProtection="1">
      <alignment horizontal="left" wrapText="1"/>
    </xf>
    <xf numFmtId="0" fontId="14" fillId="0" borderId="54" xfId="4496" applyFont="1" applyBorder="1" applyAlignment="1" applyProtection="1">
      <alignment horizontal="left" wrapText="1"/>
    </xf>
    <xf numFmtId="0" fontId="14" fillId="0" borderId="57" xfId="4496" applyFont="1" applyBorder="1" applyAlignment="1" applyProtection="1">
      <alignment horizontal="left" wrapText="1"/>
    </xf>
    <xf numFmtId="0" fontId="14" fillId="0" borderId="58" xfId="4496" applyFont="1" applyBorder="1" applyAlignment="1" applyProtection="1">
      <alignment horizontal="left" wrapText="1"/>
    </xf>
    <xf numFmtId="0" fontId="14" fillId="0" borderId="59" xfId="4496" applyFont="1" applyBorder="1" applyAlignment="1" applyProtection="1">
      <alignment horizontal="left" wrapText="1"/>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49" fontId="20" fillId="3" borderId="2" xfId="4495" applyNumberFormat="1" applyFont="1" applyFill="1" applyBorder="1" applyAlignment="1" applyProtection="1">
      <alignment horizontal="center" vertical="center" wrapText="1"/>
    </xf>
    <xf numFmtId="49" fontId="20" fillId="3" borderId="2" xfId="4495" applyNumberFormat="1" applyFont="1" applyFill="1" applyBorder="1" applyAlignment="1" applyProtection="1">
      <alignment horizontal="center" vertical="center"/>
    </xf>
    <xf numFmtId="49" fontId="20" fillId="3" borderId="0" xfId="4495" applyNumberFormat="1" applyFont="1" applyFill="1" applyBorder="1" applyAlignment="1" applyProtection="1">
      <alignment horizontal="center" vertical="center"/>
    </xf>
    <xf numFmtId="0" fontId="21" fillId="0" borderId="1" xfId="4495" applyFont="1" applyFill="1" applyBorder="1" applyAlignment="1" applyProtection="1">
      <alignment horizontal="center" wrapText="1"/>
    </xf>
    <xf numFmtId="0" fontId="21" fillId="0" borderId="2" xfId="4495" applyFont="1" applyFill="1" applyBorder="1" applyAlignment="1" applyProtection="1">
      <alignment horizontal="center" wrapText="1"/>
    </xf>
    <xf numFmtId="0" fontId="21" fillId="0" borderId="7" xfId="4495" applyFont="1" applyFill="1" applyBorder="1" applyAlignment="1" applyProtection="1">
      <alignment horizontal="center" wrapText="1"/>
    </xf>
    <xf numFmtId="0" fontId="21" fillId="0" borderId="9" xfId="4495" applyFont="1" applyFill="1" applyBorder="1" applyAlignment="1" applyProtection="1">
      <alignment horizontal="center" wrapText="1"/>
    </xf>
    <xf numFmtId="0" fontId="21" fillId="0" borderId="6" xfId="4495" applyFont="1" applyFill="1" applyBorder="1" applyAlignment="1" applyProtection="1">
      <alignment horizontal="center" wrapText="1"/>
    </xf>
    <xf numFmtId="0" fontId="21" fillId="0" borderId="10" xfId="4495" applyFont="1" applyFill="1" applyBorder="1" applyAlignment="1" applyProtection="1">
      <alignment horizontal="center" wrapText="1"/>
    </xf>
    <xf numFmtId="1" fontId="21" fillId="0" borderId="11" xfId="4495" applyNumberFormat="1" applyFont="1" applyFill="1" applyBorder="1" applyAlignment="1" applyProtection="1">
      <alignment horizontal="center"/>
    </xf>
    <xf numFmtId="0" fontId="14" fillId="0" borderId="4" xfId="4495" applyFont="1" applyFill="1" applyBorder="1" applyAlignment="1" applyProtection="1">
      <alignment horizontal="left"/>
    </xf>
    <xf numFmtId="0" fontId="14" fillId="0" borderId="5" xfId="4495" applyFont="1" applyFill="1" applyBorder="1" applyAlignment="1" applyProtection="1">
      <alignment horizontal="left"/>
    </xf>
    <xf numFmtId="0" fontId="14" fillId="0" borderId="11" xfId="4495" applyFont="1" applyFill="1" applyBorder="1" applyAlignment="1" applyProtection="1">
      <alignment horizontal="center"/>
    </xf>
    <xf numFmtId="1" fontId="14" fillId="46" borderId="11" xfId="4495" applyNumberFormat="1" applyFont="1" applyFill="1" applyBorder="1" applyAlignment="1" applyProtection="1">
      <alignment horizontal="center"/>
    </xf>
    <xf numFmtId="0" fontId="21" fillId="0" borderId="3" xfId="4495" applyFont="1" applyFill="1" applyBorder="1" applyAlignment="1" applyProtection="1">
      <alignment horizontal="left"/>
    </xf>
    <xf numFmtId="0" fontId="14" fillId="5" borderId="11" xfId="4495" applyFont="1" applyFill="1" applyBorder="1" applyAlignment="1" applyProtection="1">
      <alignment horizontal="center"/>
      <protection locked="0"/>
    </xf>
    <xf numFmtId="0" fontId="21" fillId="0" borderId="3" xfId="4495" applyFont="1" applyFill="1" applyBorder="1" applyAlignment="1" applyProtection="1">
      <alignment horizontal="center"/>
    </xf>
    <xf numFmtId="0" fontId="21" fillId="0" borderId="4" xfId="4495" applyFont="1" applyFill="1" applyBorder="1" applyAlignment="1" applyProtection="1">
      <alignment horizontal="center"/>
    </xf>
    <xf numFmtId="0" fontId="21" fillId="0" borderId="5" xfId="4495" applyFont="1" applyFill="1" applyBorder="1" applyAlignment="1" applyProtection="1">
      <alignment horizontal="center"/>
    </xf>
    <xf numFmtId="164" fontId="62" fillId="0" borderId="1" xfId="4495" applyNumberFormat="1" applyFont="1" applyFill="1" applyBorder="1" applyAlignment="1" applyProtection="1">
      <alignment horizontal="right" vertical="center"/>
    </xf>
    <xf numFmtId="164" fontId="62" fillId="0" borderId="2" xfId="4495" applyNumberFormat="1" applyFont="1" applyFill="1" applyBorder="1" applyAlignment="1" applyProtection="1">
      <alignment horizontal="right" vertical="center"/>
    </xf>
    <xf numFmtId="164" fontId="62" fillId="0" borderId="7" xfId="4495" applyNumberFormat="1" applyFont="1" applyFill="1" applyBorder="1" applyAlignment="1" applyProtection="1">
      <alignment horizontal="right" vertical="center"/>
    </xf>
    <xf numFmtId="164" fontId="62" fillId="0" borderId="9" xfId="4495" applyNumberFormat="1" applyFont="1" applyFill="1" applyBorder="1" applyAlignment="1" applyProtection="1">
      <alignment horizontal="right" vertical="center"/>
    </xf>
    <xf numFmtId="164" fontId="62" fillId="0" borderId="6" xfId="4495" applyNumberFormat="1" applyFont="1" applyFill="1" applyBorder="1" applyAlignment="1" applyProtection="1">
      <alignment horizontal="right" vertical="center"/>
    </xf>
    <xf numFmtId="164" fontId="62" fillId="0" borderId="10" xfId="4495" applyNumberFormat="1" applyFont="1" applyFill="1" applyBorder="1" applyAlignment="1" applyProtection="1">
      <alignment horizontal="right" vertical="center"/>
    </xf>
    <xf numFmtId="180" fontId="62" fillId="0" borderId="1" xfId="4495" applyNumberFormat="1" applyFont="1" applyFill="1" applyBorder="1" applyAlignment="1" applyProtection="1">
      <alignment horizontal="center" vertical="center"/>
    </xf>
    <xf numFmtId="180" fontId="62" fillId="0" borderId="2" xfId="4495" applyNumberFormat="1" applyFont="1" applyFill="1" applyBorder="1" applyAlignment="1" applyProtection="1">
      <alignment horizontal="center" vertical="center"/>
    </xf>
    <xf numFmtId="180" fontId="62" fillId="0" borderId="7" xfId="4495" applyNumberFormat="1" applyFont="1" applyFill="1" applyBorder="1" applyAlignment="1" applyProtection="1">
      <alignment horizontal="center" vertical="center"/>
    </xf>
    <xf numFmtId="180" fontId="62" fillId="0" borderId="9" xfId="4495" applyNumberFormat="1" applyFont="1" applyFill="1" applyBorder="1" applyAlignment="1" applyProtection="1">
      <alignment horizontal="center" vertical="center"/>
    </xf>
    <xf numFmtId="180" fontId="62" fillId="0" borderId="6" xfId="4495" applyNumberFormat="1" applyFont="1" applyFill="1" applyBorder="1" applyAlignment="1" applyProtection="1">
      <alignment horizontal="center" vertical="center"/>
    </xf>
    <xf numFmtId="180" fontId="62" fillId="0" borderId="10" xfId="4495" applyNumberFormat="1" applyFont="1" applyFill="1" applyBorder="1" applyAlignment="1" applyProtection="1">
      <alignment horizontal="center" vertical="center"/>
    </xf>
    <xf numFmtId="168" fontId="14" fillId="0" borderId="6" xfId="1192" applyNumberFormat="1" applyFont="1" applyFill="1" applyBorder="1" applyAlignment="1" applyProtection="1">
      <alignment horizontal="right"/>
    </xf>
    <xf numFmtId="0" fontId="116" fillId="0" borderId="4" xfId="1192" applyFont="1" applyFill="1" applyBorder="1" applyAlignment="1" applyProtection="1">
      <alignment horizontal="left"/>
    </xf>
    <xf numFmtId="0" fontId="14" fillId="0" borderId="6" xfId="1192" applyFont="1" applyFill="1" applyBorder="1" applyAlignment="1" applyProtection="1">
      <alignment horizontal="left"/>
    </xf>
    <xf numFmtId="9" fontId="14" fillId="5" borderId="4" xfId="1192" applyNumberFormat="1" applyFont="1" applyFill="1" applyBorder="1" applyAlignment="1" applyProtection="1">
      <alignment horizontal="left"/>
      <protection locked="0"/>
    </xf>
    <xf numFmtId="0" fontId="14" fillId="0" borderId="6" xfId="1192" applyFont="1" applyBorder="1" applyAlignment="1" applyProtection="1">
      <alignment horizontal="right"/>
    </xf>
    <xf numFmtId="168" fontId="14" fillId="5" borderId="4" xfId="1192" applyNumberFormat="1" applyFont="1" applyFill="1" applyBorder="1" applyAlignment="1" applyProtection="1">
      <alignment horizontal="center"/>
      <protection locked="0"/>
    </xf>
    <xf numFmtId="168" fontId="14" fillId="43" borderId="6" xfId="1192" applyNumberFormat="1" applyFont="1" applyFill="1" applyBorder="1" applyAlignment="1" applyProtection="1">
      <alignment horizontal="right"/>
      <protection locked="0"/>
    </xf>
    <xf numFmtId="168" fontId="14" fillId="0" borderId="6" xfId="1192" applyNumberFormat="1" applyFont="1" applyBorder="1" applyAlignment="1" applyProtection="1">
      <alignment horizontal="right"/>
    </xf>
    <xf numFmtId="10" fontId="22" fillId="0" borderId="2" xfId="4495" applyNumberFormat="1" applyFont="1" applyBorder="1" applyAlignment="1" applyProtection="1">
      <alignment horizontal="center"/>
    </xf>
    <xf numFmtId="4" fontId="22" fillId="0" borderId="0" xfId="4495" applyNumberFormat="1" applyFont="1" applyAlignment="1" applyProtection="1">
      <alignment horizontal="center"/>
    </xf>
    <xf numFmtId="0" fontId="22" fillId="0" borderId="0" xfId="4495" applyFont="1" applyAlignment="1" applyProtection="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pplyProtection="1">
      <alignment horizontal="center"/>
    </xf>
    <xf numFmtId="0" fontId="14" fillId="0" borderId="53" xfId="4495" applyNumberFormat="1" applyFont="1" applyBorder="1" applyAlignment="1">
      <alignment horizontal="left" vertical="top" wrapText="1"/>
    </xf>
    <xf numFmtId="0" fontId="14" fillId="0" borderId="0" xfId="4495" applyNumberFormat="1" applyFont="1" applyBorder="1" applyAlignment="1">
      <alignment horizontal="left" vertical="top" wrapText="1"/>
    </xf>
    <xf numFmtId="0" fontId="14" fillId="0" borderId="54" xfId="4495" applyNumberFormat="1" applyFont="1" applyBorder="1" applyAlignment="1">
      <alignment horizontal="left" vertical="top" wrapText="1"/>
    </xf>
    <xf numFmtId="0" fontId="14" fillId="0" borderId="57" xfId="4495" applyNumberFormat="1" applyFont="1" applyBorder="1" applyAlignment="1">
      <alignment horizontal="left" vertical="top" wrapText="1"/>
    </xf>
    <xf numFmtId="0" fontId="14" fillId="0" borderId="58" xfId="4495" applyNumberFormat="1" applyFont="1" applyBorder="1" applyAlignment="1">
      <alignment horizontal="left" vertical="top" wrapText="1"/>
    </xf>
    <xf numFmtId="168" fontId="14" fillId="0" borderId="4" xfId="4496" applyNumberFormat="1" applyFont="1" applyFill="1" applyBorder="1" applyAlignment="1" applyProtection="1">
      <alignment horizontal="center"/>
    </xf>
    <xf numFmtId="9" fontId="14" fillId="0" borderId="4" xfId="4496" applyNumberFormat="1" applyFont="1" applyFill="1" applyBorder="1" applyAlignment="1" applyProtection="1">
      <alignment horizontal="center"/>
    </xf>
    <xf numFmtId="164" fontId="14" fillId="0" borderId="50" xfId="4495" applyNumberFormat="1" applyFont="1" applyFill="1" applyBorder="1" applyAlignment="1" applyProtection="1">
      <alignment horizontal="left" vertical="top" wrapText="1"/>
    </xf>
    <xf numFmtId="164" fontId="14" fillId="0" borderId="51" xfId="4495" applyNumberFormat="1" applyFont="1" applyFill="1" applyBorder="1" applyAlignment="1" applyProtection="1">
      <alignment horizontal="left" vertical="top" wrapText="1"/>
    </xf>
    <xf numFmtId="164" fontId="14" fillId="0" borderId="52" xfId="4495" applyNumberFormat="1" applyFont="1" applyFill="1" applyBorder="1" applyAlignment="1" applyProtection="1">
      <alignment horizontal="left" vertical="top" wrapText="1"/>
    </xf>
    <xf numFmtId="164" fontId="14" fillId="0" borderId="53" xfId="4495" applyNumberFormat="1" applyFont="1" applyFill="1" applyBorder="1" applyAlignment="1" applyProtection="1">
      <alignment horizontal="left" vertical="top" wrapText="1"/>
    </xf>
    <xf numFmtId="164" fontId="14" fillId="0" borderId="0" xfId="4495" applyNumberFormat="1" applyFont="1" applyFill="1" applyBorder="1" applyAlignment="1" applyProtection="1">
      <alignment horizontal="left" vertical="top" wrapText="1"/>
    </xf>
    <xf numFmtId="164" fontId="14" fillId="0" borderId="54" xfId="4495" applyNumberFormat="1" applyFont="1" applyFill="1" applyBorder="1" applyAlignment="1" applyProtection="1">
      <alignment horizontal="left" vertical="top" wrapText="1"/>
    </xf>
    <xf numFmtId="164" fontId="14" fillId="0" borderId="57" xfId="4495" applyNumberFormat="1" applyFont="1" applyFill="1" applyBorder="1" applyAlignment="1" applyProtection="1">
      <alignment horizontal="left" vertical="top" wrapText="1"/>
    </xf>
    <xf numFmtId="164" fontId="14" fillId="0" borderId="58" xfId="4495" applyNumberFormat="1" applyFont="1" applyFill="1" applyBorder="1" applyAlignment="1" applyProtection="1">
      <alignment horizontal="left" vertical="top" wrapText="1"/>
    </xf>
    <xf numFmtId="164" fontId="14" fillId="0" borderId="59" xfId="4495" applyNumberFormat="1" applyFont="1" applyFill="1" applyBorder="1" applyAlignment="1" applyProtection="1">
      <alignment horizontal="left" vertical="top" wrapText="1"/>
    </xf>
    <xf numFmtId="4" fontId="22" fillId="0" borderId="3" xfId="4495" applyNumberFormat="1" applyFont="1" applyBorder="1" applyAlignment="1" applyProtection="1">
      <alignment horizontal="center"/>
    </xf>
    <xf numFmtId="4" fontId="22" fillId="0" borderId="4" xfId="4495" applyNumberFormat="1" applyFont="1" applyBorder="1" applyAlignment="1" applyProtection="1">
      <alignment horizontal="center"/>
    </xf>
    <xf numFmtId="4" fontId="22" fillId="0" borderId="5" xfId="4495" applyNumberFormat="1" applyFont="1" applyBorder="1" applyAlignment="1" applyProtection="1">
      <alignment horizontal="center"/>
    </xf>
    <xf numFmtId="165" fontId="120" fillId="0" borderId="3" xfId="4496" applyNumberFormat="1" applyFont="1" applyFill="1" applyBorder="1" applyAlignment="1">
      <alignment horizontal="center" vertical="top" wrapText="1"/>
    </xf>
    <xf numFmtId="165" fontId="120" fillId="0" borderId="4" xfId="4496" applyNumberFormat="1" applyFont="1" applyFill="1" applyBorder="1" applyAlignment="1">
      <alignment horizontal="center" vertical="top" wrapText="1"/>
    </xf>
    <xf numFmtId="165" fontId="120" fillId="0" borderId="5" xfId="4496" applyNumberFormat="1" applyFont="1" applyFill="1" applyBorder="1" applyAlignment="1">
      <alignment horizontal="center" vertical="top" wrapText="1"/>
    </xf>
    <xf numFmtId="3" fontId="14" fillId="43" borderId="6" xfId="1192" applyNumberFormat="1" applyFont="1" applyFill="1" applyBorder="1" applyAlignment="1" applyProtection="1">
      <alignment horizontal="right"/>
      <protection locked="0"/>
    </xf>
    <xf numFmtId="0" fontId="140" fillId="0" borderId="0" xfId="1192" applyFont="1" applyBorder="1" applyAlignment="1" applyProtection="1">
      <alignment horizontal="center"/>
    </xf>
    <xf numFmtId="0" fontId="96" fillId="0" borderId="82" xfId="4496" applyFont="1" applyBorder="1" applyAlignment="1" applyProtection="1">
      <alignment horizontal="right"/>
    </xf>
    <xf numFmtId="0" fontId="96" fillId="0" borderId="11" xfId="4496" applyFont="1" applyBorder="1" applyAlignment="1" applyProtection="1">
      <alignment horizontal="right"/>
    </xf>
    <xf numFmtId="0" fontId="96" fillId="0" borderId="74" xfId="4496" applyFont="1" applyBorder="1" applyAlignment="1" applyProtection="1">
      <alignment horizontal="right"/>
    </xf>
    <xf numFmtId="0" fontId="96" fillId="0" borderId="75" xfId="4496" applyFont="1" applyBorder="1" applyAlignment="1" applyProtection="1">
      <alignment horizontal="right"/>
    </xf>
    <xf numFmtId="0" fontId="96" fillId="0" borderId="11" xfId="4496" applyFont="1" applyBorder="1" applyProtection="1"/>
    <xf numFmtId="0" fontId="96" fillId="0" borderId="93" xfId="4496" applyFont="1" applyBorder="1" applyProtection="1"/>
    <xf numFmtId="0" fontId="96" fillId="0" borderId="75" xfId="4496" applyFont="1" applyBorder="1" applyProtection="1"/>
    <xf numFmtId="0" fontId="96" fillId="0" borderId="95" xfId="4496" applyFont="1" applyBorder="1" applyProtection="1"/>
    <xf numFmtId="0" fontId="96" fillId="0" borderId="71" xfId="4496" applyFont="1" applyBorder="1" applyAlignment="1" applyProtection="1">
      <alignment horizontal="right"/>
    </xf>
    <xf numFmtId="0" fontId="96" fillId="0" borderId="72" xfId="4496" applyFont="1" applyBorder="1" applyAlignment="1" applyProtection="1">
      <alignment horizontal="right"/>
    </xf>
    <xf numFmtId="0" fontId="135" fillId="0" borderId="92" xfId="4496" applyFont="1" applyFill="1" applyBorder="1" applyAlignment="1" applyProtection="1">
      <alignment horizontal="center" vertical="top" wrapText="1"/>
    </xf>
    <xf numFmtId="0" fontId="135" fillId="0" borderId="91" xfId="4496" applyFont="1" applyFill="1" applyBorder="1" applyAlignment="1" applyProtection="1">
      <alignment horizontal="center" vertical="top" wrapText="1"/>
    </xf>
    <xf numFmtId="0" fontId="96" fillId="0" borderId="72" xfId="4496" applyFont="1" applyBorder="1" applyProtection="1"/>
    <xf numFmtId="0" fontId="96" fillId="0" borderId="76" xfId="4496" applyFont="1" applyBorder="1" applyProtection="1"/>
    <xf numFmtId="49" fontId="134" fillId="3" borderId="0" xfId="1192" applyNumberFormat="1" applyFont="1" applyFill="1" applyBorder="1" applyAlignment="1" applyProtection="1">
      <alignment horizontal="center" vertical="center"/>
    </xf>
    <xf numFmtId="0" fontId="96" fillId="0" borderId="11" xfId="4496" applyFont="1" applyBorder="1" applyAlignment="1" applyProtection="1">
      <alignment horizontal="left" indent="1"/>
    </xf>
    <xf numFmtId="0" fontId="135" fillId="45" borderId="3" xfId="4496" applyFont="1" applyFill="1" applyBorder="1" applyAlignment="1" applyProtection="1">
      <alignment horizontal="center" vertical="center"/>
    </xf>
    <xf numFmtId="0" fontId="135" fillId="45" borderId="4" xfId="4496" applyFont="1" applyFill="1" applyBorder="1" applyAlignment="1" applyProtection="1">
      <alignment horizontal="center" vertical="center"/>
    </xf>
    <xf numFmtId="0" fontId="135" fillId="45" borderId="5" xfId="4496" applyFont="1" applyFill="1" applyBorder="1" applyAlignment="1" applyProtection="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pplyProtection="1">
      <alignment horizontal="left" indent="1"/>
    </xf>
    <xf numFmtId="0" fontId="135" fillId="0" borderId="72" xfId="4496" applyFont="1" applyBorder="1" applyAlignment="1" applyProtection="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pplyProtection="1">
      <alignment horizontal="center" vertical="center" wrapText="1"/>
    </xf>
    <xf numFmtId="49" fontId="96" fillId="45" borderId="13" xfId="4496" applyNumberFormat="1" applyFont="1" applyFill="1" applyBorder="1" applyAlignment="1" applyProtection="1">
      <alignment horizontal="center" vertical="center" wrapText="1"/>
    </xf>
    <xf numFmtId="168" fontId="96" fillId="0" borderId="86" xfId="4499" applyNumberFormat="1" applyFont="1" applyFill="1" applyBorder="1" applyAlignment="1" applyProtection="1">
      <alignment horizontal="left" vertical="center" indent="1"/>
    </xf>
    <xf numFmtId="168" fontId="96" fillId="0" borderId="85" xfId="4499" applyNumberFormat="1" applyFont="1" applyFill="1" applyBorder="1" applyAlignment="1" applyProtection="1">
      <alignment horizontal="left" vertical="center" indent="1"/>
    </xf>
    <xf numFmtId="168" fontId="14" fillId="0" borderId="11" xfId="569" applyNumberFormat="1" applyFill="1" applyBorder="1" applyAlignment="1"/>
    <xf numFmtId="168" fontId="14" fillId="0" borderId="3" xfId="569" applyNumberFormat="1" applyFill="1" applyBorder="1" applyAlignment="1"/>
    <xf numFmtId="168" fontId="14" fillId="0" borderId="4" xfId="569" applyNumberFormat="1" applyFill="1" applyBorder="1" applyAlignment="1"/>
    <xf numFmtId="168" fontId="14" fillId="0" borderId="5" xfId="569" applyNumberFormat="1" applyFill="1" applyBorder="1" applyAlignment="1"/>
    <xf numFmtId="168" fontId="14" fillId="0" borderId="11" xfId="569" applyNumberFormat="1" applyFill="1" applyBorder="1" applyAlignment="1">
      <alignment wrapText="1"/>
    </xf>
    <xf numFmtId="168" fontId="14" fillId="0" borderId="11" xfId="569" applyNumberFormat="1" applyFill="1" applyBorder="1" applyAlignment="1">
      <alignment horizontal="right"/>
    </xf>
    <xf numFmtId="9" fontId="14" fillId="0" borderId="15" xfId="569" applyNumberFormat="1" applyFill="1" applyBorder="1" applyAlignment="1" applyProtection="1">
      <alignment horizontal="center"/>
    </xf>
    <xf numFmtId="168" fontId="14" fillId="0" borderId="11" xfId="569" applyNumberFormat="1" applyFill="1" applyBorder="1" applyAlignment="1" applyProtection="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Fill="1" applyBorder="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Fill="1" applyBorder="1" applyAlignment="1" applyProtection="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Border="1" applyAlignment="1">
      <alignment horizontal="left" wrapText="1"/>
    </xf>
    <xf numFmtId="168" fontId="14" fillId="0" borderId="3" xfId="569" applyNumberFormat="1" applyFill="1" applyBorder="1" applyAlignment="1">
      <alignment horizontal="right"/>
    </xf>
    <xf numFmtId="168" fontId="14" fillId="0" borderId="4" xfId="569" applyNumberFormat="1" applyFill="1" applyBorder="1" applyAlignment="1">
      <alignment horizontal="right"/>
    </xf>
    <xf numFmtId="168" fontId="14" fillId="0" borderId="5" xfId="569" applyNumberFormat="1" applyFill="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69" applyNumberFormat="1" applyFill="1" applyBorder="1" applyAlignment="1">
      <alignment horizontal="center"/>
    </xf>
    <xf numFmtId="168" fontId="14" fillId="0" borderId="4" xfId="569" applyNumberFormat="1" applyFill="1" applyBorder="1" applyAlignment="1">
      <alignment horizontal="center"/>
    </xf>
    <xf numFmtId="168" fontId="14" fillId="0" borderId="5" xfId="569" applyNumberFormat="1" applyFill="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8" fontId="14" fillId="0" borderId="11" xfId="569" applyNumberFormat="1" applyFill="1" applyBorder="1" applyAlignment="1">
      <alignment horizontal="center"/>
    </xf>
    <xf numFmtId="165" fontId="14" fillId="0" borderId="11" xfId="569" applyNumberFormat="1" applyFill="1" applyBorder="1" applyAlignment="1" applyProtection="1">
      <alignment horizontal="center"/>
      <protection locked="0"/>
    </xf>
    <xf numFmtId="0" fontId="51" fillId="0" borderId="0" xfId="569" applyFont="1" applyBorder="1" applyAlignment="1">
      <alignment horizontal="left"/>
    </xf>
    <xf numFmtId="5" fontId="14" fillId="0" borderId="5" xfId="569" applyNumberFormat="1" applyFill="1" applyBorder="1" applyAlignment="1">
      <alignment horizontal="center"/>
    </xf>
    <xf numFmtId="5" fontId="14" fillId="0" borderId="11" xfId="569" applyNumberFormat="1" applyFill="1" applyBorder="1" applyAlignment="1">
      <alignment horizontal="center"/>
    </xf>
    <xf numFmtId="5" fontId="14" fillId="0" borderId="3" xfId="569" applyNumberFormat="1" applyFill="1" applyBorder="1" applyAlignment="1">
      <alignment horizontal="center"/>
    </xf>
    <xf numFmtId="5" fontId="14" fillId="0" borderId="4"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Font="1" applyFill="1" applyBorder="1" applyAlignment="1" applyProtection="1">
      <alignment horizontal="center"/>
    </xf>
    <xf numFmtId="168" fontId="14" fillId="0" borderId="11" xfId="569" applyNumberFormat="1" applyFont="1" applyFill="1" applyBorder="1" applyAlignment="1" applyProtection="1">
      <alignment horizontal="center"/>
    </xf>
    <xf numFmtId="9" fontId="14" fillId="0" borderId="5" xfId="569" applyNumberFormat="1" applyFill="1" applyBorder="1" applyAlignment="1" applyProtection="1">
      <alignment horizontal="center"/>
    </xf>
    <xf numFmtId="9" fontId="14" fillId="0" borderId="11" xfId="569" applyNumberFormat="1" applyFill="1" applyBorder="1" applyAlignment="1" applyProtection="1">
      <alignment horizontal="center"/>
    </xf>
    <xf numFmtId="9" fontId="14" fillId="0" borderId="9" xfId="569" applyNumberFormat="1" applyFill="1" applyBorder="1" applyAlignment="1">
      <alignment horizontal="center" vertical="center"/>
    </xf>
    <xf numFmtId="9" fontId="14" fillId="0" borderId="6" xfId="569" applyNumberFormat="1" applyFill="1" applyBorder="1" applyAlignment="1">
      <alignment horizontal="center" vertical="center"/>
    </xf>
    <xf numFmtId="9" fontId="14" fillId="0" borderId="10" xfId="569" applyNumberFormat="1" applyFill="1" applyBorder="1" applyAlignment="1">
      <alignment horizontal="center" vertical="center"/>
    </xf>
    <xf numFmtId="168" fontId="14" fillId="0" borderId="5" xfId="569" applyNumberFormat="1" applyFont="1" applyFill="1" applyBorder="1" applyAlignment="1">
      <alignment horizontal="center"/>
    </xf>
    <xf numFmtId="168" fontId="14" fillId="0" borderId="11" xfId="569" applyNumberFormat="1" applyFont="1" applyFill="1" applyBorder="1" applyAlignment="1">
      <alignment horizontal="center"/>
    </xf>
    <xf numFmtId="168" fontId="14" fillId="2" borderId="3" xfId="569" applyNumberFormat="1" applyFill="1" applyBorder="1" applyAlignment="1" applyProtection="1">
      <alignment horizontal="center"/>
    </xf>
    <xf numFmtId="168" fontId="14" fillId="2" borderId="4" xfId="569" applyNumberFormat="1" applyFill="1" applyBorder="1" applyAlignment="1" applyProtection="1">
      <alignment horizontal="center"/>
    </xf>
    <xf numFmtId="168" fontId="14" fillId="2" borderId="5" xfId="569" applyNumberFormat="1" applyFill="1" applyBorder="1" applyAlignment="1" applyProtection="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Fill="1" applyBorder="1" applyAlignment="1">
      <alignment horizontal="center"/>
    </xf>
    <xf numFmtId="168" fontId="14" fillId="0" borderId="15" xfId="569" applyNumberFormat="1" applyFill="1" applyBorder="1" applyAlignment="1">
      <alignment horizontal="center"/>
    </xf>
    <xf numFmtId="0" fontId="22" fillId="5" borderId="4" xfId="569" applyFont="1" applyFill="1" applyBorder="1" applyAlignment="1" applyProtection="1">
      <alignment horizontal="left"/>
      <protection locked="0"/>
    </xf>
    <xf numFmtId="0" fontId="22" fillId="5" borderId="5" xfId="569" applyFont="1" applyFill="1" applyBorder="1" applyAlignment="1" applyProtection="1">
      <alignment horizontal="left"/>
      <protection locked="0"/>
    </xf>
    <xf numFmtId="0" fontId="21" fillId="0" borderId="3" xfId="569" applyFont="1" applyFill="1" applyBorder="1" applyAlignment="1">
      <alignment horizontal="left"/>
    </xf>
    <xf numFmtId="0" fontId="21" fillId="0" borderId="4" xfId="569" applyFont="1" applyFill="1" applyBorder="1" applyAlignment="1">
      <alignment horizontal="left"/>
    </xf>
    <xf numFmtId="0" fontId="21" fillId="0" borderId="5" xfId="569" applyFont="1" applyFill="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Fill="1" applyBorder="1" applyAlignment="1" applyProtection="1">
      <alignment horizontal="center" wrapText="1"/>
    </xf>
    <xf numFmtId="164" fontId="21" fillId="0" borderId="0" xfId="569" applyNumberFormat="1" applyFont="1" applyFill="1" applyBorder="1" applyAlignment="1" applyProtection="1">
      <alignment horizontal="center" wrapText="1"/>
    </xf>
    <xf numFmtId="0" fontId="21" fillId="0" borderId="3" xfId="569" applyFont="1" applyFill="1" applyBorder="1" applyAlignment="1">
      <alignment horizontal="right"/>
    </xf>
    <xf numFmtId="0" fontId="21" fillId="0" borderId="4" xfId="569" applyFont="1" applyFill="1" applyBorder="1" applyAlignment="1">
      <alignment horizontal="right"/>
    </xf>
    <xf numFmtId="0" fontId="21" fillId="0" borderId="5" xfId="569" applyFont="1" applyFill="1" applyBorder="1" applyAlignment="1">
      <alignment horizontal="right"/>
    </xf>
    <xf numFmtId="0" fontId="14" fillId="0" borderId="3" xfId="569" applyFont="1" applyBorder="1" applyAlignment="1">
      <alignment horizontal="right"/>
    </xf>
    <xf numFmtId="0" fontId="14" fillId="0" borderId="4" xfId="569" applyFont="1" applyBorder="1" applyAlignment="1">
      <alignment horizontal="right"/>
    </xf>
    <xf numFmtId="0" fontId="14" fillId="0" borderId="5" xfId="569" applyFont="1"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0" fontId="19" fillId="0" borderId="6" xfId="271" applyFont="1" applyBorder="1" applyAlignment="1" applyProtection="1">
      <alignment horizontal="center"/>
    </xf>
  </cellXfs>
  <cellStyles count="34045">
    <cellStyle name="20% - Accent1" xfId="1" builtinId="30" customBuiltin="1"/>
    <cellStyle name="20% - Accent1 10" xfId="4505"/>
    <cellStyle name="20% - Accent1 10 2" xfId="12941"/>
    <cellStyle name="20% - Accent1 10 3" xfId="21382"/>
    <cellStyle name="20% - Accent1 10 4" xfId="29822"/>
    <cellStyle name="20% - Accent1 11" xfId="8723"/>
    <cellStyle name="20% - Accent1 12" xfId="17165"/>
    <cellStyle name="20% - Accent1 13" xfId="25605"/>
    <cellStyle name="20% - Accent1 2" xfId="2"/>
    <cellStyle name="20% - Accent1 2 10" xfId="8724"/>
    <cellStyle name="20% - Accent1 2 11" xfId="17166"/>
    <cellStyle name="20% - Accent1 2 12" xfId="25606"/>
    <cellStyle name="20% - Accent1 2 2" xfId="3"/>
    <cellStyle name="20% - Accent1 2 2 10" xfId="17167"/>
    <cellStyle name="20% - Accent1 2 2 11" xfId="25607"/>
    <cellStyle name="20% - Accent1 2 2 2" xfId="4"/>
    <cellStyle name="20% - Accent1 2 2 2 10" xfId="25608"/>
    <cellStyle name="20% - Accent1 2 2 2 2" xfId="573"/>
    <cellStyle name="20% - Accent1 2 2 2 2 2" xfId="2844"/>
    <cellStyle name="20% - Accent1 2 2 2 2 2 2" xfId="7067"/>
    <cellStyle name="20% - Accent1 2 2 2 2 2 2 2" xfId="15503"/>
    <cellStyle name="20% - Accent1 2 2 2 2 2 2 3" xfId="23944"/>
    <cellStyle name="20% - Accent1 2 2 2 2 2 2 4" xfId="32384"/>
    <cellStyle name="20% - Accent1 2 2 2 2 2 3" xfId="11285"/>
    <cellStyle name="20% - Accent1 2 2 2 2 2 4" xfId="19727"/>
    <cellStyle name="20% - Accent1 2 2 2 2 2 5" xfId="28167"/>
    <cellStyle name="20% - Accent1 2 2 2 2 3" xfId="4922"/>
    <cellStyle name="20% - Accent1 2 2 2 2 3 2" xfId="13358"/>
    <cellStyle name="20% - Accent1 2 2 2 2 3 3" xfId="21799"/>
    <cellStyle name="20% - Accent1 2 2 2 2 3 4" xfId="30239"/>
    <cellStyle name="20% - Accent1 2 2 2 2 4" xfId="9140"/>
    <cellStyle name="20% - Accent1 2 2 2 2 5" xfId="17582"/>
    <cellStyle name="20% - Accent1 2 2 2 2 6" xfId="26022"/>
    <cellStyle name="20% - Accent1 2 2 2 3" xfId="1026"/>
    <cellStyle name="20% - Accent1 2 2 2 3 2" xfId="3257"/>
    <cellStyle name="20% - Accent1 2 2 2 3 2 2" xfId="7480"/>
    <cellStyle name="20% - Accent1 2 2 2 3 2 2 2" xfId="15916"/>
    <cellStyle name="20% - Accent1 2 2 2 3 2 2 3" xfId="24357"/>
    <cellStyle name="20% - Accent1 2 2 2 3 2 2 4" xfId="32797"/>
    <cellStyle name="20% - Accent1 2 2 2 3 2 3" xfId="11698"/>
    <cellStyle name="20% - Accent1 2 2 2 3 2 4" xfId="20140"/>
    <cellStyle name="20% - Accent1 2 2 2 3 2 5" xfId="28580"/>
    <cellStyle name="20% - Accent1 2 2 2 3 3" xfId="5335"/>
    <cellStyle name="20% - Accent1 2 2 2 3 3 2" xfId="13771"/>
    <cellStyle name="20% - Accent1 2 2 2 3 3 3" xfId="22212"/>
    <cellStyle name="20% - Accent1 2 2 2 3 3 4" xfId="30652"/>
    <cellStyle name="20% - Accent1 2 2 2 3 4" xfId="9553"/>
    <cellStyle name="20% - Accent1 2 2 2 3 5" xfId="17995"/>
    <cellStyle name="20% - Accent1 2 2 2 3 6" xfId="26435"/>
    <cellStyle name="20% - Accent1 2 2 2 4" xfId="1440"/>
    <cellStyle name="20% - Accent1 2 2 2 4 2" xfId="3670"/>
    <cellStyle name="20% - Accent1 2 2 2 4 2 2" xfId="7893"/>
    <cellStyle name="20% - Accent1 2 2 2 4 2 2 2" xfId="16329"/>
    <cellStyle name="20% - Accent1 2 2 2 4 2 2 3" xfId="24770"/>
    <cellStyle name="20% - Accent1 2 2 2 4 2 2 4" xfId="33210"/>
    <cellStyle name="20% - Accent1 2 2 2 4 2 3" xfId="12111"/>
    <cellStyle name="20% - Accent1 2 2 2 4 2 4" xfId="20553"/>
    <cellStyle name="20% - Accent1 2 2 2 4 2 5" xfId="28993"/>
    <cellStyle name="20% - Accent1 2 2 2 4 3" xfId="5748"/>
    <cellStyle name="20% - Accent1 2 2 2 4 3 2" xfId="14184"/>
    <cellStyle name="20% - Accent1 2 2 2 4 3 3" xfId="22625"/>
    <cellStyle name="20% - Accent1 2 2 2 4 3 4" xfId="31065"/>
    <cellStyle name="20% - Accent1 2 2 2 4 4" xfId="9966"/>
    <cellStyle name="20% - Accent1 2 2 2 4 5" xfId="18408"/>
    <cellStyle name="20% - Accent1 2 2 2 4 6" xfId="26848"/>
    <cellStyle name="20% - Accent1 2 2 2 5" xfId="1854"/>
    <cellStyle name="20% - Accent1 2 2 2 5 2" xfId="4083"/>
    <cellStyle name="20% - Accent1 2 2 2 5 2 2" xfId="8306"/>
    <cellStyle name="20% - Accent1 2 2 2 5 2 2 2" xfId="16742"/>
    <cellStyle name="20% - Accent1 2 2 2 5 2 2 3" xfId="25183"/>
    <cellStyle name="20% - Accent1 2 2 2 5 2 2 4" xfId="33623"/>
    <cellStyle name="20% - Accent1 2 2 2 5 2 3" xfId="12524"/>
    <cellStyle name="20% - Accent1 2 2 2 5 2 4" xfId="20966"/>
    <cellStyle name="20% - Accent1 2 2 2 5 2 5" xfId="29406"/>
    <cellStyle name="20% - Accent1 2 2 2 5 3" xfId="6161"/>
    <cellStyle name="20% - Accent1 2 2 2 5 3 2" xfId="14597"/>
    <cellStyle name="20% - Accent1 2 2 2 5 3 3" xfId="23038"/>
    <cellStyle name="20% - Accent1 2 2 2 5 3 4" xfId="31478"/>
    <cellStyle name="20% - Accent1 2 2 2 5 4" xfId="10379"/>
    <cellStyle name="20% - Accent1 2 2 2 5 5" xfId="18821"/>
    <cellStyle name="20% - Accent1 2 2 2 5 6" xfId="27261"/>
    <cellStyle name="20% - Accent1 2 2 2 6" xfId="2267"/>
    <cellStyle name="20% - Accent1 2 2 2 6 2" xfId="6574"/>
    <cellStyle name="20% - Accent1 2 2 2 6 2 2" xfId="15010"/>
    <cellStyle name="20% - Accent1 2 2 2 6 2 3" xfId="23451"/>
    <cellStyle name="20% - Accent1 2 2 2 6 2 4" xfId="31891"/>
    <cellStyle name="20% - Accent1 2 2 2 6 3" xfId="10792"/>
    <cellStyle name="20% - Accent1 2 2 2 6 4" xfId="19234"/>
    <cellStyle name="20% - Accent1 2 2 2 6 5" xfId="27674"/>
    <cellStyle name="20% - Accent1 2 2 2 7" xfId="4508"/>
    <cellStyle name="20% - Accent1 2 2 2 7 2" xfId="12944"/>
    <cellStyle name="20% - Accent1 2 2 2 7 3" xfId="21385"/>
    <cellStyle name="20% - Accent1 2 2 2 7 4" xfId="29825"/>
    <cellStyle name="20% - Accent1 2 2 2 8" xfId="8726"/>
    <cellStyle name="20% - Accent1 2 2 2 9" xfId="17168"/>
    <cellStyle name="20% - Accent1 2 2 3" xfId="572"/>
    <cellStyle name="20% - Accent1 2 2 3 2" xfId="2843"/>
    <cellStyle name="20% - Accent1 2 2 3 2 2" xfId="7066"/>
    <cellStyle name="20% - Accent1 2 2 3 2 2 2" xfId="15502"/>
    <cellStyle name="20% - Accent1 2 2 3 2 2 3" xfId="23943"/>
    <cellStyle name="20% - Accent1 2 2 3 2 2 4" xfId="32383"/>
    <cellStyle name="20% - Accent1 2 2 3 2 3" xfId="11284"/>
    <cellStyle name="20% - Accent1 2 2 3 2 4" xfId="19726"/>
    <cellStyle name="20% - Accent1 2 2 3 2 5" xfId="28166"/>
    <cellStyle name="20% - Accent1 2 2 3 3" xfId="4921"/>
    <cellStyle name="20% - Accent1 2 2 3 3 2" xfId="13357"/>
    <cellStyle name="20% - Accent1 2 2 3 3 3" xfId="21798"/>
    <cellStyle name="20% - Accent1 2 2 3 3 4" xfId="30238"/>
    <cellStyle name="20% - Accent1 2 2 3 4" xfId="9139"/>
    <cellStyle name="20% - Accent1 2 2 3 5" xfId="17581"/>
    <cellStyle name="20% - Accent1 2 2 3 6" xfId="26021"/>
    <cellStyle name="20% - Accent1 2 2 4" xfId="1025"/>
    <cellStyle name="20% - Accent1 2 2 4 2" xfId="3256"/>
    <cellStyle name="20% - Accent1 2 2 4 2 2" xfId="7479"/>
    <cellStyle name="20% - Accent1 2 2 4 2 2 2" xfId="15915"/>
    <cellStyle name="20% - Accent1 2 2 4 2 2 3" xfId="24356"/>
    <cellStyle name="20% - Accent1 2 2 4 2 2 4" xfId="32796"/>
    <cellStyle name="20% - Accent1 2 2 4 2 3" xfId="11697"/>
    <cellStyle name="20% - Accent1 2 2 4 2 4" xfId="20139"/>
    <cellStyle name="20% - Accent1 2 2 4 2 5" xfId="28579"/>
    <cellStyle name="20% - Accent1 2 2 4 3" xfId="5334"/>
    <cellStyle name="20% - Accent1 2 2 4 3 2" xfId="13770"/>
    <cellStyle name="20% - Accent1 2 2 4 3 3" xfId="22211"/>
    <cellStyle name="20% - Accent1 2 2 4 3 4" xfId="30651"/>
    <cellStyle name="20% - Accent1 2 2 4 4" xfId="9552"/>
    <cellStyle name="20% - Accent1 2 2 4 5" xfId="17994"/>
    <cellStyle name="20% - Accent1 2 2 4 6" xfId="26434"/>
    <cellStyle name="20% - Accent1 2 2 5" xfId="1439"/>
    <cellStyle name="20% - Accent1 2 2 5 2" xfId="3669"/>
    <cellStyle name="20% - Accent1 2 2 5 2 2" xfId="7892"/>
    <cellStyle name="20% - Accent1 2 2 5 2 2 2" xfId="16328"/>
    <cellStyle name="20% - Accent1 2 2 5 2 2 3" xfId="24769"/>
    <cellStyle name="20% - Accent1 2 2 5 2 2 4" xfId="33209"/>
    <cellStyle name="20% - Accent1 2 2 5 2 3" xfId="12110"/>
    <cellStyle name="20% - Accent1 2 2 5 2 4" xfId="20552"/>
    <cellStyle name="20% - Accent1 2 2 5 2 5" xfId="28992"/>
    <cellStyle name="20% - Accent1 2 2 5 3" xfId="5747"/>
    <cellStyle name="20% - Accent1 2 2 5 3 2" xfId="14183"/>
    <cellStyle name="20% - Accent1 2 2 5 3 3" xfId="22624"/>
    <cellStyle name="20% - Accent1 2 2 5 3 4" xfId="31064"/>
    <cellStyle name="20% - Accent1 2 2 5 4" xfId="9965"/>
    <cellStyle name="20% - Accent1 2 2 5 5" xfId="18407"/>
    <cellStyle name="20% - Accent1 2 2 5 6" xfId="26847"/>
    <cellStyle name="20% - Accent1 2 2 6" xfId="1853"/>
    <cellStyle name="20% - Accent1 2 2 6 2" xfId="4082"/>
    <cellStyle name="20% - Accent1 2 2 6 2 2" xfId="8305"/>
    <cellStyle name="20% - Accent1 2 2 6 2 2 2" xfId="16741"/>
    <cellStyle name="20% - Accent1 2 2 6 2 2 3" xfId="25182"/>
    <cellStyle name="20% - Accent1 2 2 6 2 2 4" xfId="33622"/>
    <cellStyle name="20% - Accent1 2 2 6 2 3" xfId="12523"/>
    <cellStyle name="20% - Accent1 2 2 6 2 4" xfId="20965"/>
    <cellStyle name="20% - Accent1 2 2 6 2 5" xfId="29405"/>
    <cellStyle name="20% - Accent1 2 2 6 3" xfId="6160"/>
    <cellStyle name="20% - Accent1 2 2 6 3 2" xfId="14596"/>
    <cellStyle name="20% - Accent1 2 2 6 3 3" xfId="23037"/>
    <cellStyle name="20% - Accent1 2 2 6 3 4" xfId="31477"/>
    <cellStyle name="20% - Accent1 2 2 6 4" xfId="10378"/>
    <cellStyle name="20% - Accent1 2 2 6 5" xfId="18820"/>
    <cellStyle name="20% - Accent1 2 2 6 6" xfId="27260"/>
    <cellStyle name="20% - Accent1 2 2 7" xfId="2266"/>
    <cellStyle name="20% - Accent1 2 2 7 2" xfId="6573"/>
    <cellStyle name="20% - Accent1 2 2 7 2 2" xfId="15009"/>
    <cellStyle name="20% - Accent1 2 2 7 2 3" xfId="23450"/>
    <cellStyle name="20% - Accent1 2 2 7 2 4" xfId="31890"/>
    <cellStyle name="20% - Accent1 2 2 7 3" xfId="10791"/>
    <cellStyle name="20% - Accent1 2 2 7 4" xfId="19233"/>
    <cellStyle name="20% - Accent1 2 2 7 5" xfId="27673"/>
    <cellStyle name="20% - Accent1 2 2 8" xfId="4507"/>
    <cellStyle name="20% - Accent1 2 2 8 2" xfId="12943"/>
    <cellStyle name="20% - Accent1 2 2 8 3" xfId="21384"/>
    <cellStyle name="20% - Accent1 2 2 8 4" xfId="29824"/>
    <cellStyle name="20% - Accent1 2 2 9" xfId="8725"/>
    <cellStyle name="20% - Accent1 2 3" xfId="5"/>
    <cellStyle name="20% - Accent1 2 3 10" xfId="25609"/>
    <cellStyle name="20% - Accent1 2 3 2" xfId="574"/>
    <cellStyle name="20% - Accent1 2 3 2 2" xfId="2845"/>
    <cellStyle name="20% - Accent1 2 3 2 2 2" xfId="7068"/>
    <cellStyle name="20% - Accent1 2 3 2 2 2 2" xfId="15504"/>
    <cellStyle name="20% - Accent1 2 3 2 2 2 3" xfId="23945"/>
    <cellStyle name="20% - Accent1 2 3 2 2 2 4" xfId="32385"/>
    <cellStyle name="20% - Accent1 2 3 2 2 3" xfId="11286"/>
    <cellStyle name="20% - Accent1 2 3 2 2 4" xfId="19728"/>
    <cellStyle name="20% - Accent1 2 3 2 2 5" xfId="28168"/>
    <cellStyle name="20% - Accent1 2 3 2 3" xfId="4923"/>
    <cellStyle name="20% - Accent1 2 3 2 3 2" xfId="13359"/>
    <cellStyle name="20% - Accent1 2 3 2 3 3" xfId="21800"/>
    <cellStyle name="20% - Accent1 2 3 2 3 4" xfId="30240"/>
    <cellStyle name="20% - Accent1 2 3 2 4" xfId="9141"/>
    <cellStyle name="20% - Accent1 2 3 2 5" xfId="17583"/>
    <cellStyle name="20% - Accent1 2 3 2 6" xfId="26023"/>
    <cellStyle name="20% - Accent1 2 3 3" xfId="1027"/>
    <cellStyle name="20% - Accent1 2 3 3 2" xfId="3258"/>
    <cellStyle name="20% - Accent1 2 3 3 2 2" xfId="7481"/>
    <cellStyle name="20% - Accent1 2 3 3 2 2 2" xfId="15917"/>
    <cellStyle name="20% - Accent1 2 3 3 2 2 3" xfId="24358"/>
    <cellStyle name="20% - Accent1 2 3 3 2 2 4" xfId="32798"/>
    <cellStyle name="20% - Accent1 2 3 3 2 3" xfId="11699"/>
    <cellStyle name="20% - Accent1 2 3 3 2 4" xfId="20141"/>
    <cellStyle name="20% - Accent1 2 3 3 2 5" xfId="28581"/>
    <cellStyle name="20% - Accent1 2 3 3 3" xfId="5336"/>
    <cellStyle name="20% - Accent1 2 3 3 3 2" xfId="13772"/>
    <cellStyle name="20% - Accent1 2 3 3 3 3" xfId="22213"/>
    <cellStyle name="20% - Accent1 2 3 3 3 4" xfId="30653"/>
    <cellStyle name="20% - Accent1 2 3 3 4" xfId="9554"/>
    <cellStyle name="20% - Accent1 2 3 3 5" xfId="17996"/>
    <cellStyle name="20% - Accent1 2 3 3 6" xfId="26436"/>
    <cellStyle name="20% - Accent1 2 3 4" xfId="1441"/>
    <cellStyle name="20% - Accent1 2 3 4 2" xfId="3671"/>
    <cellStyle name="20% - Accent1 2 3 4 2 2" xfId="7894"/>
    <cellStyle name="20% - Accent1 2 3 4 2 2 2" xfId="16330"/>
    <cellStyle name="20% - Accent1 2 3 4 2 2 3" xfId="24771"/>
    <cellStyle name="20% - Accent1 2 3 4 2 2 4" xfId="33211"/>
    <cellStyle name="20% - Accent1 2 3 4 2 3" xfId="12112"/>
    <cellStyle name="20% - Accent1 2 3 4 2 4" xfId="20554"/>
    <cellStyle name="20% - Accent1 2 3 4 2 5" xfId="28994"/>
    <cellStyle name="20% - Accent1 2 3 4 3" xfId="5749"/>
    <cellStyle name="20% - Accent1 2 3 4 3 2" xfId="14185"/>
    <cellStyle name="20% - Accent1 2 3 4 3 3" xfId="22626"/>
    <cellStyle name="20% - Accent1 2 3 4 3 4" xfId="31066"/>
    <cellStyle name="20% - Accent1 2 3 4 4" xfId="9967"/>
    <cellStyle name="20% - Accent1 2 3 4 5" xfId="18409"/>
    <cellStyle name="20% - Accent1 2 3 4 6" xfId="26849"/>
    <cellStyle name="20% - Accent1 2 3 5" xfId="1855"/>
    <cellStyle name="20% - Accent1 2 3 5 2" xfId="4084"/>
    <cellStyle name="20% - Accent1 2 3 5 2 2" xfId="8307"/>
    <cellStyle name="20% - Accent1 2 3 5 2 2 2" xfId="16743"/>
    <cellStyle name="20% - Accent1 2 3 5 2 2 3" xfId="25184"/>
    <cellStyle name="20% - Accent1 2 3 5 2 2 4" xfId="33624"/>
    <cellStyle name="20% - Accent1 2 3 5 2 3" xfId="12525"/>
    <cellStyle name="20% - Accent1 2 3 5 2 4" xfId="20967"/>
    <cellStyle name="20% - Accent1 2 3 5 2 5" xfId="29407"/>
    <cellStyle name="20% - Accent1 2 3 5 3" xfId="6162"/>
    <cellStyle name="20% - Accent1 2 3 5 3 2" xfId="14598"/>
    <cellStyle name="20% - Accent1 2 3 5 3 3" xfId="23039"/>
    <cellStyle name="20% - Accent1 2 3 5 3 4" xfId="31479"/>
    <cellStyle name="20% - Accent1 2 3 5 4" xfId="10380"/>
    <cellStyle name="20% - Accent1 2 3 5 5" xfId="18822"/>
    <cellStyle name="20% - Accent1 2 3 5 6" xfId="27262"/>
    <cellStyle name="20% - Accent1 2 3 6" xfId="2268"/>
    <cellStyle name="20% - Accent1 2 3 6 2" xfId="6575"/>
    <cellStyle name="20% - Accent1 2 3 6 2 2" xfId="15011"/>
    <cellStyle name="20% - Accent1 2 3 6 2 3" xfId="23452"/>
    <cellStyle name="20% - Accent1 2 3 6 2 4" xfId="31892"/>
    <cellStyle name="20% - Accent1 2 3 6 3" xfId="10793"/>
    <cellStyle name="20% - Accent1 2 3 6 4" xfId="19235"/>
    <cellStyle name="20% - Accent1 2 3 6 5" xfId="27675"/>
    <cellStyle name="20% - Accent1 2 3 7" xfId="4509"/>
    <cellStyle name="20% - Accent1 2 3 7 2" xfId="12945"/>
    <cellStyle name="20% - Accent1 2 3 7 3" xfId="21386"/>
    <cellStyle name="20% - Accent1 2 3 7 4" xfId="29826"/>
    <cellStyle name="20% - Accent1 2 3 8" xfId="8727"/>
    <cellStyle name="20% - Accent1 2 3 9" xfId="17169"/>
    <cellStyle name="20% - Accent1 2 4" xfId="571"/>
    <cellStyle name="20% - Accent1 2 4 2" xfId="2842"/>
    <cellStyle name="20% - Accent1 2 4 2 2" xfId="7065"/>
    <cellStyle name="20% - Accent1 2 4 2 2 2" xfId="15501"/>
    <cellStyle name="20% - Accent1 2 4 2 2 3" xfId="23942"/>
    <cellStyle name="20% - Accent1 2 4 2 2 4" xfId="32382"/>
    <cellStyle name="20% - Accent1 2 4 2 3" xfId="11283"/>
    <cellStyle name="20% - Accent1 2 4 2 4" xfId="19725"/>
    <cellStyle name="20% - Accent1 2 4 2 5" xfId="28165"/>
    <cellStyle name="20% - Accent1 2 4 3" xfId="4920"/>
    <cellStyle name="20% - Accent1 2 4 3 2" xfId="13356"/>
    <cellStyle name="20% - Accent1 2 4 3 3" xfId="21797"/>
    <cellStyle name="20% - Accent1 2 4 3 4" xfId="30237"/>
    <cellStyle name="20% - Accent1 2 4 4" xfId="9138"/>
    <cellStyle name="20% - Accent1 2 4 5" xfId="17580"/>
    <cellStyle name="20% - Accent1 2 4 6" xfId="26020"/>
    <cellStyle name="20% - Accent1 2 5" xfId="1024"/>
    <cellStyle name="20% - Accent1 2 5 2" xfId="3255"/>
    <cellStyle name="20% - Accent1 2 5 2 2" xfId="7478"/>
    <cellStyle name="20% - Accent1 2 5 2 2 2" xfId="15914"/>
    <cellStyle name="20% - Accent1 2 5 2 2 3" xfId="24355"/>
    <cellStyle name="20% - Accent1 2 5 2 2 4" xfId="32795"/>
    <cellStyle name="20% - Accent1 2 5 2 3" xfId="11696"/>
    <cellStyle name="20% - Accent1 2 5 2 4" xfId="20138"/>
    <cellStyle name="20% - Accent1 2 5 2 5" xfId="28578"/>
    <cellStyle name="20% - Accent1 2 5 3" xfId="5333"/>
    <cellStyle name="20% - Accent1 2 5 3 2" xfId="13769"/>
    <cellStyle name="20% - Accent1 2 5 3 3" xfId="22210"/>
    <cellStyle name="20% - Accent1 2 5 3 4" xfId="30650"/>
    <cellStyle name="20% - Accent1 2 5 4" xfId="9551"/>
    <cellStyle name="20% - Accent1 2 5 5" xfId="17993"/>
    <cellStyle name="20% - Accent1 2 5 6" xfId="26433"/>
    <cellStyle name="20% - Accent1 2 6" xfId="1438"/>
    <cellStyle name="20% - Accent1 2 6 2" xfId="3668"/>
    <cellStyle name="20% - Accent1 2 6 2 2" xfId="7891"/>
    <cellStyle name="20% - Accent1 2 6 2 2 2" xfId="16327"/>
    <cellStyle name="20% - Accent1 2 6 2 2 3" xfId="24768"/>
    <cellStyle name="20% - Accent1 2 6 2 2 4" xfId="33208"/>
    <cellStyle name="20% - Accent1 2 6 2 3" xfId="12109"/>
    <cellStyle name="20% - Accent1 2 6 2 4" xfId="20551"/>
    <cellStyle name="20% - Accent1 2 6 2 5" xfId="28991"/>
    <cellStyle name="20% - Accent1 2 6 3" xfId="5746"/>
    <cellStyle name="20% - Accent1 2 6 3 2" xfId="14182"/>
    <cellStyle name="20% - Accent1 2 6 3 3" xfId="22623"/>
    <cellStyle name="20% - Accent1 2 6 3 4" xfId="31063"/>
    <cellStyle name="20% - Accent1 2 6 4" xfId="9964"/>
    <cellStyle name="20% - Accent1 2 6 5" xfId="18406"/>
    <cellStyle name="20% - Accent1 2 6 6" xfId="26846"/>
    <cellStyle name="20% - Accent1 2 7" xfId="1852"/>
    <cellStyle name="20% - Accent1 2 7 2" xfId="4081"/>
    <cellStyle name="20% - Accent1 2 7 2 2" xfId="8304"/>
    <cellStyle name="20% - Accent1 2 7 2 2 2" xfId="16740"/>
    <cellStyle name="20% - Accent1 2 7 2 2 3" xfId="25181"/>
    <cellStyle name="20% - Accent1 2 7 2 2 4" xfId="33621"/>
    <cellStyle name="20% - Accent1 2 7 2 3" xfId="12522"/>
    <cellStyle name="20% - Accent1 2 7 2 4" xfId="20964"/>
    <cellStyle name="20% - Accent1 2 7 2 5" xfId="29404"/>
    <cellStyle name="20% - Accent1 2 7 3" xfId="6159"/>
    <cellStyle name="20% - Accent1 2 7 3 2" xfId="14595"/>
    <cellStyle name="20% - Accent1 2 7 3 3" xfId="23036"/>
    <cellStyle name="20% - Accent1 2 7 3 4" xfId="31476"/>
    <cellStyle name="20% - Accent1 2 7 4" xfId="10377"/>
    <cellStyle name="20% - Accent1 2 7 5" xfId="18819"/>
    <cellStyle name="20% - Accent1 2 7 6" xfId="27259"/>
    <cellStyle name="20% - Accent1 2 8" xfId="2265"/>
    <cellStyle name="20% - Accent1 2 8 2" xfId="6572"/>
    <cellStyle name="20% - Accent1 2 8 2 2" xfId="15008"/>
    <cellStyle name="20% - Accent1 2 8 2 3" xfId="23449"/>
    <cellStyle name="20% - Accent1 2 8 2 4" xfId="31889"/>
    <cellStyle name="20% - Accent1 2 8 3" xfId="10790"/>
    <cellStyle name="20% - Accent1 2 8 4" xfId="19232"/>
    <cellStyle name="20% - Accent1 2 8 5" xfId="27672"/>
    <cellStyle name="20% - Accent1 2 9" xfId="4506"/>
    <cellStyle name="20% - Accent1 2 9 2" xfId="12942"/>
    <cellStyle name="20% - Accent1 2 9 3" xfId="21383"/>
    <cellStyle name="20% - Accent1 2 9 4" xfId="29823"/>
    <cellStyle name="20% - Accent1 3" xfId="6"/>
    <cellStyle name="20% - Accent1 3 10" xfId="17170"/>
    <cellStyle name="20% - Accent1 3 11" xfId="25610"/>
    <cellStyle name="20% - Accent1 3 2" xfId="7"/>
    <cellStyle name="20% - Accent1 3 2 10" xfId="25611"/>
    <cellStyle name="20% - Accent1 3 2 2" xfId="576"/>
    <cellStyle name="20% - Accent1 3 2 2 2" xfId="2847"/>
    <cellStyle name="20% - Accent1 3 2 2 2 2" xfId="7070"/>
    <cellStyle name="20% - Accent1 3 2 2 2 2 2" xfId="15506"/>
    <cellStyle name="20% - Accent1 3 2 2 2 2 3" xfId="23947"/>
    <cellStyle name="20% - Accent1 3 2 2 2 2 4" xfId="32387"/>
    <cellStyle name="20% - Accent1 3 2 2 2 3" xfId="11288"/>
    <cellStyle name="20% - Accent1 3 2 2 2 4" xfId="19730"/>
    <cellStyle name="20% - Accent1 3 2 2 2 5" xfId="28170"/>
    <cellStyle name="20% - Accent1 3 2 2 3" xfId="4925"/>
    <cellStyle name="20% - Accent1 3 2 2 3 2" xfId="13361"/>
    <cellStyle name="20% - Accent1 3 2 2 3 3" xfId="21802"/>
    <cellStyle name="20% - Accent1 3 2 2 3 4" xfId="30242"/>
    <cellStyle name="20% - Accent1 3 2 2 4" xfId="9143"/>
    <cellStyle name="20% - Accent1 3 2 2 5" xfId="17585"/>
    <cellStyle name="20% - Accent1 3 2 2 6" xfId="26025"/>
    <cellStyle name="20% - Accent1 3 2 3" xfId="1029"/>
    <cellStyle name="20% - Accent1 3 2 3 2" xfId="3260"/>
    <cellStyle name="20% - Accent1 3 2 3 2 2" xfId="7483"/>
    <cellStyle name="20% - Accent1 3 2 3 2 2 2" xfId="15919"/>
    <cellStyle name="20% - Accent1 3 2 3 2 2 3" xfId="24360"/>
    <cellStyle name="20% - Accent1 3 2 3 2 2 4" xfId="32800"/>
    <cellStyle name="20% - Accent1 3 2 3 2 3" xfId="11701"/>
    <cellStyle name="20% - Accent1 3 2 3 2 4" xfId="20143"/>
    <cellStyle name="20% - Accent1 3 2 3 2 5" xfId="28583"/>
    <cellStyle name="20% - Accent1 3 2 3 3" xfId="5338"/>
    <cellStyle name="20% - Accent1 3 2 3 3 2" xfId="13774"/>
    <cellStyle name="20% - Accent1 3 2 3 3 3" xfId="22215"/>
    <cellStyle name="20% - Accent1 3 2 3 3 4" xfId="30655"/>
    <cellStyle name="20% - Accent1 3 2 3 4" xfId="9556"/>
    <cellStyle name="20% - Accent1 3 2 3 5" xfId="17998"/>
    <cellStyle name="20% - Accent1 3 2 3 6" xfId="26438"/>
    <cellStyle name="20% - Accent1 3 2 4" xfId="1443"/>
    <cellStyle name="20% - Accent1 3 2 4 2" xfId="3673"/>
    <cellStyle name="20% - Accent1 3 2 4 2 2" xfId="7896"/>
    <cellStyle name="20% - Accent1 3 2 4 2 2 2" xfId="16332"/>
    <cellStyle name="20% - Accent1 3 2 4 2 2 3" xfId="24773"/>
    <cellStyle name="20% - Accent1 3 2 4 2 2 4" xfId="33213"/>
    <cellStyle name="20% - Accent1 3 2 4 2 3" xfId="12114"/>
    <cellStyle name="20% - Accent1 3 2 4 2 4" xfId="20556"/>
    <cellStyle name="20% - Accent1 3 2 4 2 5" xfId="28996"/>
    <cellStyle name="20% - Accent1 3 2 4 3" xfId="5751"/>
    <cellStyle name="20% - Accent1 3 2 4 3 2" xfId="14187"/>
    <cellStyle name="20% - Accent1 3 2 4 3 3" xfId="22628"/>
    <cellStyle name="20% - Accent1 3 2 4 3 4" xfId="31068"/>
    <cellStyle name="20% - Accent1 3 2 4 4" xfId="9969"/>
    <cellStyle name="20% - Accent1 3 2 4 5" xfId="18411"/>
    <cellStyle name="20% - Accent1 3 2 4 6" xfId="26851"/>
    <cellStyle name="20% - Accent1 3 2 5" xfId="1857"/>
    <cellStyle name="20% - Accent1 3 2 5 2" xfId="4086"/>
    <cellStyle name="20% - Accent1 3 2 5 2 2" xfId="8309"/>
    <cellStyle name="20% - Accent1 3 2 5 2 2 2" xfId="16745"/>
    <cellStyle name="20% - Accent1 3 2 5 2 2 3" xfId="25186"/>
    <cellStyle name="20% - Accent1 3 2 5 2 2 4" xfId="33626"/>
    <cellStyle name="20% - Accent1 3 2 5 2 3" xfId="12527"/>
    <cellStyle name="20% - Accent1 3 2 5 2 4" xfId="20969"/>
    <cellStyle name="20% - Accent1 3 2 5 2 5" xfId="29409"/>
    <cellStyle name="20% - Accent1 3 2 5 3" xfId="6164"/>
    <cellStyle name="20% - Accent1 3 2 5 3 2" xfId="14600"/>
    <cellStyle name="20% - Accent1 3 2 5 3 3" xfId="23041"/>
    <cellStyle name="20% - Accent1 3 2 5 3 4" xfId="31481"/>
    <cellStyle name="20% - Accent1 3 2 5 4" xfId="10382"/>
    <cellStyle name="20% - Accent1 3 2 5 5" xfId="18824"/>
    <cellStyle name="20% - Accent1 3 2 5 6" xfId="27264"/>
    <cellStyle name="20% - Accent1 3 2 6" xfId="2270"/>
    <cellStyle name="20% - Accent1 3 2 6 2" xfId="6577"/>
    <cellStyle name="20% - Accent1 3 2 6 2 2" xfId="15013"/>
    <cellStyle name="20% - Accent1 3 2 6 2 3" xfId="23454"/>
    <cellStyle name="20% - Accent1 3 2 6 2 4" xfId="31894"/>
    <cellStyle name="20% - Accent1 3 2 6 3" xfId="10795"/>
    <cellStyle name="20% - Accent1 3 2 6 4" xfId="19237"/>
    <cellStyle name="20% - Accent1 3 2 6 5" xfId="27677"/>
    <cellStyle name="20% - Accent1 3 2 7" xfId="4511"/>
    <cellStyle name="20% - Accent1 3 2 7 2" xfId="12947"/>
    <cellStyle name="20% - Accent1 3 2 7 3" xfId="21388"/>
    <cellStyle name="20% - Accent1 3 2 7 4" xfId="29828"/>
    <cellStyle name="20% - Accent1 3 2 8" xfId="8729"/>
    <cellStyle name="20% - Accent1 3 2 9" xfId="17171"/>
    <cellStyle name="20% - Accent1 3 3" xfId="575"/>
    <cellStyle name="20% - Accent1 3 3 2" xfId="2846"/>
    <cellStyle name="20% - Accent1 3 3 2 2" xfId="7069"/>
    <cellStyle name="20% - Accent1 3 3 2 2 2" xfId="15505"/>
    <cellStyle name="20% - Accent1 3 3 2 2 3" xfId="23946"/>
    <cellStyle name="20% - Accent1 3 3 2 2 4" xfId="32386"/>
    <cellStyle name="20% - Accent1 3 3 2 3" xfId="11287"/>
    <cellStyle name="20% - Accent1 3 3 2 4" xfId="19729"/>
    <cellStyle name="20% - Accent1 3 3 2 5" xfId="28169"/>
    <cellStyle name="20% - Accent1 3 3 3" xfId="4924"/>
    <cellStyle name="20% - Accent1 3 3 3 2" xfId="13360"/>
    <cellStyle name="20% - Accent1 3 3 3 3" xfId="21801"/>
    <cellStyle name="20% - Accent1 3 3 3 4" xfId="30241"/>
    <cellStyle name="20% - Accent1 3 3 4" xfId="9142"/>
    <cellStyle name="20% - Accent1 3 3 5" xfId="17584"/>
    <cellStyle name="20% - Accent1 3 3 6" xfId="26024"/>
    <cellStyle name="20% - Accent1 3 4" xfId="1028"/>
    <cellStyle name="20% - Accent1 3 4 2" xfId="3259"/>
    <cellStyle name="20% - Accent1 3 4 2 2" xfId="7482"/>
    <cellStyle name="20% - Accent1 3 4 2 2 2" xfId="15918"/>
    <cellStyle name="20% - Accent1 3 4 2 2 3" xfId="24359"/>
    <cellStyle name="20% - Accent1 3 4 2 2 4" xfId="32799"/>
    <cellStyle name="20% - Accent1 3 4 2 3" xfId="11700"/>
    <cellStyle name="20% - Accent1 3 4 2 4" xfId="20142"/>
    <cellStyle name="20% - Accent1 3 4 2 5" xfId="28582"/>
    <cellStyle name="20% - Accent1 3 4 3" xfId="5337"/>
    <cellStyle name="20% - Accent1 3 4 3 2" xfId="13773"/>
    <cellStyle name="20% - Accent1 3 4 3 3" xfId="22214"/>
    <cellStyle name="20% - Accent1 3 4 3 4" xfId="30654"/>
    <cellStyle name="20% - Accent1 3 4 4" xfId="9555"/>
    <cellStyle name="20% - Accent1 3 4 5" xfId="17997"/>
    <cellStyle name="20% - Accent1 3 4 6" xfId="26437"/>
    <cellStyle name="20% - Accent1 3 5" xfId="1442"/>
    <cellStyle name="20% - Accent1 3 5 2" xfId="3672"/>
    <cellStyle name="20% - Accent1 3 5 2 2" xfId="7895"/>
    <cellStyle name="20% - Accent1 3 5 2 2 2" xfId="16331"/>
    <cellStyle name="20% - Accent1 3 5 2 2 3" xfId="24772"/>
    <cellStyle name="20% - Accent1 3 5 2 2 4" xfId="33212"/>
    <cellStyle name="20% - Accent1 3 5 2 3" xfId="12113"/>
    <cellStyle name="20% - Accent1 3 5 2 4" xfId="20555"/>
    <cellStyle name="20% - Accent1 3 5 2 5" xfId="28995"/>
    <cellStyle name="20% - Accent1 3 5 3" xfId="5750"/>
    <cellStyle name="20% - Accent1 3 5 3 2" xfId="14186"/>
    <cellStyle name="20% - Accent1 3 5 3 3" xfId="22627"/>
    <cellStyle name="20% - Accent1 3 5 3 4" xfId="31067"/>
    <cellStyle name="20% - Accent1 3 5 4" xfId="9968"/>
    <cellStyle name="20% - Accent1 3 5 5" xfId="18410"/>
    <cellStyle name="20% - Accent1 3 5 6" xfId="26850"/>
    <cellStyle name="20% - Accent1 3 6" xfId="1856"/>
    <cellStyle name="20% - Accent1 3 6 2" xfId="4085"/>
    <cellStyle name="20% - Accent1 3 6 2 2" xfId="8308"/>
    <cellStyle name="20% - Accent1 3 6 2 2 2" xfId="16744"/>
    <cellStyle name="20% - Accent1 3 6 2 2 3" xfId="25185"/>
    <cellStyle name="20% - Accent1 3 6 2 2 4" xfId="33625"/>
    <cellStyle name="20% - Accent1 3 6 2 3" xfId="12526"/>
    <cellStyle name="20% - Accent1 3 6 2 4" xfId="20968"/>
    <cellStyle name="20% - Accent1 3 6 2 5" xfId="29408"/>
    <cellStyle name="20% - Accent1 3 6 3" xfId="6163"/>
    <cellStyle name="20% - Accent1 3 6 3 2" xfId="14599"/>
    <cellStyle name="20% - Accent1 3 6 3 3" xfId="23040"/>
    <cellStyle name="20% - Accent1 3 6 3 4" xfId="31480"/>
    <cellStyle name="20% - Accent1 3 6 4" xfId="10381"/>
    <cellStyle name="20% - Accent1 3 6 5" xfId="18823"/>
    <cellStyle name="20% - Accent1 3 6 6" xfId="27263"/>
    <cellStyle name="20% - Accent1 3 7" xfId="2269"/>
    <cellStyle name="20% - Accent1 3 7 2" xfId="6576"/>
    <cellStyle name="20% - Accent1 3 7 2 2" xfId="15012"/>
    <cellStyle name="20% - Accent1 3 7 2 3" xfId="23453"/>
    <cellStyle name="20% - Accent1 3 7 2 4" xfId="31893"/>
    <cellStyle name="20% - Accent1 3 7 3" xfId="10794"/>
    <cellStyle name="20% - Accent1 3 7 4" xfId="19236"/>
    <cellStyle name="20% - Accent1 3 7 5" xfId="27676"/>
    <cellStyle name="20% - Accent1 3 8" xfId="4510"/>
    <cellStyle name="20% - Accent1 3 8 2" xfId="12946"/>
    <cellStyle name="20% - Accent1 3 8 3" xfId="21387"/>
    <cellStyle name="20% - Accent1 3 8 4" xfId="29827"/>
    <cellStyle name="20% - Accent1 3 9" xfId="8728"/>
    <cellStyle name="20% - Accent1 4" xfId="8"/>
    <cellStyle name="20% - Accent1 4 10" xfId="25612"/>
    <cellStyle name="20% - Accent1 4 2" xfId="577"/>
    <cellStyle name="20% - Accent1 4 2 2" xfId="2848"/>
    <cellStyle name="20% - Accent1 4 2 2 2" xfId="7071"/>
    <cellStyle name="20% - Accent1 4 2 2 2 2" xfId="15507"/>
    <cellStyle name="20% - Accent1 4 2 2 2 3" xfId="23948"/>
    <cellStyle name="20% - Accent1 4 2 2 2 4" xfId="32388"/>
    <cellStyle name="20% - Accent1 4 2 2 3" xfId="11289"/>
    <cellStyle name="20% - Accent1 4 2 2 4" xfId="19731"/>
    <cellStyle name="20% - Accent1 4 2 2 5" xfId="28171"/>
    <cellStyle name="20% - Accent1 4 2 3" xfId="4926"/>
    <cellStyle name="20% - Accent1 4 2 3 2" xfId="13362"/>
    <cellStyle name="20% - Accent1 4 2 3 3" xfId="21803"/>
    <cellStyle name="20% - Accent1 4 2 3 4" xfId="30243"/>
    <cellStyle name="20% - Accent1 4 2 4" xfId="9144"/>
    <cellStyle name="20% - Accent1 4 2 5" xfId="17586"/>
    <cellStyle name="20% - Accent1 4 2 6" xfId="26026"/>
    <cellStyle name="20% - Accent1 4 3" xfId="1030"/>
    <cellStyle name="20% - Accent1 4 3 2" xfId="3261"/>
    <cellStyle name="20% - Accent1 4 3 2 2" xfId="7484"/>
    <cellStyle name="20% - Accent1 4 3 2 2 2" xfId="15920"/>
    <cellStyle name="20% - Accent1 4 3 2 2 3" xfId="24361"/>
    <cellStyle name="20% - Accent1 4 3 2 2 4" xfId="32801"/>
    <cellStyle name="20% - Accent1 4 3 2 3" xfId="11702"/>
    <cellStyle name="20% - Accent1 4 3 2 4" xfId="20144"/>
    <cellStyle name="20% - Accent1 4 3 2 5" xfId="28584"/>
    <cellStyle name="20% - Accent1 4 3 3" xfId="5339"/>
    <cellStyle name="20% - Accent1 4 3 3 2" xfId="13775"/>
    <cellStyle name="20% - Accent1 4 3 3 3" xfId="22216"/>
    <cellStyle name="20% - Accent1 4 3 3 4" xfId="30656"/>
    <cellStyle name="20% - Accent1 4 3 4" xfId="9557"/>
    <cellStyle name="20% - Accent1 4 3 5" xfId="17999"/>
    <cellStyle name="20% - Accent1 4 3 6" xfId="26439"/>
    <cellStyle name="20% - Accent1 4 4" xfId="1444"/>
    <cellStyle name="20% - Accent1 4 4 2" xfId="3674"/>
    <cellStyle name="20% - Accent1 4 4 2 2" xfId="7897"/>
    <cellStyle name="20% - Accent1 4 4 2 2 2" xfId="16333"/>
    <cellStyle name="20% - Accent1 4 4 2 2 3" xfId="24774"/>
    <cellStyle name="20% - Accent1 4 4 2 2 4" xfId="33214"/>
    <cellStyle name="20% - Accent1 4 4 2 3" xfId="12115"/>
    <cellStyle name="20% - Accent1 4 4 2 4" xfId="20557"/>
    <cellStyle name="20% - Accent1 4 4 2 5" xfId="28997"/>
    <cellStyle name="20% - Accent1 4 4 3" xfId="5752"/>
    <cellStyle name="20% - Accent1 4 4 3 2" xfId="14188"/>
    <cellStyle name="20% - Accent1 4 4 3 3" xfId="22629"/>
    <cellStyle name="20% - Accent1 4 4 3 4" xfId="31069"/>
    <cellStyle name="20% - Accent1 4 4 4" xfId="9970"/>
    <cellStyle name="20% - Accent1 4 4 5" xfId="18412"/>
    <cellStyle name="20% - Accent1 4 4 6" xfId="26852"/>
    <cellStyle name="20% - Accent1 4 5" xfId="1858"/>
    <cellStyle name="20% - Accent1 4 5 2" xfId="4087"/>
    <cellStyle name="20% - Accent1 4 5 2 2" xfId="8310"/>
    <cellStyle name="20% - Accent1 4 5 2 2 2" xfId="16746"/>
    <cellStyle name="20% - Accent1 4 5 2 2 3" xfId="25187"/>
    <cellStyle name="20% - Accent1 4 5 2 2 4" xfId="33627"/>
    <cellStyle name="20% - Accent1 4 5 2 3" xfId="12528"/>
    <cellStyle name="20% - Accent1 4 5 2 4" xfId="20970"/>
    <cellStyle name="20% - Accent1 4 5 2 5" xfId="29410"/>
    <cellStyle name="20% - Accent1 4 5 3" xfId="6165"/>
    <cellStyle name="20% - Accent1 4 5 3 2" xfId="14601"/>
    <cellStyle name="20% - Accent1 4 5 3 3" xfId="23042"/>
    <cellStyle name="20% - Accent1 4 5 3 4" xfId="31482"/>
    <cellStyle name="20% - Accent1 4 5 4" xfId="10383"/>
    <cellStyle name="20% - Accent1 4 5 5" xfId="18825"/>
    <cellStyle name="20% - Accent1 4 5 6" xfId="27265"/>
    <cellStyle name="20% - Accent1 4 6" xfId="2271"/>
    <cellStyle name="20% - Accent1 4 6 2" xfId="6578"/>
    <cellStyle name="20% - Accent1 4 6 2 2" xfId="15014"/>
    <cellStyle name="20% - Accent1 4 6 2 3" xfId="23455"/>
    <cellStyle name="20% - Accent1 4 6 2 4" xfId="31895"/>
    <cellStyle name="20% - Accent1 4 6 3" xfId="10796"/>
    <cellStyle name="20% - Accent1 4 6 4" xfId="19238"/>
    <cellStyle name="20% - Accent1 4 6 5" xfId="27678"/>
    <cellStyle name="20% - Accent1 4 7" xfId="4512"/>
    <cellStyle name="20% - Accent1 4 7 2" xfId="12948"/>
    <cellStyle name="20% - Accent1 4 7 3" xfId="21389"/>
    <cellStyle name="20% - Accent1 4 7 4" xfId="29829"/>
    <cellStyle name="20% - Accent1 4 8" xfId="8730"/>
    <cellStyle name="20% - Accent1 4 9" xfId="17172"/>
    <cellStyle name="20% - Accent1 5" xfId="570"/>
    <cellStyle name="20% - Accent1 5 2" xfId="2841"/>
    <cellStyle name="20% - Accent1 5 2 2" xfId="7064"/>
    <cellStyle name="20% - Accent1 5 2 2 2" xfId="15500"/>
    <cellStyle name="20% - Accent1 5 2 2 3" xfId="23941"/>
    <cellStyle name="20% - Accent1 5 2 2 4" xfId="32381"/>
    <cellStyle name="20% - Accent1 5 2 3" xfId="11282"/>
    <cellStyle name="20% - Accent1 5 2 4" xfId="19724"/>
    <cellStyle name="20% - Accent1 5 2 5" xfId="28164"/>
    <cellStyle name="20% - Accent1 5 3" xfId="4919"/>
    <cellStyle name="20% - Accent1 5 3 2" xfId="13355"/>
    <cellStyle name="20% - Accent1 5 3 3" xfId="21796"/>
    <cellStyle name="20% - Accent1 5 3 4" xfId="30236"/>
    <cellStyle name="20% - Accent1 5 4" xfId="9137"/>
    <cellStyle name="20% - Accent1 5 5" xfId="17579"/>
    <cellStyle name="20% - Accent1 5 6" xfId="26019"/>
    <cellStyle name="20% - Accent1 6" xfId="1023"/>
    <cellStyle name="20% - Accent1 6 2" xfId="3254"/>
    <cellStyle name="20% - Accent1 6 2 2" xfId="7477"/>
    <cellStyle name="20% - Accent1 6 2 2 2" xfId="15913"/>
    <cellStyle name="20% - Accent1 6 2 2 3" xfId="24354"/>
    <cellStyle name="20% - Accent1 6 2 2 4" xfId="32794"/>
    <cellStyle name="20% - Accent1 6 2 3" xfId="11695"/>
    <cellStyle name="20% - Accent1 6 2 4" xfId="20137"/>
    <cellStyle name="20% - Accent1 6 2 5" xfId="28577"/>
    <cellStyle name="20% - Accent1 6 3" xfId="5332"/>
    <cellStyle name="20% - Accent1 6 3 2" xfId="13768"/>
    <cellStyle name="20% - Accent1 6 3 3" xfId="22209"/>
    <cellStyle name="20% - Accent1 6 3 4" xfId="30649"/>
    <cellStyle name="20% - Accent1 6 4" xfId="9550"/>
    <cellStyle name="20% - Accent1 6 5" xfId="17992"/>
    <cellStyle name="20% - Accent1 6 6" xfId="26432"/>
    <cellStyle name="20% - Accent1 7" xfId="1437"/>
    <cellStyle name="20% - Accent1 7 2" xfId="3667"/>
    <cellStyle name="20% - Accent1 7 2 2" xfId="7890"/>
    <cellStyle name="20% - Accent1 7 2 2 2" xfId="16326"/>
    <cellStyle name="20% - Accent1 7 2 2 3" xfId="24767"/>
    <cellStyle name="20% - Accent1 7 2 2 4" xfId="33207"/>
    <cellStyle name="20% - Accent1 7 2 3" xfId="12108"/>
    <cellStyle name="20% - Accent1 7 2 4" xfId="20550"/>
    <cellStyle name="20% - Accent1 7 2 5" xfId="28990"/>
    <cellStyle name="20% - Accent1 7 3" xfId="5745"/>
    <cellStyle name="20% - Accent1 7 3 2" xfId="14181"/>
    <cellStyle name="20% - Accent1 7 3 3" xfId="22622"/>
    <cellStyle name="20% - Accent1 7 3 4" xfId="31062"/>
    <cellStyle name="20% - Accent1 7 4" xfId="9963"/>
    <cellStyle name="20% - Accent1 7 5" xfId="18405"/>
    <cellStyle name="20% - Accent1 7 6" xfId="26845"/>
    <cellStyle name="20% - Accent1 8" xfId="1851"/>
    <cellStyle name="20% - Accent1 8 2" xfId="4080"/>
    <cellStyle name="20% - Accent1 8 2 2" xfId="8303"/>
    <cellStyle name="20% - Accent1 8 2 2 2" xfId="16739"/>
    <cellStyle name="20% - Accent1 8 2 2 3" xfId="25180"/>
    <cellStyle name="20% - Accent1 8 2 2 4" xfId="33620"/>
    <cellStyle name="20% - Accent1 8 2 3" xfId="12521"/>
    <cellStyle name="20% - Accent1 8 2 4" xfId="20963"/>
    <cellStyle name="20% - Accent1 8 2 5" xfId="29403"/>
    <cellStyle name="20% - Accent1 8 3" xfId="6158"/>
    <cellStyle name="20% - Accent1 8 3 2" xfId="14594"/>
    <cellStyle name="20% - Accent1 8 3 3" xfId="23035"/>
    <cellStyle name="20% - Accent1 8 3 4" xfId="31475"/>
    <cellStyle name="20% - Accent1 8 4" xfId="10376"/>
    <cellStyle name="20% - Accent1 8 5" xfId="18818"/>
    <cellStyle name="20% - Accent1 8 6" xfId="27258"/>
    <cellStyle name="20% - Accent1 9" xfId="2264"/>
    <cellStyle name="20% - Accent1 9 2" xfId="6571"/>
    <cellStyle name="20% - Accent1 9 2 2" xfId="15007"/>
    <cellStyle name="20% - Accent1 9 2 3" xfId="23448"/>
    <cellStyle name="20% - Accent1 9 2 4" xfId="31888"/>
    <cellStyle name="20% - Accent1 9 3" xfId="10789"/>
    <cellStyle name="20% - Accent1 9 4" xfId="19231"/>
    <cellStyle name="20% - Accent1 9 5" xfId="27671"/>
    <cellStyle name="20% - Accent2" xfId="9" builtinId="34" customBuiltin="1"/>
    <cellStyle name="20% - Accent2 10" xfId="4513"/>
    <cellStyle name="20% - Accent2 10 2" xfId="12949"/>
    <cellStyle name="20% - Accent2 10 3" xfId="21390"/>
    <cellStyle name="20% - Accent2 10 4" xfId="29830"/>
    <cellStyle name="20% - Accent2 11" xfId="8731"/>
    <cellStyle name="20% - Accent2 12" xfId="17173"/>
    <cellStyle name="20% - Accent2 13" xfId="25613"/>
    <cellStyle name="20% - Accent2 2" xfId="10"/>
    <cellStyle name="20% - Accent2 2 10" xfId="8732"/>
    <cellStyle name="20% - Accent2 2 11" xfId="17174"/>
    <cellStyle name="20% - Accent2 2 12" xfId="25614"/>
    <cellStyle name="20% - Accent2 2 2" xfId="11"/>
    <cellStyle name="20% - Accent2 2 2 10" xfId="17175"/>
    <cellStyle name="20% - Accent2 2 2 11" xfId="25615"/>
    <cellStyle name="20% - Accent2 2 2 2" xfId="12"/>
    <cellStyle name="20% - Accent2 2 2 2 10" xfId="25616"/>
    <cellStyle name="20% - Accent2 2 2 2 2" xfId="581"/>
    <cellStyle name="20% - Accent2 2 2 2 2 2" xfId="2852"/>
    <cellStyle name="20% - Accent2 2 2 2 2 2 2" xfId="7075"/>
    <cellStyle name="20% - Accent2 2 2 2 2 2 2 2" xfId="15511"/>
    <cellStyle name="20% - Accent2 2 2 2 2 2 2 3" xfId="23952"/>
    <cellStyle name="20% - Accent2 2 2 2 2 2 2 4" xfId="32392"/>
    <cellStyle name="20% - Accent2 2 2 2 2 2 3" xfId="11293"/>
    <cellStyle name="20% - Accent2 2 2 2 2 2 4" xfId="19735"/>
    <cellStyle name="20% - Accent2 2 2 2 2 2 5" xfId="28175"/>
    <cellStyle name="20% - Accent2 2 2 2 2 3" xfId="4930"/>
    <cellStyle name="20% - Accent2 2 2 2 2 3 2" xfId="13366"/>
    <cellStyle name="20% - Accent2 2 2 2 2 3 3" xfId="21807"/>
    <cellStyle name="20% - Accent2 2 2 2 2 3 4" xfId="30247"/>
    <cellStyle name="20% - Accent2 2 2 2 2 4" xfId="9148"/>
    <cellStyle name="20% - Accent2 2 2 2 2 5" xfId="17590"/>
    <cellStyle name="20% - Accent2 2 2 2 2 6" xfId="26030"/>
    <cellStyle name="20% - Accent2 2 2 2 3" xfId="1034"/>
    <cellStyle name="20% - Accent2 2 2 2 3 2" xfId="3265"/>
    <cellStyle name="20% - Accent2 2 2 2 3 2 2" xfId="7488"/>
    <cellStyle name="20% - Accent2 2 2 2 3 2 2 2" xfId="15924"/>
    <cellStyle name="20% - Accent2 2 2 2 3 2 2 3" xfId="24365"/>
    <cellStyle name="20% - Accent2 2 2 2 3 2 2 4" xfId="32805"/>
    <cellStyle name="20% - Accent2 2 2 2 3 2 3" xfId="11706"/>
    <cellStyle name="20% - Accent2 2 2 2 3 2 4" xfId="20148"/>
    <cellStyle name="20% - Accent2 2 2 2 3 2 5" xfId="28588"/>
    <cellStyle name="20% - Accent2 2 2 2 3 3" xfId="5343"/>
    <cellStyle name="20% - Accent2 2 2 2 3 3 2" xfId="13779"/>
    <cellStyle name="20% - Accent2 2 2 2 3 3 3" xfId="22220"/>
    <cellStyle name="20% - Accent2 2 2 2 3 3 4" xfId="30660"/>
    <cellStyle name="20% - Accent2 2 2 2 3 4" xfId="9561"/>
    <cellStyle name="20% - Accent2 2 2 2 3 5" xfId="18003"/>
    <cellStyle name="20% - Accent2 2 2 2 3 6" xfId="26443"/>
    <cellStyle name="20% - Accent2 2 2 2 4" xfId="1448"/>
    <cellStyle name="20% - Accent2 2 2 2 4 2" xfId="3678"/>
    <cellStyle name="20% - Accent2 2 2 2 4 2 2" xfId="7901"/>
    <cellStyle name="20% - Accent2 2 2 2 4 2 2 2" xfId="16337"/>
    <cellStyle name="20% - Accent2 2 2 2 4 2 2 3" xfId="24778"/>
    <cellStyle name="20% - Accent2 2 2 2 4 2 2 4" xfId="33218"/>
    <cellStyle name="20% - Accent2 2 2 2 4 2 3" xfId="12119"/>
    <cellStyle name="20% - Accent2 2 2 2 4 2 4" xfId="20561"/>
    <cellStyle name="20% - Accent2 2 2 2 4 2 5" xfId="29001"/>
    <cellStyle name="20% - Accent2 2 2 2 4 3" xfId="5756"/>
    <cellStyle name="20% - Accent2 2 2 2 4 3 2" xfId="14192"/>
    <cellStyle name="20% - Accent2 2 2 2 4 3 3" xfId="22633"/>
    <cellStyle name="20% - Accent2 2 2 2 4 3 4" xfId="31073"/>
    <cellStyle name="20% - Accent2 2 2 2 4 4" xfId="9974"/>
    <cellStyle name="20% - Accent2 2 2 2 4 5" xfId="18416"/>
    <cellStyle name="20% - Accent2 2 2 2 4 6" xfId="26856"/>
    <cellStyle name="20% - Accent2 2 2 2 5" xfId="1862"/>
    <cellStyle name="20% - Accent2 2 2 2 5 2" xfId="4091"/>
    <cellStyle name="20% - Accent2 2 2 2 5 2 2" xfId="8314"/>
    <cellStyle name="20% - Accent2 2 2 2 5 2 2 2" xfId="16750"/>
    <cellStyle name="20% - Accent2 2 2 2 5 2 2 3" xfId="25191"/>
    <cellStyle name="20% - Accent2 2 2 2 5 2 2 4" xfId="33631"/>
    <cellStyle name="20% - Accent2 2 2 2 5 2 3" xfId="12532"/>
    <cellStyle name="20% - Accent2 2 2 2 5 2 4" xfId="20974"/>
    <cellStyle name="20% - Accent2 2 2 2 5 2 5" xfId="29414"/>
    <cellStyle name="20% - Accent2 2 2 2 5 3" xfId="6169"/>
    <cellStyle name="20% - Accent2 2 2 2 5 3 2" xfId="14605"/>
    <cellStyle name="20% - Accent2 2 2 2 5 3 3" xfId="23046"/>
    <cellStyle name="20% - Accent2 2 2 2 5 3 4" xfId="31486"/>
    <cellStyle name="20% - Accent2 2 2 2 5 4" xfId="10387"/>
    <cellStyle name="20% - Accent2 2 2 2 5 5" xfId="18829"/>
    <cellStyle name="20% - Accent2 2 2 2 5 6" xfId="27269"/>
    <cellStyle name="20% - Accent2 2 2 2 6" xfId="2275"/>
    <cellStyle name="20% - Accent2 2 2 2 6 2" xfId="6582"/>
    <cellStyle name="20% - Accent2 2 2 2 6 2 2" xfId="15018"/>
    <cellStyle name="20% - Accent2 2 2 2 6 2 3" xfId="23459"/>
    <cellStyle name="20% - Accent2 2 2 2 6 2 4" xfId="31899"/>
    <cellStyle name="20% - Accent2 2 2 2 6 3" xfId="10800"/>
    <cellStyle name="20% - Accent2 2 2 2 6 4" xfId="19242"/>
    <cellStyle name="20% - Accent2 2 2 2 6 5" xfId="27682"/>
    <cellStyle name="20% - Accent2 2 2 2 7" xfId="4516"/>
    <cellStyle name="20% - Accent2 2 2 2 7 2" xfId="12952"/>
    <cellStyle name="20% - Accent2 2 2 2 7 3" xfId="21393"/>
    <cellStyle name="20% - Accent2 2 2 2 7 4" xfId="29833"/>
    <cellStyle name="20% - Accent2 2 2 2 8" xfId="8734"/>
    <cellStyle name="20% - Accent2 2 2 2 9" xfId="17176"/>
    <cellStyle name="20% - Accent2 2 2 3" xfId="580"/>
    <cellStyle name="20% - Accent2 2 2 3 2" xfId="2851"/>
    <cellStyle name="20% - Accent2 2 2 3 2 2" xfId="7074"/>
    <cellStyle name="20% - Accent2 2 2 3 2 2 2" xfId="15510"/>
    <cellStyle name="20% - Accent2 2 2 3 2 2 3" xfId="23951"/>
    <cellStyle name="20% - Accent2 2 2 3 2 2 4" xfId="32391"/>
    <cellStyle name="20% - Accent2 2 2 3 2 3" xfId="11292"/>
    <cellStyle name="20% - Accent2 2 2 3 2 4" xfId="19734"/>
    <cellStyle name="20% - Accent2 2 2 3 2 5" xfId="28174"/>
    <cellStyle name="20% - Accent2 2 2 3 3" xfId="4929"/>
    <cellStyle name="20% - Accent2 2 2 3 3 2" xfId="13365"/>
    <cellStyle name="20% - Accent2 2 2 3 3 3" xfId="21806"/>
    <cellStyle name="20% - Accent2 2 2 3 3 4" xfId="30246"/>
    <cellStyle name="20% - Accent2 2 2 3 4" xfId="9147"/>
    <cellStyle name="20% - Accent2 2 2 3 5" xfId="17589"/>
    <cellStyle name="20% - Accent2 2 2 3 6" xfId="26029"/>
    <cellStyle name="20% - Accent2 2 2 4" xfId="1033"/>
    <cellStyle name="20% - Accent2 2 2 4 2" xfId="3264"/>
    <cellStyle name="20% - Accent2 2 2 4 2 2" xfId="7487"/>
    <cellStyle name="20% - Accent2 2 2 4 2 2 2" xfId="15923"/>
    <cellStyle name="20% - Accent2 2 2 4 2 2 3" xfId="24364"/>
    <cellStyle name="20% - Accent2 2 2 4 2 2 4" xfId="32804"/>
    <cellStyle name="20% - Accent2 2 2 4 2 3" xfId="11705"/>
    <cellStyle name="20% - Accent2 2 2 4 2 4" xfId="20147"/>
    <cellStyle name="20% - Accent2 2 2 4 2 5" xfId="28587"/>
    <cellStyle name="20% - Accent2 2 2 4 3" xfId="5342"/>
    <cellStyle name="20% - Accent2 2 2 4 3 2" xfId="13778"/>
    <cellStyle name="20% - Accent2 2 2 4 3 3" xfId="22219"/>
    <cellStyle name="20% - Accent2 2 2 4 3 4" xfId="30659"/>
    <cellStyle name="20% - Accent2 2 2 4 4" xfId="9560"/>
    <cellStyle name="20% - Accent2 2 2 4 5" xfId="18002"/>
    <cellStyle name="20% - Accent2 2 2 4 6" xfId="26442"/>
    <cellStyle name="20% - Accent2 2 2 5" xfId="1447"/>
    <cellStyle name="20% - Accent2 2 2 5 2" xfId="3677"/>
    <cellStyle name="20% - Accent2 2 2 5 2 2" xfId="7900"/>
    <cellStyle name="20% - Accent2 2 2 5 2 2 2" xfId="16336"/>
    <cellStyle name="20% - Accent2 2 2 5 2 2 3" xfId="24777"/>
    <cellStyle name="20% - Accent2 2 2 5 2 2 4" xfId="33217"/>
    <cellStyle name="20% - Accent2 2 2 5 2 3" xfId="12118"/>
    <cellStyle name="20% - Accent2 2 2 5 2 4" xfId="20560"/>
    <cellStyle name="20% - Accent2 2 2 5 2 5" xfId="29000"/>
    <cellStyle name="20% - Accent2 2 2 5 3" xfId="5755"/>
    <cellStyle name="20% - Accent2 2 2 5 3 2" xfId="14191"/>
    <cellStyle name="20% - Accent2 2 2 5 3 3" xfId="22632"/>
    <cellStyle name="20% - Accent2 2 2 5 3 4" xfId="31072"/>
    <cellStyle name="20% - Accent2 2 2 5 4" xfId="9973"/>
    <cellStyle name="20% - Accent2 2 2 5 5" xfId="18415"/>
    <cellStyle name="20% - Accent2 2 2 5 6" xfId="26855"/>
    <cellStyle name="20% - Accent2 2 2 6" xfId="1861"/>
    <cellStyle name="20% - Accent2 2 2 6 2" xfId="4090"/>
    <cellStyle name="20% - Accent2 2 2 6 2 2" xfId="8313"/>
    <cellStyle name="20% - Accent2 2 2 6 2 2 2" xfId="16749"/>
    <cellStyle name="20% - Accent2 2 2 6 2 2 3" xfId="25190"/>
    <cellStyle name="20% - Accent2 2 2 6 2 2 4" xfId="33630"/>
    <cellStyle name="20% - Accent2 2 2 6 2 3" xfId="12531"/>
    <cellStyle name="20% - Accent2 2 2 6 2 4" xfId="20973"/>
    <cellStyle name="20% - Accent2 2 2 6 2 5" xfId="29413"/>
    <cellStyle name="20% - Accent2 2 2 6 3" xfId="6168"/>
    <cellStyle name="20% - Accent2 2 2 6 3 2" xfId="14604"/>
    <cellStyle name="20% - Accent2 2 2 6 3 3" xfId="23045"/>
    <cellStyle name="20% - Accent2 2 2 6 3 4" xfId="31485"/>
    <cellStyle name="20% - Accent2 2 2 6 4" xfId="10386"/>
    <cellStyle name="20% - Accent2 2 2 6 5" xfId="18828"/>
    <cellStyle name="20% - Accent2 2 2 6 6" xfId="27268"/>
    <cellStyle name="20% - Accent2 2 2 7" xfId="2274"/>
    <cellStyle name="20% - Accent2 2 2 7 2" xfId="6581"/>
    <cellStyle name="20% - Accent2 2 2 7 2 2" xfId="15017"/>
    <cellStyle name="20% - Accent2 2 2 7 2 3" xfId="23458"/>
    <cellStyle name="20% - Accent2 2 2 7 2 4" xfId="31898"/>
    <cellStyle name="20% - Accent2 2 2 7 3" xfId="10799"/>
    <cellStyle name="20% - Accent2 2 2 7 4" xfId="19241"/>
    <cellStyle name="20% - Accent2 2 2 7 5" xfId="27681"/>
    <cellStyle name="20% - Accent2 2 2 8" xfId="4515"/>
    <cellStyle name="20% - Accent2 2 2 8 2" xfId="12951"/>
    <cellStyle name="20% - Accent2 2 2 8 3" xfId="21392"/>
    <cellStyle name="20% - Accent2 2 2 8 4" xfId="29832"/>
    <cellStyle name="20% - Accent2 2 2 9" xfId="8733"/>
    <cellStyle name="20% - Accent2 2 3" xfId="13"/>
    <cellStyle name="20% - Accent2 2 3 10" xfId="25617"/>
    <cellStyle name="20% - Accent2 2 3 2" xfId="582"/>
    <cellStyle name="20% - Accent2 2 3 2 2" xfId="2853"/>
    <cellStyle name="20% - Accent2 2 3 2 2 2" xfId="7076"/>
    <cellStyle name="20% - Accent2 2 3 2 2 2 2" xfId="15512"/>
    <cellStyle name="20% - Accent2 2 3 2 2 2 3" xfId="23953"/>
    <cellStyle name="20% - Accent2 2 3 2 2 2 4" xfId="32393"/>
    <cellStyle name="20% - Accent2 2 3 2 2 3" xfId="11294"/>
    <cellStyle name="20% - Accent2 2 3 2 2 4" xfId="19736"/>
    <cellStyle name="20% - Accent2 2 3 2 2 5" xfId="28176"/>
    <cellStyle name="20% - Accent2 2 3 2 3" xfId="4931"/>
    <cellStyle name="20% - Accent2 2 3 2 3 2" xfId="13367"/>
    <cellStyle name="20% - Accent2 2 3 2 3 3" xfId="21808"/>
    <cellStyle name="20% - Accent2 2 3 2 3 4" xfId="30248"/>
    <cellStyle name="20% - Accent2 2 3 2 4" xfId="9149"/>
    <cellStyle name="20% - Accent2 2 3 2 5" xfId="17591"/>
    <cellStyle name="20% - Accent2 2 3 2 6" xfId="26031"/>
    <cellStyle name="20% - Accent2 2 3 3" xfId="1035"/>
    <cellStyle name="20% - Accent2 2 3 3 2" xfId="3266"/>
    <cellStyle name="20% - Accent2 2 3 3 2 2" xfId="7489"/>
    <cellStyle name="20% - Accent2 2 3 3 2 2 2" xfId="15925"/>
    <cellStyle name="20% - Accent2 2 3 3 2 2 3" xfId="24366"/>
    <cellStyle name="20% - Accent2 2 3 3 2 2 4" xfId="32806"/>
    <cellStyle name="20% - Accent2 2 3 3 2 3" xfId="11707"/>
    <cellStyle name="20% - Accent2 2 3 3 2 4" xfId="20149"/>
    <cellStyle name="20% - Accent2 2 3 3 2 5" xfId="28589"/>
    <cellStyle name="20% - Accent2 2 3 3 3" xfId="5344"/>
    <cellStyle name="20% - Accent2 2 3 3 3 2" xfId="13780"/>
    <cellStyle name="20% - Accent2 2 3 3 3 3" xfId="22221"/>
    <cellStyle name="20% - Accent2 2 3 3 3 4" xfId="30661"/>
    <cellStyle name="20% - Accent2 2 3 3 4" xfId="9562"/>
    <cellStyle name="20% - Accent2 2 3 3 5" xfId="18004"/>
    <cellStyle name="20% - Accent2 2 3 3 6" xfId="26444"/>
    <cellStyle name="20% - Accent2 2 3 4" xfId="1449"/>
    <cellStyle name="20% - Accent2 2 3 4 2" xfId="3679"/>
    <cellStyle name="20% - Accent2 2 3 4 2 2" xfId="7902"/>
    <cellStyle name="20% - Accent2 2 3 4 2 2 2" xfId="16338"/>
    <cellStyle name="20% - Accent2 2 3 4 2 2 3" xfId="24779"/>
    <cellStyle name="20% - Accent2 2 3 4 2 2 4" xfId="33219"/>
    <cellStyle name="20% - Accent2 2 3 4 2 3" xfId="12120"/>
    <cellStyle name="20% - Accent2 2 3 4 2 4" xfId="20562"/>
    <cellStyle name="20% - Accent2 2 3 4 2 5" xfId="29002"/>
    <cellStyle name="20% - Accent2 2 3 4 3" xfId="5757"/>
    <cellStyle name="20% - Accent2 2 3 4 3 2" xfId="14193"/>
    <cellStyle name="20% - Accent2 2 3 4 3 3" xfId="22634"/>
    <cellStyle name="20% - Accent2 2 3 4 3 4" xfId="31074"/>
    <cellStyle name="20% - Accent2 2 3 4 4" xfId="9975"/>
    <cellStyle name="20% - Accent2 2 3 4 5" xfId="18417"/>
    <cellStyle name="20% - Accent2 2 3 4 6" xfId="26857"/>
    <cellStyle name="20% - Accent2 2 3 5" xfId="1863"/>
    <cellStyle name="20% - Accent2 2 3 5 2" xfId="4092"/>
    <cellStyle name="20% - Accent2 2 3 5 2 2" xfId="8315"/>
    <cellStyle name="20% - Accent2 2 3 5 2 2 2" xfId="16751"/>
    <cellStyle name="20% - Accent2 2 3 5 2 2 3" xfId="25192"/>
    <cellStyle name="20% - Accent2 2 3 5 2 2 4" xfId="33632"/>
    <cellStyle name="20% - Accent2 2 3 5 2 3" xfId="12533"/>
    <cellStyle name="20% - Accent2 2 3 5 2 4" xfId="20975"/>
    <cellStyle name="20% - Accent2 2 3 5 2 5" xfId="29415"/>
    <cellStyle name="20% - Accent2 2 3 5 3" xfId="6170"/>
    <cellStyle name="20% - Accent2 2 3 5 3 2" xfId="14606"/>
    <cellStyle name="20% - Accent2 2 3 5 3 3" xfId="23047"/>
    <cellStyle name="20% - Accent2 2 3 5 3 4" xfId="31487"/>
    <cellStyle name="20% - Accent2 2 3 5 4" xfId="10388"/>
    <cellStyle name="20% - Accent2 2 3 5 5" xfId="18830"/>
    <cellStyle name="20% - Accent2 2 3 5 6" xfId="27270"/>
    <cellStyle name="20% - Accent2 2 3 6" xfId="2276"/>
    <cellStyle name="20% - Accent2 2 3 6 2" xfId="6583"/>
    <cellStyle name="20% - Accent2 2 3 6 2 2" xfId="15019"/>
    <cellStyle name="20% - Accent2 2 3 6 2 3" xfId="23460"/>
    <cellStyle name="20% - Accent2 2 3 6 2 4" xfId="31900"/>
    <cellStyle name="20% - Accent2 2 3 6 3" xfId="10801"/>
    <cellStyle name="20% - Accent2 2 3 6 4" xfId="19243"/>
    <cellStyle name="20% - Accent2 2 3 6 5" xfId="27683"/>
    <cellStyle name="20% - Accent2 2 3 7" xfId="4517"/>
    <cellStyle name="20% - Accent2 2 3 7 2" xfId="12953"/>
    <cellStyle name="20% - Accent2 2 3 7 3" xfId="21394"/>
    <cellStyle name="20% - Accent2 2 3 7 4" xfId="29834"/>
    <cellStyle name="20% - Accent2 2 3 8" xfId="8735"/>
    <cellStyle name="20% - Accent2 2 3 9" xfId="17177"/>
    <cellStyle name="20% - Accent2 2 4" xfId="579"/>
    <cellStyle name="20% - Accent2 2 4 2" xfId="2850"/>
    <cellStyle name="20% - Accent2 2 4 2 2" xfId="7073"/>
    <cellStyle name="20% - Accent2 2 4 2 2 2" xfId="15509"/>
    <cellStyle name="20% - Accent2 2 4 2 2 3" xfId="23950"/>
    <cellStyle name="20% - Accent2 2 4 2 2 4" xfId="32390"/>
    <cellStyle name="20% - Accent2 2 4 2 3" xfId="11291"/>
    <cellStyle name="20% - Accent2 2 4 2 4" xfId="19733"/>
    <cellStyle name="20% - Accent2 2 4 2 5" xfId="28173"/>
    <cellStyle name="20% - Accent2 2 4 3" xfId="4928"/>
    <cellStyle name="20% - Accent2 2 4 3 2" xfId="13364"/>
    <cellStyle name="20% - Accent2 2 4 3 3" xfId="21805"/>
    <cellStyle name="20% - Accent2 2 4 3 4" xfId="30245"/>
    <cellStyle name="20% - Accent2 2 4 4" xfId="9146"/>
    <cellStyle name="20% - Accent2 2 4 5" xfId="17588"/>
    <cellStyle name="20% - Accent2 2 4 6" xfId="26028"/>
    <cellStyle name="20% - Accent2 2 5" xfId="1032"/>
    <cellStyle name="20% - Accent2 2 5 2" xfId="3263"/>
    <cellStyle name="20% - Accent2 2 5 2 2" xfId="7486"/>
    <cellStyle name="20% - Accent2 2 5 2 2 2" xfId="15922"/>
    <cellStyle name="20% - Accent2 2 5 2 2 3" xfId="24363"/>
    <cellStyle name="20% - Accent2 2 5 2 2 4" xfId="32803"/>
    <cellStyle name="20% - Accent2 2 5 2 3" xfId="11704"/>
    <cellStyle name="20% - Accent2 2 5 2 4" xfId="20146"/>
    <cellStyle name="20% - Accent2 2 5 2 5" xfId="28586"/>
    <cellStyle name="20% - Accent2 2 5 3" xfId="5341"/>
    <cellStyle name="20% - Accent2 2 5 3 2" xfId="13777"/>
    <cellStyle name="20% - Accent2 2 5 3 3" xfId="22218"/>
    <cellStyle name="20% - Accent2 2 5 3 4" xfId="30658"/>
    <cellStyle name="20% - Accent2 2 5 4" xfId="9559"/>
    <cellStyle name="20% - Accent2 2 5 5" xfId="18001"/>
    <cellStyle name="20% - Accent2 2 5 6" xfId="26441"/>
    <cellStyle name="20% - Accent2 2 6" xfId="1446"/>
    <cellStyle name="20% - Accent2 2 6 2" xfId="3676"/>
    <cellStyle name="20% - Accent2 2 6 2 2" xfId="7899"/>
    <cellStyle name="20% - Accent2 2 6 2 2 2" xfId="16335"/>
    <cellStyle name="20% - Accent2 2 6 2 2 3" xfId="24776"/>
    <cellStyle name="20% - Accent2 2 6 2 2 4" xfId="33216"/>
    <cellStyle name="20% - Accent2 2 6 2 3" xfId="12117"/>
    <cellStyle name="20% - Accent2 2 6 2 4" xfId="20559"/>
    <cellStyle name="20% - Accent2 2 6 2 5" xfId="28999"/>
    <cellStyle name="20% - Accent2 2 6 3" xfId="5754"/>
    <cellStyle name="20% - Accent2 2 6 3 2" xfId="14190"/>
    <cellStyle name="20% - Accent2 2 6 3 3" xfId="22631"/>
    <cellStyle name="20% - Accent2 2 6 3 4" xfId="31071"/>
    <cellStyle name="20% - Accent2 2 6 4" xfId="9972"/>
    <cellStyle name="20% - Accent2 2 6 5" xfId="18414"/>
    <cellStyle name="20% - Accent2 2 6 6" xfId="26854"/>
    <cellStyle name="20% - Accent2 2 7" xfId="1860"/>
    <cellStyle name="20% - Accent2 2 7 2" xfId="4089"/>
    <cellStyle name="20% - Accent2 2 7 2 2" xfId="8312"/>
    <cellStyle name="20% - Accent2 2 7 2 2 2" xfId="16748"/>
    <cellStyle name="20% - Accent2 2 7 2 2 3" xfId="25189"/>
    <cellStyle name="20% - Accent2 2 7 2 2 4" xfId="33629"/>
    <cellStyle name="20% - Accent2 2 7 2 3" xfId="12530"/>
    <cellStyle name="20% - Accent2 2 7 2 4" xfId="20972"/>
    <cellStyle name="20% - Accent2 2 7 2 5" xfId="29412"/>
    <cellStyle name="20% - Accent2 2 7 3" xfId="6167"/>
    <cellStyle name="20% - Accent2 2 7 3 2" xfId="14603"/>
    <cellStyle name="20% - Accent2 2 7 3 3" xfId="23044"/>
    <cellStyle name="20% - Accent2 2 7 3 4" xfId="31484"/>
    <cellStyle name="20% - Accent2 2 7 4" xfId="10385"/>
    <cellStyle name="20% - Accent2 2 7 5" xfId="18827"/>
    <cellStyle name="20% - Accent2 2 7 6" xfId="27267"/>
    <cellStyle name="20% - Accent2 2 8" xfId="2273"/>
    <cellStyle name="20% - Accent2 2 8 2" xfId="6580"/>
    <cellStyle name="20% - Accent2 2 8 2 2" xfId="15016"/>
    <cellStyle name="20% - Accent2 2 8 2 3" xfId="23457"/>
    <cellStyle name="20% - Accent2 2 8 2 4" xfId="31897"/>
    <cellStyle name="20% - Accent2 2 8 3" xfId="10798"/>
    <cellStyle name="20% - Accent2 2 8 4" xfId="19240"/>
    <cellStyle name="20% - Accent2 2 8 5" xfId="27680"/>
    <cellStyle name="20% - Accent2 2 9" xfId="4514"/>
    <cellStyle name="20% - Accent2 2 9 2" xfId="12950"/>
    <cellStyle name="20% - Accent2 2 9 3" xfId="21391"/>
    <cellStyle name="20% - Accent2 2 9 4" xfId="29831"/>
    <cellStyle name="20% - Accent2 3" xfId="14"/>
    <cellStyle name="20% - Accent2 3 10" xfId="17178"/>
    <cellStyle name="20% - Accent2 3 11" xfId="25618"/>
    <cellStyle name="20% - Accent2 3 2" xfId="15"/>
    <cellStyle name="20% - Accent2 3 2 10" xfId="25619"/>
    <cellStyle name="20% - Accent2 3 2 2" xfId="584"/>
    <cellStyle name="20% - Accent2 3 2 2 2" xfId="2855"/>
    <cellStyle name="20% - Accent2 3 2 2 2 2" xfId="7078"/>
    <cellStyle name="20% - Accent2 3 2 2 2 2 2" xfId="15514"/>
    <cellStyle name="20% - Accent2 3 2 2 2 2 3" xfId="23955"/>
    <cellStyle name="20% - Accent2 3 2 2 2 2 4" xfId="32395"/>
    <cellStyle name="20% - Accent2 3 2 2 2 3" xfId="11296"/>
    <cellStyle name="20% - Accent2 3 2 2 2 4" xfId="19738"/>
    <cellStyle name="20% - Accent2 3 2 2 2 5" xfId="28178"/>
    <cellStyle name="20% - Accent2 3 2 2 3" xfId="4933"/>
    <cellStyle name="20% - Accent2 3 2 2 3 2" xfId="13369"/>
    <cellStyle name="20% - Accent2 3 2 2 3 3" xfId="21810"/>
    <cellStyle name="20% - Accent2 3 2 2 3 4" xfId="30250"/>
    <cellStyle name="20% - Accent2 3 2 2 4" xfId="9151"/>
    <cellStyle name="20% - Accent2 3 2 2 5" xfId="17593"/>
    <cellStyle name="20% - Accent2 3 2 2 6" xfId="26033"/>
    <cellStyle name="20% - Accent2 3 2 3" xfId="1037"/>
    <cellStyle name="20% - Accent2 3 2 3 2" xfId="3268"/>
    <cellStyle name="20% - Accent2 3 2 3 2 2" xfId="7491"/>
    <cellStyle name="20% - Accent2 3 2 3 2 2 2" xfId="15927"/>
    <cellStyle name="20% - Accent2 3 2 3 2 2 3" xfId="24368"/>
    <cellStyle name="20% - Accent2 3 2 3 2 2 4" xfId="32808"/>
    <cellStyle name="20% - Accent2 3 2 3 2 3" xfId="11709"/>
    <cellStyle name="20% - Accent2 3 2 3 2 4" xfId="20151"/>
    <cellStyle name="20% - Accent2 3 2 3 2 5" xfId="28591"/>
    <cellStyle name="20% - Accent2 3 2 3 3" xfId="5346"/>
    <cellStyle name="20% - Accent2 3 2 3 3 2" xfId="13782"/>
    <cellStyle name="20% - Accent2 3 2 3 3 3" xfId="22223"/>
    <cellStyle name="20% - Accent2 3 2 3 3 4" xfId="30663"/>
    <cellStyle name="20% - Accent2 3 2 3 4" xfId="9564"/>
    <cellStyle name="20% - Accent2 3 2 3 5" xfId="18006"/>
    <cellStyle name="20% - Accent2 3 2 3 6" xfId="26446"/>
    <cellStyle name="20% - Accent2 3 2 4" xfId="1451"/>
    <cellStyle name="20% - Accent2 3 2 4 2" xfId="3681"/>
    <cellStyle name="20% - Accent2 3 2 4 2 2" xfId="7904"/>
    <cellStyle name="20% - Accent2 3 2 4 2 2 2" xfId="16340"/>
    <cellStyle name="20% - Accent2 3 2 4 2 2 3" xfId="24781"/>
    <cellStyle name="20% - Accent2 3 2 4 2 2 4" xfId="33221"/>
    <cellStyle name="20% - Accent2 3 2 4 2 3" xfId="12122"/>
    <cellStyle name="20% - Accent2 3 2 4 2 4" xfId="20564"/>
    <cellStyle name="20% - Accent2 3 2 4 2 5" xfId="29004"/>
    <cellStyle name="20% - Accent2 3 2 4 3" xfId="5759"/>
    <cellStyle name="20% - Accent2 3 2 4 3 2" xfId="14195"/>
    <cellStyle name="20% - Accent2 3 2 4 3 3" xfId="22636"/>
    <cellStyle name="20% - Accent2 3 2 4 3 4" xfId="31076"/>
    <cellStyle name="20% - Accent2 3 2 4 4" xfId="9977"/>
    <cellStyle name="20% - Accent2 3 2 4 5" xfId="18419"/>
    <cellStyle name="20% - Accent2 3 2 4 6" xfId="26859"/>
    <cellStyle name="20% - Accent2 3 2 5" xfId="1865"/>
    <cellStyle name="20% - Accent2 3 2 5 2" xfId="4094"/>
    <cellStyle name="20% - Accent2 3 2 5 2 2" xfId="8317"/>
    <cellStyle name="20% - Accent2 3 2 5 2 2 2" xfId="16753"/>
    <cellStyle name="20% - Accent2 3 2 5 2 2 3" xfId="25194"/>
    <cellStyle name="20% - Accent2 3 2 5 2 2 4" xfId="33634"/>
    <cellStyle name="20% - Accent2 3 2 5 2 3" xfId="12535"/>
    <cellStyle name="20% - Accent2 3 2 5 2 4" xfId="20977"/>
    <cellStyle name="20% - Accent2 3 2 5 2 5" xfId="29417"/>
    <cellStyle name="20% - Accent2 3 2 5 3" xfId="6172"/>
    <cellStyle name="20% - Accent2 3 2 5 3 2" xfId="14608"/>
    <cellStyle name="20% - Accent2 3 2 5 3 3" xfId="23049"/>
    <cellStyle name="20% - Accent2 3 2 5 3 4" xfId="31489"/>
    <cellStyle name="20% - Accent2 3 2 5 4" xfId="10390"/>
    <cellStyle name="20% - Accent2 3 2 5 5" xfId="18832"/>
    <cellStyle name="20% - Accent2 3 2 5 6" xfId="27272"/>
    <cellStyle name="20% - Accent2 3 2 6" xfId="2278"/>
    <cellStyle name="20% - Accent2 3 2 6 2" xfId="6585"/>
    <cellStyle name="20% - Accent2 3 2 6 2 2" xfId="15021"/>
    <cellStyle name="20% - Accent2 3 2 6 2 3" xfId="23462"/>
    <cellStyle name="20% - Accent2 3 2 6 2 4" xfId="31902"/>
    <cellStyle name="20% - Accent2 3 2 6 3" xfId="10803"/>
    <cellStyle name="20% - Accent2 3 2 6 4" xfId="19245"/>
    <cellStyle name="20% - Accent2 3 2 6 5" xfId="27685"/>
    <cellStyle name="20% - Accent2 3 2 7" xfId="4519"/>
    <cellStyle name="20% - Accent2 3 2 7 2" xfId="12955"/>
    <cellStyle name="20% - Accent2 3 2 7 3" xfId="21396"/>
    <cellStyle name="20% - Accent2 3 2 7 4" xfId="29836"/>
    <cellStyle name="20% - Accent2 3 2 8" xfId="8737"/>
    <cellStyle name="20% - Accent2 3 2 9" xfId="17179"/>
    <cellStyle name="20% - Accent2 3 3" xfId="583"/>
    <cellStyle name="20% - Accent2 3 3 2" xfId="2854"/>
    <cellStyle name="20% - Accent2 3 3 2 2" xfId="7077"/>
    <cellStyle name="20% - Accent2 3 3 2 2 2" xfId="15513"/>
    <cellStyle name="20% - Accent2 3 3 2 2 3" xfId="23954"/>
    <cellStyle name="20% - Accent2 3 3 2 2 4" xfId="32394"/>
    <cellStyle name="20% - Accent2 3 3 2 3" xfId="11295"/>
    <cellStyle name="20% - Accent2 3 3 2 4" xfId="19737"/>
    <cellStyle name="20% - Accent2 3 3 2 5" xfId="28177"/>
    <cellStyle name="20% - Accent2 3 3 3" xfId="4932"/>
    <cellStyle name="20% - Accent2 3 3 3 2" xfId="13368"/>
    <cellStyle name="20% - Accent2 3 3 3 3" xfId="21809"/>
    <cellStyle name="20% - Accent2 3 3 3 4" xfId="30249"/>
    <cellStyle name="20% - Accent2 3 3 4" xfId="9150"/>
    <cellStyle name="20% - Accent2 3 3 5" xfId="17592"/>
    <cellStyle name="20% - Accent2 3 3 6" xfId="26032"/>
    <cellStyle name="20% - Accent2 3 4" xfId="1036"/>
    <cellStyle name="20% - Accent2 3 4 2" xfId="3267"/>
    <cellStyle name="20% - Accent2 3 4 2 2" xfId="7490"/>
    <cellStyle name="20% - Accent2 3 4 2 2 2" xfId="15926"/>
    <cellStyle name="20% - Accent2 3 4 2 2 3" xfId="24367"/>
    <cellStyle name="20% - Accent2 3 4 2 2 4" xfId="32807"/>
    <cellStyle name="20% - Accent2 3 4 2 3" xfId="11708"/>
    <cellStyle name="20% - Accent2 3 4 2 4" xfId="20150"/>
    <cellStyle name="20% - Accent2 3 4 2 5" xfId="28590"/>
    <cellStyle name="20% - Accent2 3 4 3" xfId="5345"/>
    <cellStyle name="20% - Accent2 3 4 3 2" xfId="13781"/>
    <cellStyle name="20% - Accent2 3 4 3 3" xfId="22222"/>
    <cellStyle name="20% - Accent2 3 4 3 4" xfId="30662"/>
    <cellStyle name="20% - Accent2 3 4 4" xfId="9563"/>
    <cellStyle name="20% - Accent2 3 4 5" xfId="18005"/>
    <cellStyle name="20% - Accent2 3 4 6" xfId="26445"/>
    <cellStyle name="20% - Accent2 3 5" xfId="1450"/>
    <cellStyle name="20% - Accent2 3 5 2" xfId="3680"/>
    <cellStyle name="20% - Accent2 3 5 2 2" xfId="7903"/>
    <cellStyle name="20% - Accent2 3 5 2 2 2" xfId="16339"/>
    <cellStyle name="20% - Accent2 3 5 2 2 3" xfId="24780"/>
    <cellStyle name="20% - Accent2 3 5 2 2 4" xfId="33220"/>
    <cellStyle name="20% - Accent2 3 5 2 3" xfId="12121"/>
    <cellStyle name="20% - Accent2 3 5 2 4" xfId="20563"/>
    <cellStyle name="20% - Accent2 3 5 2 5" xfId="29003"/>
    <cellStyle name="20% - Accent2 3 5 3" xfId="5758"/>
    <cellStyle name="20% - Accent2 3 5 3 2" xfId="14194"/>
    <cellStyle name="20% - Accent2 3 5 3 3" xfId="22635"/>
    <cellStyle name="20% - Accent2 3 5 3 4" xfId="31075"/>
    <cellStyle name="20% - Accent2 3 5 4" xfId="9976"/>
    <cellStyle name="20% - Accent2 3 5 5" xfId="18418"/>
    <cellStyle name="20% - Accent2 3 5 6" xfId="26858"/>
    <cellStyle name="20% - Accent2 3 6" xfId="1864"/>
    <cellStyle name="20% - Accent2 3 6 2" xfId="4093"/>
    <cellStyle name="20% - Accent2 3 6 2 2" xfId="8316"/>
    <cellStyle name="20% - Accent2 3 6 2 2 2" xfId="16752"/>
    <cellStyle name="20% - Accent2 3 6 2 2 3" xfId="25193"/>
    <cellStyle name="20% - Accent2 3 6 2 2 4" xfId="33633"/>
    <cellStyle name="20% - Accent2 3 6 2 3" xfId="12534"/>
    <cellStyle name="20% - Accent2 3 6 2 4" xfId="20976"/>
    <cellStyle name="20% - Accent2 3 6 2 5" xfId="29416"/>
    <cellStyle name="20% - Accent2 3 6 3" xfId="6171"/>
    <cellStyle name="20% - Accent2 3 6 3 2" xfId="14607"/>
    <cellStyle name="20% - Accent2 3 6 3 3" xfId="23048"/>
    <cellStyle name="20% - Accent2 3 6 3 4" xfId="31488"/>
    <cellStyle name="20% - Accent2 3 6 4" xfId="10389"/>
    <cellStyle name="20% - Accent2 3 6 5" xfId="18831"/>
    <cellStyle name="20% - Accent2 3 6 6" xfId="27271"/>
    <cellStyle name="20% - Accent2 3 7" xfId="2277"/>
    <cellStyle name="20% - Accent2 3 7 2" xfId="6584"/>
    <cellStyle name="20% - Accent2 3 7 2 2" xfId="15020"/>
    <cellStyle name="20% - Accent2 3 7 2 3" xfId="23461"/>
    <cellStyle name="20% - Accent2 3 7 2 4" xfId="31901"/>
    <cellStyle name="20% - Accent2 3 7 3" xfId="10802"/>
    <cellStyle name="20% - Accent2 3 7 4" xfId="19244"/>
    <cellStyle name="20% - Accent2 3 7 5" xfId="27684"/>
    <cellStyle name="20% - Accent2 3 8" xfId="4518"/>
    <cellStyle name="20% - Accent2 3 8 2" xfId="12954"/>
    <cellStyle name="20% - Accent2 3 8 3" xfId="21395"/>
    <cellStyle name="20% - Accent2 3 8 4" xfId="29835"/>
    <cellStyle name="20% - Accent2 3 9" xfId="8736"/>
    <cellStyle name="20% - Accent2 4" xfId="16"/>
    <cellStyle name="20% - Accent2 4 10" xfId="25620"/>
    <cellStyle name="20% - Accent2 4 2" xfId="585"/>
    <cellStyle name="20% - Accent2 4 2 2" xfId="2856"/>
    <cellStyle name="20% - Accent2 4 2 2 2" xfId="7079"/>
    <cellStyle name="20% - Accent2 4 2 2 2 2" xfId="15515"/>
    <cellStyle name="20% - Accent2 4 2 2 2 3" xfId="23956"/>
    <cellStyle name="20% - Accent2 4 2 2 2 4" xfId="32396"/>
    <cellStyle name="20% - Accent2 4 2 2 3" xfId="11297"/>
    <cellStyle name="20% - Accent2 4 2 2 4" xfId="19739"/>
    <cellStyle name="20% - Accent2 4 2 2 5" xfId="28179"/>
    <cellStyle name="20% - Accent2 4 2 3" xfId="4934"/>
    <cellStyle name="20% - Accent2 4 2 3 2" xfId="13370"/>
    <cellStyle name="20% - Accent2 4 2 3 3" xfId="21811"/>
    <cellStyle name="20% - Accent2 4 2 3 4" xfId="30251"/>
    <cellStyle name="20% - Accent2 4 2 4" xfId="9152"/>
    <cellStyle name="20% - Accent2 4 2 5" xfId="17594"/>
    <cellStyle name="20% - Accent2 4 2 6" xfId="26034"/>
    <cellStyle name="20% - Accent2 4 3" xfId="1038"/>
    <cellStyle name="20% - Accent2 4 3 2" xfId="3269"/>
    <cellStyle name="20% - Accent2 4 3 2 2" xfId="7492"/>
    <cellStyle name="20% - Accent2 4 3 2 2 2" xfId="15928"/>
    <cellStyle name="20% - Accent2 4 3 2 2 3" xfId="24369"/>
    <cellStyle name="20% - Accent2 4 3 2 2 4" xfId="32809"/>
    <cellStyle name="20% - Accent2 4 3 2 3" xfId="11710"/>
    <cellStyle name="20% - Accent2 4 3 2 4" xfId="20152"/>
    <cellStyle name="20% - Accent2 4 3 2 5" xfId="28592"/>
    <cellStyle name="20% - Accent2 4 3 3" xfId="5347"/>
    <cellStyle name="20% - Accent2 4 3 3 2" xfId="13783"/>
    <cellStyle name="20% - Accent2 4 3 3 3" xfId="22224"/>
    <cellStyle name="20% - Accent2 4 3 3 4" xfId="30664"/>
    <cellStyle name="20% - Accent2 4 3 4" xfId="9565"/>
    <cellStyle name="20% - Accent2 4 3 5" xfId="18007"/>
    <cellStyle name="20% - Accent2 4 3 6" xfId="26447"/>
    <cellStyle name="20% - Accent2 4 4" xfId="1452"/>
    <cellStyle name="20% - Accent2 4 4 2" xfId="3682"/>
    <cellStyle name="20% - Accent2 4 4 2 2" xfId="7905"/>
    <cellStyle name="20% - Accent2 4 4 2 2 2" xfId="16341"/>
    <cellStyle name="20% - Accent2 4 4 2 2 3" xfId="24782"/>
    <cellStyle name="20% - Accent2 4 4 2 2 4" xfId="33222"/>
    <cellStyle name="20% - Accent2 4 4 2 3" xfId="12123"/>
    <cellStyle name="20% - Accent2 4 4 2 4" xfId="20565"/>
    <cellStyle name="20% - Accent2 4 4 2 5" xfId="29005"/>
    <cellStyle name="20% - Accent2 4 4 3" xfId="5760"/>
    <cellStyle name="20% - Accent2 4 4 3 2" xfId="14196"/>
    <cellStyle name="20% - Accent2 4 4 3 3" xfId="22637"/>
    <cellStyle name="20% - Accent2 4 4 3 4" xfId="31077"/>
    <cellStyle name="20% - Accent2 4 4 4" xfId="9978"/>
    <cellStyle name="20% - Accent2 4 4 5" xfId="18420"/>
    <cellStyle name="20% - Accent2 4 4 6" xfId="26860"/>
    <cellStyle name="20% - Accent2 4 5" xfId="1866"/>
    <cellStyle name="20% - Accent2 4 5 2" xfId="4095"/>
    <cellStyle name="20% - Accent2 4 5 2 2" xfId="8318"/>
    <cellStyle name="20% - Accent2 4 5 2 2 2" xfId="16754"/>
    <cellStyle name="20% - Accent2 4 5 2 2 3" xfId="25195"/>
    <cellStyle name="20% - Accent2 4 5 2 2 4" xfId="33635"/>
    <cellStyle name="20% - Accent2 4 5 2 3" xfId="12536"/>
    <cellStyle name="20% - Accent2 4 5 2 4" xfId="20978"/>
    <cellStyle name="20% - Accent2 4 5 2 5" xfId="29418"/>
    <cellStyle name="20% - Accent2 4 5 3" xfId="6173"/>
    <cellStyle name="20% - Accent2 4 5 3 2" xfId="14609"/>
    <cellStyle name="20% - Accent2 4 5 3 3" xfId="23050"/>
    <cellStyle name="20% - Accent2 4 5 3 4" xfId="31490"/>
    <cellStyle name="20% - Accent2 4 5 4" xfId="10391"/>
    <cellStyle name="20% - Accent2 4 5 5" xfId="18833"/>
    <cellStyle name="20% - Accent2 4 5 6" xfId="27273"/>
    <cellStyle name="20% - Accent2 4 6" xfId="2279"/>
    <cellStyle name="20% - Accent2 4 6 2" xfId="6586"/>
    <cellStyle name="20% - Accent2 4 6 2 2" xfId="15022"/>
    <cellStyle name="20% - Accent2 4 6 2 3" xfId="23463"/>
    <cellStyle name="20% - Accent2 4 6 2 4" xfId="31903"/>
    <cellStyle name="20% - Accent2 4 6 3" xfId="10804"/>
    <cellStyle name="20% - Accent2 4 6 4" xfId="19246"/>
    <cellStyle name="20% - Accent2 4 6 5" xfId="27686"/>
    <cellStyle name="20% - Accent2 4 7" xfId="4520"/>
    <cellStyle name="20% - Accent2 4 7 2" xfId="12956"/>
    <cellStyle name="20% - Accent2 4 7 3" xfId="21397"/>
    <cellStyle name="20% - Accent2 4 7 4" xfId="29837"/>
    <cellStyle name="20% - Accent2 4 8" xfId="8738"/>
    <cellStyle name="20% - Accent2 4 9" xfId="17180"/>
    <cellStyle name="20% - Accent2 5" xfId="578"/>
    <cellStyle name="20% - Accent2 5 2" xfId="2849"/>
    <cellStyle name="20% - Accent2 5 2 2" xfId="7072"/>
    <cellStyle name="20% - Accent2 5 2 2 2" xfId="15508"/>
    <cellStyle name="20% - Accent2 5 2 2 3" xfId="23949"/>
    <cellStyle name="20% - Accent2 5 2 2 4" xfId="32389"/>
    <cellStyle name="20% - Accent2 5 2 3" xfId="11290"/>
    <cellStyle name="20% - Accent2 5 2 4" xfId="19732"/>
    <cellStyle name="20% - Accent2 5 2 5" xfId="28172"/>
    <cellStyle name="20% - Accent2 5 3" xfId="4927"/>
    <cellStyle name="20% - Accent2 5 3 2" xfId="13363"/>
    <cellStyle name="20% - Accent2 5 3 3" xfId="21804"/>
    <cellStyle name="20% - Accent2 5 3 4" xfId="30244"/>
    <cellStyle name="20% - Accent2 5 4" xfId="9145"/>
    <cellStyle name="20% - Accent2 5 5" xfId="17587"/>
    <cellStyle name="20% - Accent2 5 6" xfId="26027"/>
    <cellStyle name="20% - Accent2 6" xfId="1031"/>
    <cellStyle name="20% - Accent2 6 2" xfId="3262"/>
    <cellStyle name="20% - Accent2 6 2 2" xfId="7485"/>
    <cellStyle name="20% - Accent2 6 2 2 2" xfId="15921"/>
    <cellStyle name="20% - Accent2 6 2 2 3" xfId="24362"/>
    <cellStyle name="20% - Accent2 6 2 2 4" xfId="32802"/>
    <cellStyle name="20% - Accent2 6 2 3" xfId="11703"/>
    <cellStyle name="20% - Accent2 6 2 4" xfId="20145"/>
    <cellStyle name="20% - Accent2 6 2 5" xfId="28585"/>
    <cellStyle name="20% - Accent2 6 3" xfId="5340"/>
    <cellStyle name="20% - Accent2 6 3 2" xfId="13776"/>
    <cellStyle name="20% - Accent2 6 3 3" xfId="22217"/>
    <cellStyle name="20% - Accent2 6 3 4" xfId="30657"/>
    <cellStyle name="20% - Accent2 6 4" xfId="9558"/>
    <cellStyle name="20% - Accent2 6 5" xfId="18000"/>
    <cellStyle name="20% - Accent2 6 6" xfId="26440"/>
    <cellStyle name="20% - Accent2 7" xfId="1445"/>
    <cellStyle name="20% - Accent2 7 2" xfId="3675"/>
    <cellStyle name="20% - Accent2 7 2 2" xfId="7898"/>
    <cellStyle name="20% - Accent2 7 2 2 2" xfId="16334"/>
    <cellStyle name="20% - Accent2 7 2 2 3" xfId="24775"/>
    <cellStyle name="20% - Accent2 7 2 2 4" xfId="33215"/>
    <cellStyle name="20% - Accent2 7 2 3" xfId="12116"/>
    <cellStyle name="20% - Accent2 7 2 4" xfId="20558"/>
    <cellStyle name="20% - Accent2 7 2 5" xfId="28998"/>
    <cellStyle name="20% - Accent2 7 3" xfId="5753"/>
    <cellStyle name="20% - Accent2 7 3 2" xfId="14189"/>
    <cellStyle name="20% - Accent2 7 3 3" xfId="22630"/>
    <cellStyle name="20% - Accent2 7 3 4" xfId="31070"/>
    <cellStyle name="20% - Accent2 7 4" xfId="9971"/>
    <cellStyle name="20% - Accent2 7 5" xfId="18413"/>
    <cellStyle name="20% - Accent2 7 6" xfId="26853"/>
    <cellStyle name="20% - Accent2 8" xfId="1859"/>
    <cellStyle name="20% - Accent2 8 2" xfId="4088"/>
    <cellStyle name="20% - Accent2 8 2 2" xfId="8311"/>
    <cellStyle name="20% - Accent2 8 2 2 2" xfId="16747"/>
    <cellStyle name="20% - Accent2 8 2 2 3" xfId="25188"/>
    <cellStyle name="20% - Accent2 8 2 2 4" xfId="33628"/>
    <cellStyle name="20% - Accent2 8 2 3" xfId="12529"/>
    <cellStyle name="20% - Accent2 8 2 4" xfId="20971"/>
    <cellStyle name="20% - Accent2 8 2 5" xfId="29411"/>
    <cellStyle name="20% - Accent2 8 3" xfId="6166"/>
    <cellStyle name="20% - Accent2 8 3 2" xfId="14602"/>
    <cellStyle name="20% - Accent2 8 3 3" xfId="23043"/>
    <cellStyle name="20% - Accent2 8 3 4" xfId="31483"/>
    <cellStyle name="20% - Accent2 8 4" xfId="10384"/>
    <cellStyle name="20% - Accent2 8 5" xfId="18826"/>
    <cellStyle name="20% - Accent2 8 6" xfId="27266"/>
    <cellStyle name="20% - Accent2 9" xfId="2272"/>
    <cellStyle name="20% - Accent2 9 2" xfId="6579"/>
    <cellStyle name="20% - Accent2 9 2 2" xfId="15015"/>
    <cellStyle name="20% - Accent2 9 2 3" xfId="23456"/>
    <cellStyle name="20% - Accent2 9 2 4" xfId="31896"/>
    <cellStyle name="20% - Accent2 9 3" xfId="10797"/>
    <cellStyle name="20% - Accent2 9 4" xfId="19239"/>
    <cellStyle name="20% - Accent2 9 5" xfId="27679"/>
    <cellStyle name="20% - Accent3" xfId="17" builtinId="38" customBuiltin="1"/>
    <cellStyle name="20% - Accent3 10" xfId="4521"/>
    <cellStyle name="20% - Accent3 10 2" xfId="12957"/>
    <cellStyle name="20% - Accent3 10 3" xfId="21398"/>
    <cellStyle name="20% - Accent3 10 4" xfId="29838"/>
    <cellStyle name="20% - Accent3 11" xfId="8739"/>
    <cellStyle name="20% - Accent3 12" xfId="17181"/>
    <cellStyle name="20% - Accent3 13" xfId="25621"/>
    <cellStyle name="20% - Accent3 2" xfId="18"/>
    <cellStyle name="20% - Accent3 2 10" xfId="8740"/>
    <cellStyle name="20% - Accent3 2 11" xfId="17182"/>
    <cellStyle name="20% - Accent3 2 12" xfId="25622"/>
    <cellStyle name="20% - Accent3 2 2" xfId="19"/>
    <cellStyle name="20% - Accent3 2 2 10" xfId="17183"/>
    <cellStyle name="20% - Accent3 2 2 11" xfId="25623"/>
    <cellStyle name="20% - Accent3 2 2 2" xfId="20"/>
    <cellStyle name="20% - Accent3 2 2 2 10" xfId="25624"/>
    <cellStyle name="20% - Accent3 2 2 2 2" xfId="589"/>
    <cellStyle name="20% - Accent3 2 2 2 2 2" xfId="2860"/>
    <cellStyle name="20% - Accent3 2 2 2 2 2 2" xfId="7083"/>
    <cellStyle name="20% - Accent3 2 2 2 2 2 2 2" xfId="15519"/>
    <cellStyle name="20% - Accent3 2 2 2 2 2 2 3" xfId="23960"/>
    <cellStyle name="20% - Accent3 2 2 2 2 2 2 4" xfId="32400"/>
    <cellStyle name="20% - Accent3 2 2 2 2 2 3" xfId="11301"/>
    <cellStyle name="20% - Accent3 2 2 2 2 2 4" xfId="19743"/>
    <cellStyle name="20% - Accent3 2 2 2 2 2 5" xfId="28183"/>
    <cellStyle name="20% - Accent3 2 2 2 2 3" xfId="4938"/>
    <cellStyle name="20% - Accent3 2 2 2 2 3 2" xfId="13374"/>
    <cellStyle name="20% - Accent3 2 2 2 2 3 3" xfId="21815"/>
    <cellStyle name="20% - Accent3 2 2 2 2 3 4" xfId="30255"/>
    <cellStyle name="20% - Accent3 2 2 2 2 4" xfId="9156"/>
    <cellStyle name="20% - Accent3 2 2 2 2 5" xfId="17598"/>
    <cellStyle name="20% - Accent3 2 2 2 2 6" xfId="26038"/>
    <cellStyle name="20% - Accent3 2 2 2 3" xfId="1042"/>
    <cellStyle name="20% - Accent3 2 2 2 3 2" xfId="3273"/>
    <cellStyle name="20% - Accent3 2 2 2 3 2 2" xfId="7496"/>
    <cellStyle name="20% - Accent3 2 2 2 3 2 2 2" xfId="15932"/>
    <cellStyle name="20% - Accent3 2 2 2 3 2 2 3" xfId="24373"/>
    <cellStyle name="20% - Accent3 2 2 2 3 2 2 4" xfId="32813"/>
    <cellStyle name="20% - Accent3 2 2 2 3 2 3" xfId="11714"/>
    <cellStyle name="20% - Accent3 2 2 2 3 2 4" xfId="20156"/>
    <cellStyle name="20% - Accent3 2 2 2 3 2 5" xfId="28596"/>
    <cellStyle name="20% - Accent3 2 2 2 3 3" xfId="5351"/>
    <cellStyle name="20% - Accent3 2 2 2 3 3 2" xfId="13787"/>
    <cellStyle name="20% - Accent3 2 2 2 3 3 3" xfId="22228"/>
    <cellStyle name="20% - Accent3 2 2 2 3 3 4" xfId="30668"/>
    <cellStyle name="20% - Accent3 2 2 2 3 4" xfId="9569"/>
    <cellStyle name="20% - Accent3 2 2 2 3 5" xfId="18011"/>
    <cellStyle name="20% - Accent3 2 2 2 3 6" xfId="26451"/>
    <cellStyle name="20% - Accent3 2 2 2 4" xfId="1456"/>
    <cellStyle name="20% - Accent3 2 2 2 4 2" xfId="3686"/>
    <cellStyle name="20% - Accent3 2 2 2 4 2 2" xfId="7909"/>
    <cellStyle name="20% - Accent3 2 2 2 4 2 2 2" xfId="16345"/>
    <cellStyle name="20% - Accent3 2 2 2 4 2 2 3" xfId="24786"/>
    <cellStyle name="20% - Accent3 2 2 2 4 2 2 4" xfId="33226"/>
    <cellStyle name="20% - Accent3 2 2 2 4 2 3" xfId="12127"/>
    <cellStyle name="20% - Accent3 2 2 2 4 2 4" xfId="20569"/>
    <cellStyle name="20% - Accent3 2 2 2 4 2 5" xfId="29009"/>
    <cellStyle name="20% - Accent3 2 2 2 4 3" xfId="5764"/>
    <cellStyle name="20% - Accent3 2 2 2 4 3 2" xfId="14200"/>
    <cellStyle name="20% - Accent3 2 2 2 4 3 3" xfId="22641"/>
    <cellStyle name="20% - Accent3 2 2 2 4 3 4" xfId="31081"/>
    <cellStyle name="20% - Accent3 2 2 2 4 4" xfId="9982"/>
    <cellStyle name="20% - Accent3 2 2 2 4 5" xfId="18424"/>
    <cellStyle name="20% - Accent3 2 2 2 4 6" xfId="26864"/>
    <cellStyle name="20% - Accent3 2 2 2 5" xfId="1870"/>
    <cellStyle name="20% - Accent3 2 2 2 5 2" xfId="4099"/>
    <cellStyle name="20% - Accent3 2 2 2 5 2 2" xfId="8322"/>
    <cellStyle name="20% - Accent3 2 2 2 5 2 2 2" xfId="16758"/>
    <cellStyle name="20% - Accent3 2 2 2 5 2 2 3" xfId="25199"/>
    <cellStyle name="20% - Accent3 2 2 2 5 2 2 4" xfId="33639"/>
    <cellStyle name="20% - Accent3 2 2 2 5 2 3" xfId="12540"/>
    <cellStyle name="20% - Accent3 2 2 2 5 2 4" xfId="20982"/>
    <cellStyle name="20% - Accent3 2 2 2 5 2 5" xfId="29422"/>
    <cellStyle name="20% - Accent3 2 2 2 5 3" xfId="6177"/>
    <cellStyle name="20% - Accent3 2 2 2 5 3 2" xfId="14613"/>
    <cellStyle name="20% - Accent3 2 2 2 5 3 3" xfId="23054"/>
    <cellStyle name="20% - Accent3 2 2 2 5 3 4" xfId="31494"/>
    <cellStyle name="20% - Accent3 2 2 2 5 4" xfId="10395"/>
    <cellStyle name="20% - Accent3 2 2 2 5 5" xfId="18837"/>
    <cellStyle name="20% - Accent3 2 2 2 5 6" xfId="27277"/>
    <cellStyle name="20% - Accent3 2 2 2 6" xfId="2283"/>
    <cellStyle name="20% - Accent3 2 2 2 6 2" xfId="6590"/>
    <cellStyle name="20% - Accent3 2 2 2 6 2 2" xfId="15026"/>
    <cellStyle name="20% - Accent3 2 2 2 6 2 3" xfId="23467"/>
    <cellStyle name="20% - Accent3 2 2 2 6 2 4" xfId="31907"/>
    <cellStyle name="20% - Accent3 2 2 2 6 3" xfId="10808"/>
    <cellStyle name="20% - Accent3 2 2 2 6 4" xfId="19250"/>
    <cellStyle name="20% - Accent3 2 2 2 6 5" xfId="27690"/>
    <cellStyle name="20% - Accent3 2 2 2 7" xfId="4524"/>
    <cellStyle name="20% - Accent3 2 2 2 7 2" xfId="12960"/>
    <cellStyle name="20% - Accent3 2 2 2 7 3" xfId="21401"/>
    <cellStyle name="20% - Accent3 2 2 2 7 4" xfId="29841"/>
    <cellStyle name="20% - Accent3 2 2 2 8" xfId="8742"/>
    <cellStyle name="20% - Accent3 2 2 2 9" xfId="17184"/>
    <cellStyle name="20% - Accent3 2 2 3" xfId="588"/>
    <cellStyle name="20% - Accent3 2 2 3 2" xfId="2859"/>
    <cellStyle name="20% - Accent3 2 2 3 2 2" xfId="7082"/>
    <cellStyle name="20% - Accent3 2 2 3 2 2 2" xfId="15518"/>
    <cellStyle name="20% - Accent3 2 2 3 2 2 3" xfId="23959"/>
    <cellStyle name="20% - Accent3 2 2 3 2 2 4" xfId="32399"/>
    <cellStyle name="20% - Accent3 2 2 3 2 3" xfId="11300"/>
    <cellStyle name="20% - Accent3 2 2 3 2 4" xfId="19742"/>
    <cellStyle name="20% - Accent3 2 2 3 2 5" xfId="28182"/>
    <cellStyle name="20% - Accent3 2 2 3 3" xfId="4937"/>
    <cellStyle name="20% - Accent3 2 2 3 3 2" xfId="13373"/>
    <cellStyle name="20% - Accent3 2 2 3 3 3" xfId="21814"/>
    <cellStyle name="20% - Accent3 2 2 3 3 4" xfId="30254"/>
    <cellStyle name="20% - Accent3 2 2 3 4" xfId="9155"/>
    <cellStyle name="20% - Accent3 2 2 3 5" xfId="17597"/>
    <cellStyle name="20% - Accent3 2 2 3 6" xfId="26037"/>
    <cellStyle name="20% - Accent3 2 2 4" xfId="1041"/>
    <cellStyle name="20% - Accent3 2 2 4 2" xfId="3272"/>
    <cellStyle name="20% - Accent3 2 2 4 2 2" xfId="7495"/>
    <cellStyle name="20% - Accent3 2 2 4 2 2 2" xfId="15931"/>
    <cellStyle name="20% - Accent3 2 2 4 2 2 3" xfId="24372"/>
    <cellStyle name="20% - Accent3 2 2 4 2 2 4" xfId="32812"/>
    <cellStyle name="20% - Accent3 2 2 4 2 3" xfId="11713"/>
    <cellStyle name="20% - Accent3 2 2 4 2 4" xfId="20155"/>
    <cellStyle name="20% - Accent3 2 2 4 2 5" xfId="28595"/>
    <cellStyle name="20% - Accent3 2 2 4 3" xfId="5350"/>
    <cellStyle name="20% - Accent3 2 2 4 3 2" xfId="13786"/>
    <cellStyle name="20% - Accent3 2 2 4 3 3" xfId="22227"/>
    <cellStyle name="20% - Accent3 2 2 4 3 4" xfId="30667"/>
    <cellStyle name="20% - Accent3 2 2 4 4" xfId="9568"/>
    <cellStyle name="20% - Accent3 2 2 4 5" xfId="18010"/>
    <cellStyle name="20% - Accent3 2 2 4 6" xfId="26450"/>
    <cellStyle name="20% - Accent3 2 2 5" xfId="1455"/>
    <cellStyle name="20% - Accent3 2 2 5 2" xfId="3685"/>
    <cellStyle name="20% - Accent3 2 2 5 2 2" xfId="7908"/>
    <cellStyle name="20% - Accent3 2 2 5 2 2 2" xfId="16344"/>
    <cellStyle name="20% - Accent3 2 2 5 2 2 3" xfId="24785"/>
    <cellStyle name="20% - Accent3 2 2 5 2 2 4" xfId="33225"/>
    <cellStyle name="20% - Accent3 2 2 5 2 3" xfId="12126"/>
    <cellStyle name="20% - Accent3 2 2 5 2 4" xfId="20568"/>
    <cellStyle name="20% - Accent3 2 2 5 2 5" xfId="29008"/>
    <cellStyle name="20% - Accent3 2 2 5 3" xfId="5763"/>
    <cellStyle name="20% - Accent3 2 2 5 3 2" xfId="14199"/>
    <cellStyle name="20% - Accent3 2 2 5 3 3" xfId="22640"/>
    <cellStyle name="20% - Accent3 2 2 5 3 4" xfId="31080"/>
    <cellStyle name="20% - Accent3 2 2 5 4" xfId="9981"/>
    <cellStyle name="20% - Accent3 2 2 5 5" xfId="18423"/>
    <cellStyle name="20% - Accent3 2 2 5 6" xfId="26863"/>
    <cellStyle name="20% - Accent3 2 2 6" xfId="1869"/>
    <cellStyle name="20% - Accent3 2 2 6 2" xfId="4098"/>
    <cellStyle name="20% - Accent3 2 2 6 2 2" xfId="8321"/>
    <cellStyle name="20% - Accent3 2 2 6 2 2 2" xfId="16757"/>
    <cellStyle name="20% - Accent3 2 2 6 2 2 3" xfId="25198"/>
    <cellStyle name="20% - Accent3 2 2 6 2 2 4" xfId="33638"/>
    <cellStyle name="20% - Accent3 2 2 6 2 3" xfId="12539"/>
    <cellStyle name="20% - Accent3 2 2 6 2 4" xfId="20981"/>
    <cellStyle name="20% - Accent3 2 2 6 2 5" xfId="29421"/>
    <cellStyle name="20% - Accent3 2 2 6 3" xfId="6176"/>
    <cellStyle name="20% - Accent3 2 2 6 3 2" xfId="14612"/>
    <cellStyle name="20% - Accent3 2 2 6 3 3" xfId="23053"/>
    <cellStyle name="20% - Accent3 2 2 6 3 4" xfId="31493"/>
    <cellStyle name="20% - Accent3 2 2 6 4" xfId="10394"/>
    <cellStyle name="20% - Accent3 2 2 6 5" xfId="18836"/>
    <cellStyle name="20% - Accent3 2 2 6 6" xfId="27276"/>
    <cellStyle name="20% - Accent3 2 2 7" xfId="2282"/>
    <cellStyle name="20% - Accent3 2 2 7 2" xfId="6589"/>
    <cellStyle name="20% - Accent3 2 2 7 2 2" xfId="15025"/>
    <cellStyle name="20% - Accent3 2 2 7 2 3" xfId="23466"/>
    <cellStyle name="20% - Accent3 2 2 7 2 4" xfId="31906"/>
    <cellStyle name="20% - Accent3 2 2 7 3" xfId="10807"/>
    <cellStyle name="20% - Accent3 2 2 7 4" xfId="19249"/>
    <cellStyle name="20% - Accent3 2 2 7 5" xfId="27689"/>
    <cellStyle name="20% - Accent3 2 2 8" xfId="4523"/>
    <cellStyle name="20% - Accent3 2 2 8 2" xfId="12959"/>
    <cellStyle name="20% - Accent3 2 2 8 3" xfId="21400"/>
    <cellStyle name="20% - Accent3 2 2 8 4" xfId="29840"/>
    <cellStyle name="20% - Accent3 2 2 9" xfId="8741"/>
    <cellStyle name="20% - Accent3 2 3" xfId="21"/>
    <cellStyle name="20% - Accent3 2 3 10" xfId="25625"/>
    <cellStyle name="20% - Accent3 2 3 2" xfId="590"/>
    <cellStyle name="20% - Accent3 2 3 2 2" xfId="2861"/>
    <cellStyle name="20% - Accent3 2 3 2 2 2" xfId="7084"/>
    <cellStyle name="20% - Accent3 2 3 2 2 2 2" xfId="15520"/>
    <cellStyle name="20% - Accent3 2 3 2 2 2 3" xfId="23961"/>
    <cellStyle name="20% - Accent3 2 3 2 2 2 4" xfId="32401"/>
    <cellStyle name="20% - Accent3 2 3 2 2 3" xfId="11302"/>
    <cellStyle name="20% - Accent3 2 3 2 2 4" xfId="19744"/>
    <cellStyle name="20% - Accent3 2 3 2 2 5" xfId="28184"/>
    <cellStyle name="20% - Accent3 2 3 2 3" xfId="4939"/>
    <cellStyle name="20% - Accent3 2 3 2 3 2" xfId="13375"/>
    <cellStyle name="20% - Accent3 2 3 2 3 3" xfId="21816"/>
    <cellStyle name="20% - Accent3 2 3 2 3 4" xfId="30256"/>
    <cellStyle name="20% - Accent3 2 3 2 4" xfId="9157"/>
    <cellStyle name="20% - Accent3 2 3 2 5" xfId="17599"/>
    <cellStyle name="20% - Accent3 2 3 2 6" xfId="26039"/>
    <cellStyle name="20% - Accent3 2 3 3" xfId="1043"/>
    <cellStyle name="20% - Accent3 2 3 3 2" xfId="3274"/>
    <cellStyle name="20% - Accent3 2 3 3 2 2" xfId="7497"/>
    <cellStyle name="20% - Accent3 2 3 3 2 2 2" xfId="15933"/>
    <cellStyle name="20% - Accent3 2 3 3 2 2 3" xfId="24374"/>
    <cellStyle name="20% - Accent3 2 3 3 2 2 4" xfId="32814"/>
    <cellStyle name="20% - Accent3 2 3 3 2 3" xfId="11715"/>
    <cellStyle name="20% - Accent3 2 3 3 2 4" xfId="20157"/>
    <cellStyle name="20% - Accent3 2 3 3 2 5" xfId="28597"/>
    <cellStyle name="20% - Accent3 2 3 3 3" xfId="5352"/>
    <cellStyle name="20% - Accent3 2 3 3 3 2" xfId="13788"/>
    <cellStyle name="20% - Accent3 2 3 3 3 3" xfId="22229"/>
    <cellStyle name="20% - Accent3 2 3 3 3 4" xfId="30669"/>
    <cellStyle name="20% - Accent3 2 3 3 4" xfId="9570"/>
    <cellStyle name="20% - Accent3 2 3 3 5" xfId="18012"/>
    <cellStyle name="20% - Accent3 2 3 3 6" xfId="26452"/>
    <cellStyle name="20% - Accent3 2 3 4" xfId="1457"/>
    <cellStyle name="20% - Accent3 2 3 4 2" xfId="3687"/>
    <cellStyle name="20% - Accent3 2 3 4 2 2" xfId="7910"/>
    <cellStyle name="20% - Accent3 2 3 4 2 2 2" xfId="16346"/>
    <cellStyle name="20% - Accent3 2 3 4 2 2 3" xfId="24787"/>
    <cellStyle name="20% - Accent3 2 3 4 2 2 4" xfId="33227"/>
    <cellStyle name="20% - Accent3 2 3 4 2 3" xfId="12128"/>
    <cellStyle name="20% - Accent3 2 3 4 2 4" xfId="20570"/>
    <cellStyle name="20% - Accent3 2 3 4 2 5" xfId="29010"/>
    <cellStyle name="20% - Accent3 2 3 4 3" xfId="5765"/>
    <cellStyle name="20% - Accent3 2 3 4 3 2" xfId="14201"/>
    <cellStyle name="20% - Accent3 2 3 4 3 3" xfId="22642"/>
    <cellStyle name="20% - Accent3 2 3 4 3 4" xfId="31082"/>
    <cellStyle name="20% - Accent3 2 3 4 4" xfId="9983"/>
    <cellStyle name="20% - Accent3 2 3 4 5" xfId="18425"/>
    <cellStyle name="20% - Accent3 2 3 4 6" xfId="26865"/>
    <cellStyle name="20% - Accent3 2 3 5" xfId="1871"/>
    <cellStyle name="20% - Accent3 2 3 5 2" xfId="4100"/>
    <cellStyle name="20% - Accent3 2 3 5 2 2" xfId="8323"/>
    <cellStyle name="20% - Accent3 2 3 5 2 2 2" xfId="16759"/>
    <cellStyle name="20% - Accent3 2 3 5 2 2 3" xfId="25200"/>
    <cellStyle name="20% - Accent3 2 3 5 2 2 4" xfId="33640"/>
    <cellStyle name="20% - Accent3 2 3 5 2 3" xfId="12541"/>
    <cellStyle name="20% - Accent3 2 3 5 2 4" xfId="20983"/>
    <cellStyle name="20% - Accent3 2 3 5 2 5" xfId="29423"/>
    <cellStyle name="20% - Accent3 2 3 5 3" xfId="6178"/>
    <cellStyle name="20% - Accent3 2 3 5 3 2" xfId="14614"/>
    <cellStyle name="20% - Accent3 2 3 5 3 3" xfId="23055"/>
    <cellStyle name="20% - Accent3 2 3 5 3 4" xfId="31495"/>
    <cellStyle name="20% - Accent3 2 3 5 4" xfId="10396"/>
    <cellStyle name="20% - Accent3 2 3 5 5" xfId="18838"/>
    <cellStyle name="20% - Accent3 2 3 5 6" xfId="27278"/>
    <cellStyle name="20% - Accent3 2 3 6" xfId="2284"/>
    <cellStyle name="20% - Accent3 2 3 6 2" xfId="6591"/>
    <cellStyle name="20% - Accent3 2 3 6 2 2" xfId="15027"/>
    <cellStyle name="20% - Accent3 2 3 6 2 3" xfId="23468"/>
    <cellStyle name="20% - Accent3 2 3 6 2 4" xfId="31908"/>
    <cellStyle name="20% - Accent3 2 3 6 3" xfId="10809"/>
    <cellStyle name="20% - Accent3 2 3 6 4" xfId="19251"/>
    <cellStyle name="20% - Accent3 2 3 6 5" xfId="27691"/>
    <cellStyle name="20% - Accent3 2 3 7" xfId="4525"/>
    <cellStyle name="20% - Accent3 2 3 7 2" xfId="12961"/>
    <cellStyle name="20% - Accent3 2 3 7 3" xfId="21402"/>
    <cellStyle name="20% - Accent3 2 3 7 4" xfId="29842"/>
    <cellStyle name="20% - Accent3 2 3 8" xfId="8743"/>
    <cellStyle name="20% - Accent3 2 3 9" xfId="17185"/>
    <cellStyle name="20% - Accent3 2 4" xfId="587"/>
    <cellStyle name="20% - Accent3 2 4 2" xfId="2858"/>
    <cellStyle name="20% - Accent3 2 4 2 2" xfId="7081"/>
    <cellStyle name="20% - Accent3 2 4 2 2 2" xfId="15517"/>
    <cellStyle name="20% - Accent3 2 4 2 2 3" xfId="23958"/>
    <cellStyle name="20% - Accent3 2 4 2 2 4" xfId="32398"/>
    <cellStyle name="20% - Accent3 2 4 2 3" xfId="11299"/>
    <cellStyle name="20% - Accent3 2 4 2 4" xfId="19741"/>
    <cellStyle name="20% - Accent3 2 4 2 5" xfId="28181"/>
    <cellStyle name="20% - Accent3 2 4 3" xfId="4936"/>
    <cellStyle name="20% - Accent3 2 4 3 2" xfId="13372"/>
    <cellStyle name="20% - Accent3 2 4 3 3" xfId="21813"/>
    <cellStyle name="20% - Accent3 2 4 3 4" xfId="30253"/>
    <cellStyle name="20% - Accent3 2 4 4" xfId="9154"/>
    <cellStyle name="20% - Accent3 2 4 5" xfId="17596"/>
    <cellStyle name="20% - Accent3 2 4 6" xfId="26036"/>
    <cellStyle name="20% - Accent3 2 5" xfId="1040"/>
    <cellStyle name="20% - Accent3 2 5 2" xfId="3271"/>
    <cellStyle name="20% - Accent3 2 5 2 2" xfId="7494"/>
    <cellStyle name="20% - Accent3 2 5 2 2 2" xfId="15930"/>
    <cellStyle name="20% - Accent3 2 5 2 2 3" xfId="24371"/>
    <cellStyle name="20% - Accent3 2 5 2 2 4" xfId="32811"/>
    <cellStyle name="20% - Accent3 2 5 2 3" xfId="11712"/>
    <cellStyle name="20% - Accent3 2 5 2 4" xfId="20154"/>
    <cellStyle name="20% - Accent3 2 5 2 5" xfId="28594"/>
    <cellStyle name="20% - Accent3 2 5 3" xfId="5349"/>
    <cellStyle name="20% - Accent3 2 5 3 2" xfId="13785"/>
    <cellStyle name="20% - Accent3 2 5 3 3" xfId="22226"/>
    <cellStyle name="20% - Accent3 2 5 3 4" xfId="30666"/>
    <cellStyle name="20% - Accent3 2 5 4" xfId="9567"/>
    <cellStyle name="20% - Accent3 2 5 5" xfId="18009"/>
    <cellStyle name="20% - Accent3 2 5 6" xfId="26449"/>
    <cellStyle name="20% - Accent3 2 6" xfId="1454"/>
    <cellStyle name="20% - Accent3 2 6 2" xfId="3684"/>
    <cellStyle name="20% - Accent3 2 6 2 2" xfId="7907"/>
    <cellStyle name="20% - Accent3 2 6 2 2 2" xfId="16343"/>
    <cellStyle name="20% - Accent3 2 6 2 2 3" xfId="24784"/>
    <cellStyle name="20% - Accent3 2 6 2 2 4" xfId="33224"/>
    <cellStyle name="20% - Accent3 2 6 2 3" xfId="12125"/>
    <cellStyle name="20% - Accent3 2 6 2 4" xfId="20567"/>
    <cellStyle name="20% - Accent3 2 6 2 5" xfId="29007"/>
    <cellStyle name="20% - Accent3 2 6 3" xfId="5762"/>
    <cellStyle name="20% - Accent3 2 6 3 2" xfId="14198"/>
    <cellStyle name="20% - Accent3 2 6 3 3" xfId="22639"/>
    <cellStyle name="20% - Accent3 2 6 3 4" xfId="31079"/>
    <cellStyle name="20% - Accent3 2 6 4" xfId="9980"/>
    <cellStyle name="20% - Accent3 2 6 5" xfId="18422"/>
    <cellStyle name="20% - Accent3 2 6 6" xfId="26862"/>
    <cellStyle name="20% - Accent3 2 7" xfId="1868"/>
    <cellStyle name="20% - Accent3 2 7 2" xfId="4097"/>
    <cellStyle name="20% - Accent3 2 7 2 2" xfId="8320"/>
    <cellStyle name="20% - Accent3 2 7 2 2 2" xfId="16756"/>
    <cellStyle name="20% - Accent3 2 7 2 2 3" xfId="25197"/>
    <cellStyle name="20% - Accent3 2 7 2 2 4" xfId="33637"/>
    <cellStyle name="20% - Accent3 2 7 2 3" xfId="12538"/>
    <cellStyle name="20% - Accent3 2 7 2 4" xfId="20980"/>
    <cellStyle name="20% - Accent3 2 7 2 5" xfId="29420"/>
    <cellStyle name="20% - Accent3 2 7 3" xfId="6175"/>
    <cellStyle name="20% - Accent3 2 7 3 2" xfId="14611"/>
    <cellStyle name="20% - Accent3 2 7 3 3" xfId="23052"/>
    <cellStyle name="20% - Accent3 2 7 3 4" xfId="31492"/>
    <cellStyle name="20% - Accent3 2 7 4" xfId="10393"/>
    <cellStyle name="20% - Accent3 2 7 5" xfId="18835"/>
    <cellStyle name="20% - Accent3 2 7 6" xfId="27275"/>
    <cellStyle name="20% - Accent3 2 8" xfId="2281"/>
    <cellStyle name="20% - Accent3 2 8 2" xfId="6588"/>
    <cellStyle name="20% - Accent3 2 8 2 2" xfId="15024"/>
    <cellStyle name="20% - Accent3 2 8 2 3" xfId="23465"/>
    <cellStyle name="20% - Accent3 2 8 2 4" xfId="31905"/>
    <cellStyle name="20% - Accent3 2 8 3" xfId="10806"/>
    <cellStyle name="20% - Accent3 2 8 4" xfId="19248"/>
    <cellStyle name="20% - Accent3 2 8 5" xfId="27688"/>
    <cellStyle name="20% - Accent3 2 9" xfId="4522"/>
    <cellStyle name="20% - Accent3 2 9 2" xfId="12958"/>
    <cellStyle name="20% - Accent3 2 9 3" xfId="21399"/>
    <cellStyle name="20% - Accent3 2 9 4" xfId="29839"/>
    <cellStyle name="20% - Accent3 3" xfId="22"/>
    <cellStyle name="20% - Accent3 3 10" xfId="17186"/>
    <cellStyle name="20% - Accent3 3 11" xfId="25626"/>
    <cellStyle name="20% - Accent3 3 2" xfId="23"/>
    <cellStyle name="20% - Accent3 3 2 10" xfId="25627"/>
    <cellStyle name="20% - Accent3 3 2 2" xfId="592"/>
    <cellStyle name="20% - Accent3 3 2 2 2" xfId="2863"/>
    <cellStyle name="20% - Accent3 3 2 2 2 2" xfId="7086"/>
    <cellStyle name="20% - Accent3 3 2 2 2 2 2" xfId="15522"/>
    <cellStyle name="20% - Accent3 3 2 2 2 2 3" xfId="23963"/>
    <cellStyle name="20% - Accent3 3 2 2 2 2 4" xfId="32403"/>
    <cellStyle name="20% - Accent3 3 2 2 2 3" xfId="11304"/>
    <cellStyle name="20% - Accent3 3 2 2 2 4" xfId="19746"/>
    <cellStyle name="20% - Accent3 3 2 2 2 5" xfId="28186"/>
    <cellStyle name="20% - Accent3 3 2 2 3" xfId="4941"/>
    <cellStyle name="20% - Accent3 3 2 2 3 2" xfId="13377"/>
    <cellStyle name="20% - Accent3 3 2 2 3 3" xfId="21818"/>
    <cellStyle name="20% - Accent3 3 2 2 3 4" xfId="30258"/>
    <cellStyle name="20% - Accent3 3 2 2 4" xfId="9159"/>
    <cellStyle name="20% - Accent3 3 2 2 5" xfId="17601"/>
    <cellStyle name="20% - Accent3 3 2 2 6" xfId="26041"/>
    <cellStyle name="20% - Accent3 3 2 3" xfId="1045"/>
    <cellStyle name="20% - Accent3 3 2 3 2" xfId="3276"/>
    <cellStyle name="20% - Accent3 3 2 3 2 2" xfId="7499"/>
    <cellStyle name="20% - Accent3 3 2 3 2 2 2" xfId="15935"/>
    <cellStyle name="20% - Accent3 3 2 3 2 2 3" xfId="24376"/>
    <cellStyle name="20% - Accent3 3 2 3 2 2 4" xfId="32816"/>
    <cellStyle name="20% - Accent3 3 2 3 2 3" xfId="11717"/>
    <cellStyle name="20% - Accent3 3 2 3 2 4" xfId="20159"/>
    <cellStyle name="20% - Accent3 3 2 3 2 5" xfId="28599"/>
    <cellStyle name="20% - Accent3 3 2 3 3" xfId="5354"/>
    <cellStyle name="20% - Accent3 3 2 3 3 2" xfId="13790"/>
    <cellStyle name="20% - Accent3 3 2 3 3 3" xfId="22231"/>
    <cellStyle name="20% - Accent3 3 2 3 3 4" xfId="30671"/>
    <cellStyle name="20% - Accent3 3 2 3 4" xfId="9572"/>
    <cellStyle name="20% - Accent3 3 2 3 5" xfId="18014"/>
    <cellStyle name="20% - Accent3 3 2 3 6" xfId="26454"/>
    <cellStyle name="20% - Accent3 3 2 4" xfId="1459"/>
    <cellStyle name="20% - Accent3 3 2 4 2" xfId="3689"/>
    <cellStyle name="20% - Accent3 3 2 4 2 2" xfId="7912"/>
    <cellStyle name="20% - Accent3 3 2 4 2 2 2" xfId="16348"/>
    <cellStyle name="20% - Accent3 3 2 4 2 2 3" xfId="24789"/>
    <cellStyle name="20% - Accent3 3 2 4 2 2 4" xfId="33229"/>
    <cellStyle name="20% - Accent3 3 2 4 2 3" xfId="12130"/>
    <cellStyle name="20% - Accent3 3 2 4 2 4" xfId="20572"/>
    <cellStyle name="20% - Accent3 3 2 4 2 5" xfId="29012"/>
    <cellStyle name="20% - Accent3 3 2 4 3" xfId="5767"/>
    <cellStyle name="20% - Accent3 3 2 4 3 2" xfId="14203"/>
    <cellStyle name="20% - Accent3 3 2 4 3 3" xfId="22644"/>
    <cellStyle name="20% - Accent3 3 2 4 3 4" xfId="31084"/>
    <cellStyle name="20% - Accent3 3 2 4 4" xfId="9985"/>
    <cellStyle name="20% - Accent3 3 2 4 5" xfId="18427"/>
    <cellStyle name="20% - Accent3 3 2 4 6" xfId="26867"/>
    <cellStyle name="20% - Accent3 3 2 5" xfId="1873"/>
    <cellStyle name="20% - Accent3 3 2 5 2" xfId="4102"/>
    <cellStyle name="20% - Accent3 3 2 5 2 2" xfId="8325"/>
    <cellStyle name="20% - Accent3 3 2 5 2 2 2" xfId="16761"/>
    <cellStyle name="20% - Accent3 3 2 5 2 2 3" xfId="25202"/>
    <cellStyle name="20% - Accent3 3 2 5 2 2 4" xfId="33642"/>
    <cellStyle name="20% - Accent3 3 2 5 2 3" xfId="12543"/>
    <cellStyle name="20% - Accent3 3 2 5 2 4" xfId="20985"/>
    <cellStyle name="20% - Accent3 3 2 5 2 5" xfId="29425"/>
    <cellStyle name="20% - Accent3 3 2 5 3" xfId="6180"/>
    <cellStyle name="20% - Accent3 3 2 5 3 2" xfId="14616"/>
    <cellStyle name="20% - Accent3 3 2 5 3 3" xfId="23057"/>
    <cellStyle name="20% - Accent3 3 2 5 3 4" xfId="31497"/>
    <cellStyle name="20% - Accent3 3 2 5 4" xfId="10398"/>
    <cellStyle name="20% - Accent3 3 2 5 5" xfId="18840"/>
    <cellStyle name="20% - Accent3 3 2 5 6" xfId="27280"/>
    <cellStyle name="20% - Accent3 3 2 6" xfId="2286"/>
    <cellStyle name="20% - Accent3 3 2 6 2" xfId="6593"/>
    <cellStyle name="20% - Accent3 3 2 6 2 2" xfId="15029"/>
    <cellStyle name="20% - Accent3 3 2 6 2 3" xfId="23470"/>
    <cellStyle name="20% - Accent3 3 2 6 2 4" xfId="31910"/>
    <cellStyle name="20% - Accent3 3 2 6 3" xfId="10811"/>
    <cellStyle name="20% - Accent3 3 2 6 4" xfId="19253"/>
    <cellStyle name="20% - Accent3 3 2 6 5" xfId="27693"/>
    <cellStyle name="20% - Accent3 3 2 7" xfId="4527"/>
    <cellStyle name="20% - Accent3 3 2 7 2" xfId="12963"/>
    <cellStyle name="20% - Accent3 3 2 7 3" xfId="21404"/>
    <cellStyle name="20% - Accent3 3 2 7 4" xfId="29844"/>
    <cellStyle name="20% - Accent3 3 2 8" xfId="8745"/>
    <cellStyle name="20% - Accent3 3 2 9" xfId="17187"/>
    <cellStyle name="20% - Accent3 3 3" xfId="591"/>
    <cellStyle name="20% - Accent3 3 3 2" xfId="2862"/>
    <cellStyle name="20% - Accent3 3 3 2 2" xfId="7085"/>
    <cellStyle name="20% - Accent3 3 3 2 2 2" xfId="15521"/>
    <cellStyle name="20% - Accent3 3 3 2 2 3" xfId="23962"/>
    <cellStyle name="20% - Accent3 3 3 2 2 4" xfId="32402"/>
    <cellStyle name="20% - Accent3 3 3 2 3" xfId="11303"/>
    <cellStyle name="20% - Accent3 3 3 2 4" xfId="19745"/>
    <cellStyle name="20% - Accent3 3 3 2 5" xfId="28185"/>
    <cellStyle name="20% - Accent3 3 3 3" xfId="4940"/>
    <cellStyle name="20% - Accent3 3 3 3 2" xfId="13376"/>
    <cellStyle name="20% - Accent3 3 3 3 3" xfId="21817"/>
    <cellStyle name="20% - Accent3 3 3 3 4" xfId="30257"/>
    <cellStyle name="20% - Accent3 3 3 4" xfId="9158"/>
    <cellStyle name="20% - Accent3 3 3 5" xfId="17600"/>
    <cellStyle name="20% - Accent3 3 3 6" xfId="26040"/>
    <cellStyle name="20% - Accent3 3 4" xfId="1044"/>
    <cellStyle name="20% - Accent3 3 4 2" xfId="3275"/>
    <cellStyle name="20% - Accent3 3 4 2 2" xfId="7498"/>
    <cellStyle name="20% - Accent3 3 4 2 2 2" xfId="15934"/>
    <cellStyle name="20% - Accent3 3 4 2 2 3" xfId="24375"/>
    <cellStyle name="20% - Accent3 3 4 2 2 4" xfId="32815"/>
    <cellStyle name="20% - Accent3 3 4 2 3" xfId="11716"/>
    <cellStyle name="20% - Accent3 3 4 2 4" xfId="20158"/>
    <cellStyle name="20% - Accent3 3 4 2 5" xfId="28598"/>
    <cellStyle name="20% - Accent3 3 4 3" xfId="5353"/>
    <cellStyle name="20% - Accent3 3 4 3 2" xfId="13789"/>
    <cellStyle name="20% - Accent3 3 4 3 3" xfId="22230"/>
    <cellStyle name="20% - Accent3 3 4 3 4" xfId="30670"/>
    <cellStyle name="20% - Accent3 3 4 4" xfId="9571"/>
    <cellStyle name="20% - Accent3 3 4 5" xfId="18013"/>
    <cellStyle name="20% - Accent3 3 4 6" xfId="26453"/>
    <cellStyle name="20% - Accent3 3 5" xfId="1458"/>
    <cellStyle name="20% - Accent3 3 5 2" xfId="3688"/>
    <cellStyle name="20% - Accent3 3 5 2 2" xfId="7911"/>
    <cellStyle name="20% - Accent3 3 5 2 2 2" xfId="16347"/>
    <cellStyle name="20% - Accent3 3 5 2 2 3" xfId="24788"/>
    <cellStyle name="20% - Accent3 3 5 2 2 4" xfId="33228"/>
    <cellStyle name="20% - Accent3 3 5 2 3" xfId="12129"/>
    <cellStyle name="20% - Accent3 3 5 2 4" xfId="20571"/>
    <cellStyle name="20% - Accent3 3 5 2 5" xfId="29011"/>
    <cellStyle name="20% - Accent3 3 5 3" xfId="5766"/>
    <cellStyle name="20% - Accent3 3 5 3 2" xfId="14202"/>
    <cellStyle name="20% - Accent3 3 5 3 3" xfId="22643"/>
    <cellStyle name="20% - Accent3 3 5 3 4" xfId="31083"/>
    <cellStyle name="20% - Accent3 3 5 4" xfId="9984"/>
    <cellStyle name="20% - Accent3 3 5 5" xfId="18426"/>
    <cellStyle name="20% - Accent3 3 5 6" xfId="26866"/>
    <cellStyle name="20% - Accent3 3 6" xfId="1872"/>
    <cellStyle name="20% - Accent3 3 6 2" xfId="4101"/>
    <cellStyle name="20% - Accent3 3 6 2 2" xfId="8324"/>
    <cellStyle name="20% - Accent3 3 6 2 2 2" xfId="16760"/>
    <cellStyle name="20% - Accent3 3 6 2 2 3" xfId="25201"/>
    <cellStyle name="20% - Accent3 3 6 2 2 4" xfId="33641"/>
    <cellStyle name="20% - Accent3 3 6 2 3" xfId="12542"/>
    <cellStyle name="20% - Accent3 3 6 2 4" xfId="20984"/>
    <cellStyle name="20% - Accent3 3 6 2 5" xfId="29424"/>
    <cellStyle name="20% - Accent3 3 6 3" xfId="6179"/>
    <cellStyle name="20% - Accent3 3 6 3 2" xfId="14615"/>
    <cellStyle name="20% - Accent3 3 6 3 3" xfId="23056"/>
    <cellStyle name="20% - Accent3 3 6 3 4" xfId="31496"/>
    <cellStyle name="20% - Accent3 3 6 4" xfId="10397"/>
    <cellStyle name="20% - Accent3 3 6 5" xfId="18839"/>
    <cellStyle name="20% - Accent3 3 6 6" xfId="27279"/>
    <cellStyle name="20% - Accent3 3 7" xfId="2285"/>
    <cellStyle name="20% - Accent3 3 7 2" xfId="6592"/>
    <cellStyle name="20% - Accent3 3 7 2 2" xfId="15028"/>
    <cellStyle name="20% - Accent3 3 7 2 3" xfId="23469"/>
    <cellStyle name="20% - Accent3 3 7 2 4" xfId="31909"/>
    <cellStyle name="20% - Accent3 3 7 3" xfId="10810"/>
    <cellStyle name="20% - Accent3 3 7 4" xfId="19252"/>
    <cellStyle name="20% - Accent3 3 7 5" xfId="27692"/>
    <cellStyle name="20% - Accent3 3 8" xfId="4526"/>
    <cellStyle name="20% - Accent3 3 8 2" xfId="12962"/>
    <cellStyle name="20% - Accent3 3 8 3" xfId="21403"/>
    <cellStyle name="20% - Accent3 3 8 4" xfId="29843"/>
    <cellStyle name="20% - Accent3 3 9" xfId="8744"/>
    <cellStyle name="20% - Accent3 4" xfId="24"/>
    <cellStyle name="20% - Accent3 4 10" xfId="25628"/>
    <cellStyle name="20% - Accent3 4 2" xfId="593"/>
    <cellStyle name="20% - Accent3 4 2 2" xfId="2864"/>
    <cellStyle name="20% - Accent3 4 2 2 2" xfId="7087"/>
    <cellStyle name="20% - Accent3 4 2 2 2 2" xfId="15523"/>
    <cellStyle name="20% - Accent3 4 2 2 2 3" xfId="23964"/>
    <cellStyle name="20% - Accent3 4 2 2 2 4" xfId="32404"/>
    <cellStyle name="20% - Accent3 4 2 2 3" xfId="11305"/>
    <cellStyle name="20% - Accent3 4 2 2 4" xfId="19747"/>
    <cellStyle name="20% - Accent3 4 2 2 5" xfId="28187"/>
    <cellStyle name="20% - Accent3 4 2 3" xfId="4942"/>
    <cellStyle name="20% - Accent3 4 2 3 2" xfId="13378"/>
    <cellStyle name="20% - Accent3 4 2 3 3" xfId="21819"/>
    <cellStyle name="20% - Accent3 4 2 3 4" xfId="30259"/>
    <cellStyle name="20% - Accent3 4 2 4" xfId="9160"/>
    <cellStyle name="20% - Accent3 4 2 5" xfId="17602"/>
    <cellStyle name="20% - Accent3 4 2 6" xfId="26042"/>
    <cellStyle name="20% - Accent3 4 3" xfId="1046"/>
    <cellStyle name="20% - Accent3 4 3 2" xfId="3277"/>
    <cellStyle name="20% - Accent3 4 3 2 2" xfId="7500"/>
    <cellStyle name="20% - Accent3 4 3 2 2 2" xfId="15936"/>
    <cellStyle name="20% - Accent3 4 3 2 2 3" xfId="24377"/>
    <cellStyle name="20% - Accent3 4 3 2 2 4" xfId="32817"/>
    <cellStyle name="20% - Accent3 4 3 2 3" xfId="11718"/>
    <cellStyle name="20% - Accent3 4 3 2 4" xfId="20160"/>
    <cellStyle name="20% - Accent3 4 3 2 5" xfId="28600"/>
    <cellStyle name="20% - Accent3 4 3 3" xfId="5355"/>
    <cellStyle name="20% - Accent3 4 3 3 2" xfId="13791"/>
    <cellStyle name="20% - Accent3 4 3 3 3" xfId="22232"/>
    <cellStyle name="20% - Accent3 4 3 3 4" xfId="30672"/>
    <cellStyle name="20% - Accent3 4 3 4" xfId="9573"/>
    <cellStyle name="20% - Accent3 4 3 5" xfId="18015"/>
    <cellStyle name="20% - Accent3 4 3 6" xfId="26455"/>
    <cellStyle name="20% - Accent3 4 4" xfId="1460"/>
    <cellStyle name="20% - Accent3 4 4 2" xfId="3690"/>
    <cellStyle name="20% - Accent3 4 4 2 2" xfId="7913"/>
    <cellStyle name="20% - Accent3 4 4 2 2 2" xfId="16349"/>
    <cellStyle name="20% - Accent3 4 4 2 2 3" xfId="24790"/>
    <cellStyle name="20% - Accent3 4 4 2 2 4" xfId="33230"/>
    <cellStyle name="20% - Accent3 4 4 2 3" xfId="12131"/>
    <cellStyle name="20% - Accent3 4 4 2 4" xfId="20573"/>
    <cellStyle name="20% - Accent3 4 4 2 5" xfId="29013"/>
    <cellStyle name="20% - Accent3 4 4 3" xfId="5768"/>
    <cellStyle name="20% - Accent3 4 4 3 2" xfId="14204"/>
    <cellStyle name="20% - Accent3 4 4 3 3" xfId="22645"/>
    <cellStyle name="20% - Accent3 4 4 3 4" xfId="31085"/>
    <cellStyle name="20% - Accent3 4 4 4" xfId="9986"/>
    <cellStyle name="20% - Accent3 4 4 5" xfId="18428"/>
    <cellStyle name="20% - Accent3 4 4 6" xfId="26868"/>
    <cellStyle name="20% - Accent3 4 5" xfId="1874"/>
    <cellStyle name="20% - Accent3 4 5 2" xfId="4103"/>
    <cellStyle name="20% - Accent3 4 5 2 2" xfId="8326"/>
    <cellStyle name="20% - Accent3 4 5 2 2 2" xfId="16762"/>
    <cellStyle name="20% - Accent3 4 5 2 2 3" xfId="25203"/>
    <cellStyle name="20% - Accent3 4 5 2 2 4" xfId="33643"/>
    <cellStyle name="20% - Accent3 4 5 2 3" xfId="12544"/>
    <cellStyle name="20% - Accent3 4 5 2 4" xfId="20986"/>
    <cellStyle name="20% - Accent3 4 5 2 5" xfId="29426"/>
    <cellStyle name="20% - Accent3 4 5 3" xfId="6181"/>
    <cellStyle name="20% - Accent3 4 5 3 2" xfId="14617"/>
    <cellStyle name="20% - Accent3 4 5 3 3" xfId="23058"/>
    <cellStyle name="20% - Accent3 4 5 3 4" xfId="31498"/>
    <cellStyle name="20% - Accent3 4 5 4" xfId="10399"/>
    <cellStyle name="20% - Accent3 4 5 5" xfId="18841"/>
    <cellStyle name="20% - Accent3 4 5 6" xfId="27281"/>
    <cellStyle name="20% - Accent3 4 6" xfId="2287"/>
    <cellStyle name="20% - Accent3 4 6 2" xfId="6594"/>
    <cellStyle name="20% - Accent3 4 6 2 2" xfId="15030"/>
    <cellStyle name="20% - Accent3 4 6 2 3" xfId="23471"/>
    <cellStyle name="20% - Accent3 4 6 2 4" xfId="31911"/>
    <cellStyle name="20% - Accent3 4 6 3" xfId="10812"/>
    <cellStyle name="20% - Accent3 4 6 4" xfId="19254"/>
    <cellStyle name="20% - Accent3 4 6 5" xfId="27694"/>
    <cellStyle name="20% - Accent3 4 7" xfId="4528"/>
    <cellStyle name="20% - Accent3 4 7 2" xfId="12964"/>
    <cellStyle name="20% - Accent3 4 7 3" xfId="21405"/>
    <cellStyle name="20% - Accent3 4 7 4" xfId="29845"/>
    <cellStyle name="20% - Accent3 4 8" xfId="8746"/>
    <cellStyle name="20% - Accent3 4 9" xfId="17188"/>
    <cellStyle name="20% - Accent3 5" xfId="586"/>
    <cellStyle name="20% - Accent3 5 2" xfId="2857"/>
    <cellStyle name="20% - Accent3 5 2 2" xfId="7080"/>
    <cellStyle name="20% - Accent3 5 2 2 2" xfId="15516"/>
    <cellStyle name="20% - Accent3 5 2 2 3" xfId="23957"/>
    <cellStyle name="20% - Accent3 5 2 2 4" xfId="32397"/>
    <cellStyle name="20% - Accent3 5 2 3" xfId="11298"/>
    <cellStyle name="20% - Accent3 5 2 4" xfId="19740"/>
    <cellStyle name="20% - Accent3 5 2 5" xfId="28180"/>
    <cellStyle name="20% - Accent3 5 3" xfId="4935"/>
    <cellStyle name="20% - Accent3 5 3 2" xfId="13371"/>
    <cellStyle name="20% - Accent3 5 3 3" xfId="21812"/>
    <cellStyle name="20% - Accent3 5 3 4" xfId="30252"/>
    <cellStyle name="20% - Accent3 5 4" xfId="9153"/>
    <cellStyle name="20% - Accent3 5 5" xfId="17595"/>
    <cellStyle name="20% - Accent3 5 6" xfId="26035"/>
    <cellStyle name="20% - Accent3 6" xfId="1039"/>
    <cellStyle name="20% - Accent3 6 2" xfId="3270"/>
    <cellStyle name="20% - Accent3 6 2 2" xfId="7493"/>
    <cellStyle name="20% - Accent3 6 2 2 2" xfId="15929"/>
    <cellStyle name="20% - Accent3 6 2 2 3" xfId="24370"/>
    <cellStyle name="20% - Accent3 6 2 2 4" xfId="32810"/>
    <cellStyle name="20% - Accent3 6 2 3" xfId="11711"/>
    <cellStyle name="20% - Accent3 6 2 4" xfId="20153"/>
    <cellStyle name="20% - Accent3 6 2 5" xfId="28593"/>
    <cellStyle name="20% - Accent3 6 3" xfId="5348"/>
    <cellStyle name="20% - Accent3 6 3 2" xfId="13784"/>
    <cellStyle name="20% - Accent3 6 3 3" xfId="22225"/>
    <cellStyle name="20% - Accent3 6 3 4" xfId="30665"/>
    <cellStyle name="20% - Accent3 6 4" xfId="9566"/>
    <cellStyle name="20% - Accent3 6 5" xfId="18008"/>
    <cellStyle name="20% - Accent3 6 6" xfId="26448"/>
    <cellStyle name="20% - Accent3 7" xfId="1453"/>
    <cellStyle name="20% - Accent3 7 2" xfId="3683"/>
    <cellStyle name="20% - Accent3 7 2 2" xfId="7906"/>
    <cellStyle name="20% - Accent3 7 2 2 2" xfId="16342"/>
    <cellStyle name="20% - Accent3 7 2 2 3" xfId="24783"/>
    <cellStyle name="20% - Accent3 7 2 2 4" xfId="33223"/>
    <cellStyle name="20% - Accent3 7 2 3" xfId="12124"/>
    <cellStyle name="20% - Accent3 7 2 4" xfId="20566"/>
    <cellStyle name="20% - Accent3 7 2 5" xfId="29006"/>
    <cellStyle name="20% - Accent3 7 3" xfId="5761"/>
    <cellStyle name="20% - Accent3 7 3 2" xfId="14197"/>
    <cellStyle name="20% - Accent3 7 3 3" xfId="22638"/>
    <cellStyle name="20% - Accent3 7 3 4" xfId="31078"/>
    <cellStyle name="20% - Accent3 7 4" xfId="9979"/>
    <cellStyle name="20% - Accent3 7 5" xfId="18421"/>
    <cellStyle name="20% - Accent3 7 6" xfId="26861"/>
    <cellStyle name="20% - Accent3 8" xfId="1867"/>
    <cellStyle name="20% - Accent3 8 2" xfId="4096"/>
    <cellStyle name="20% - Accent3 8 2 2" xfId="8319"/>
    <cellStyle name="20% - Accent3 8 2 2 2" xfId="16755"/>
    <cellStyle name="20% - Accent3 8 2 2 3" xfId="25196"/>
    <cellStyle name="20% - Accent3 8 2 2 4" xfId="33636"/>
    <cellStyle name="20% - Accent3 8 2 3" xfId="12537"/>
    <cellStyle name="20% - Accent3 8 2 4" xfId="20979"/>
    <cellStyle name="20% - Accent3 8 2 5" xfId="29419"/>
    <cellStyle name="20% - Accent3 8 3" xfId="6174"/>
    <cellStyle name="20% - Accent3 8 3 2" xfId="14610"/>
    <cellStyle name="20% - Accent3 8 3 3" xfId="23051"/>
    <cellStyle name="20% - Accent3 8 3 4" xfId="31491"/>
    <cellStyle name="20% - Accent3 8 4" xfId="10392"/>
    <cellStyle name="20% - Accent3 8 5" xfId="18834"/>
    <cellStyle name="20% - Accent3 8 6" xfId="27274"/>
    <cellStyle name="20% - Accent3 9" xfId="2280"/>
    <cellStyle name="20% - Accent3 9 2" xfId="6587"/>
    <cellStyle name="20% - Accent3 9 2 2" xfId="15023"/>
    <cellStyle name="20% - Accent3 9 2 3" xfId="23464"/>
    <cellStyle name="20% - Accent3 9 2 4" xfId="31904"/>
    <cellStyle name="20% - Accent3 9 3" xfId="10805"/>
    <cellStyle name="20% - Accent3 9 4" xfId="19247"/>
    <cellStyle name="20% - Accent3 9 5" xfId="27687"/>
    <cellStyle name="20% - Accent4" xfId="25" builtinId="42" customBuiltin="1"/>
    <cellStyle name="20% - Accent4 10" xfId="4529"/>
    <cellStyle name="20% - Accent4 10 2" xfId="12965"/>
    <cellStyle name="20% - Accent4 10 3" xfId="21406"/>
    <cellStyle name="20% - Accent4 10 4" xfId="29846"/>
    <cellStyle name="20% - Accent4 11" xfId="8747"/>
    <cellStyle name="20% - Accent4 12" xfId="17189"/>
    <cellStyle name="20% - Accent4 13" xfId="25629"/>
    <cellStyle name="20% - Accent4 2" xfId="26"/>
    <cellStyle name="20% - Accent4 2 10" xfId="8748"/>
    <cellStyle name="20% - Accent4 2 11" xfId="17190"/>
    <cellStyle name="20% - Accent4 2 12" xfId="25630"/>
    <cellStyle name="20% - Accent4 2 2" xfId="27"/>
    <cellStyle name="20% - Accent4 2 2 10" xfId="17191"/>
    <cellStyle name="20% - Accent4 2 2 11" xfId="25631"/>
    <cellStyle name="20% - Accent4 2 2 2" xfId="28"/>
    <cellStyle name="20% - Accent4 2 2 2 10" xfId="25632"/>
    <cellStyle name="20% - Accent4 2 2 2 2" xfId="597"/>
    <cellStyle name="20% - Accent4 2 2 2 2 2" xfId="2868"/>
    <cellStyle name="20% - Accent4 2 2 2 2 2 2" xfId="7091"/>
    <cellStyle name="20% - Accent4 2 2 2 2 2 2 2" xfId="15527"/>
    <cellStyle name="20% - Accent4 2 2 2 2 2 2 3" xfId="23968"/>
    <cellStyle name="20% - Accent4 2 2 2 2 2 2 4" xfId="32408"/>
    <cellStyle name="20% - Accent4 2 2 2 2 2 3" xfId="11309"/>
    <cellStyle name="20% - Accent4 2 2 2 2 2 4" xfId="19751"/>
    <cellStyle name="20% - Accent4 2 2 2 2 2 5" xfId="28191"/>
    <cellStyle name="20% - Accent4 2 2 2 2 3" xfId="4946"/>
    <cellStyle name="20% - Accent4 2 2 2 2 3 2" xfId="13382"/>
    <cellStyle name="20% - Accent4 2 2 2 2 3 3" xfId="21823"/>
    <cellStyle name="20% - Accent4 2 2 2 2 3 4" xfId="30263"/>
    <cellStyle name="20% - Accent4 2 2 2 2 4" xfId="9164"/>
    <cellStyle name="20% - Accent4 2 2 2 2 5" xfId="17606"/>
    <cellStyle name="20% - Accent4 2 2 2 2 6" xfId="26046"/>
    <cellStyle name="20% - Accent4 2 2 2 3" xfId="1050"/>
    <cellStyle name="20% - Accent4 2 2 2 3 2" xfId="3281"/>
    <cellStyle name="20% - Accent4 2 2 2 3 2 2" xfId="7504"/>
    <cellStyle name="20% - Accent4 2 2 2 3 2 2 2" xfId="15940"/>
    <cellStyle name="20% - Accent4 2 2 2 3 2 2 3" xfId="24381"/>
    <cellStyle name="20% - Accent4 2 2 2 3 2 2 4" xfId="32821"/>
    <cellStyle name="20% - Accent4 2 2 2 3 2 3" xfId="11722"/>
    <cellStyle name="20% - Accent4 2 2 2 3 2 4" xfId="20164"/>
    <cellStyle name="20% - Accent4 2 2 2 3 2 5" xfId="28604"/>
    <cellStyle name="20% - Accent4 2 2 2 3 3" xfId="5359"/>
    <cellStyle name="20% - Accent4 2 2 2 3 3 2" xfId="13795"/>
    <cellStyle name="20% - Accent4 2 2 2 3 3 3" xfId="22236"/>
    <cellStyle name="20% - Accent4 2 2 2 3 3 4" xfId="30676"/>
    <cellStyle name="20% - Accent4 2 2 2 3 4" xfId="9577"/>
    <cellStyle name="20% - Accent4 2 2 2 3 5" xfId="18019"/>
    <cellStyle name="20% - Accent4 2 2 2 3 6" xfId="26459"/>
    <cellStyle name="20% - Accent4 2 2 2 4" xfId="1464"/>
    <cellStyle name="20% - Accent4 2 2 2 4 2" xfId="3694"/>
    <cellStyle name="20% - Accent4 2 2 2 4 2 2" xfId="7917"/>
    <cellStyle name="20% - Accent4 2 2 2 4 2 2 2" xfId="16353"/>
    <cellStyle name="20% - Accent4 2 2 2 4 2 2 3" xfId="24794"/>
    <cellStyle name="20% - Accent4 2 2 2 4 2 2 4" xfId="33234"/>
    <cellStyle name="20% - Accent4 2 2 2 4 2 3" xfId="12135"/>
    <cellStyle name="20% - Accent4 2 2 2 4 2 4" xfId="20577"/>
    <cellStyle name="20% - Accent4 2 2 2 4 2 5" xfId="29017"/>
    <cellStyle name="20% - Accent4 2 2 2 4 3" xfId="5772"/>
    <cellStyle name="20% - Accent4 2 2 2 4 3 2" xfId="14208"/>
    <cellStyle name="20% - Accent4 2 2 2 4 3 3" xfId="22649"/>
    <cellStyle name="20% - Accent4 2 2 2 4 3 4" xfId="31089"/>
    <cellStyle name="20% - Accent4 2 2 2 4 4" xfId="9990"/>
    <cellStyle name="20% - Accent4 2 2 2 4 5" xfId="18432"/>
    <cellStyle name="20% - Accent4 2 2 2 4 6" xfId="26872"/>
    <cellStyle name="20% - Accent4 2 2 2 5" xfId="1878"/>
    <cellStyle name="20% - Accent4 2 2 2 5 2" xfId="4107"/>
    <cellStyle name="20% - Accent4 2 2 2 5 2 2" xfId="8330"/>
    <cellStyle name="20% - Accent4 2 2 2 5 2 2 2" xfId="16766"/>
    <cellStyle name="20% - Accent4 2 2 2 5 2 2 3" xfId="25207"/>
    <cellStyle name="20% - Accent4 2 2 2 5 2 2 4" xfId="33647"/>
    <cellStyle name="20% - Accent4 2 2 2 5 2 3" xfId="12548"/>
    <cellStyle name="20% - Accent4 2 2 2 5 2 4" xfId="20990"/>
    <cellStyle name="20% - Accent4 2 2 2 5 2 5" xfId="29430"/>
    <cellStyle name="20% - Accent4 2 2 2 5 3" xfId="6185"/>
    <cellStyle name="20% - Accent4 2 2 2 5 3 2" xfId="14621"/>
    <cellStyle name="20% - Accent4 2 2 2 5 3 3" xfId="23062"/>
    <cellStyle name="20% - Accent4 2 2 2 5 3 4" xfId="31502"/>
    <cellStyle name="20% - Accent4 2 2 2 5 4" xfId="10403"/>
    <cellStyle name="20% - Accent4 2 2 2 5 5" xfId="18845"/>
    <cellStyle name="20% - Accent4 2 2 2 5 6" xfId="27285"/>
    <cellStyle name="20% - Accent4 2 2 2 6" xfId="2291"/>
    <cellStyle name="20% - Accent4 2 2 2 6 2" xfId="6598"/>
    <cellStyle name="20% - Accent4 2 2 2 6 2 2" xfId="15034"/>
    <cellStyle name="20% - Accent4 2 2 2 6 2 3" xfId="23475"/>
    <cellStyle name="20% - Accent4 2 2 2 6 2 4" xfId="31915"/>
    <cellStyle name="20% - Accent4 2 2 2 6 3" xfId="10816"/>
    <cellStyle name="20% - Accent4 2 2 2 6 4" xfId="19258"/>
    <cellStyle name="20% - Accent4 2 2 2 6 5" xfId="27698"/>
    <cellStyle name="20% - Accent4 2 2 2 7" xfId="4532"/>
    <cellStyle name="20% - Accent4 2 2 2 7 2" xfId="12968"/>
    <cellStyle name="20% - Accent4 2 2 2 7 3" xfId="21409"/>
    <cellStyle name="20% - Accent4 2 2 2 7 4" xfId="29849"/>
    <cellStyle name="20% - Accent4 2 2 2 8" xfId="8750"/>
    <cellStyle name="20% - Accent4 2 2 2 9" xfId="17192"/>
    <cellStyle name="20% - Accent4 2 2 3" xfId="596"/>
    <cellStyle name="20% - Accent4 2 2 3 2" xfId="2867"/>
    <cellStyle name="20% - Accent4 2 2 3 2 2" xfId="7090"/>
    <cellStyle name="20% - Accent4 2 2 3 2 2 2" xfId="15526"/>
    <cellStyle name="20% - Accent4 2 2 3 2 2 3" xfId="23967"/>
    <cellStyle name="20% - Accent4 2 2 3 2 2 4" xfId="32407"/>
    <cellStyle name="20% - Accent4 2 2 3 2 3" xfId="11308"/>
    <cellStyle name="20% - Accent4 2 2 3 2 4" xfId="19750"/>
    <cellStyle name="20% - Accent4 2 2 3 2 5" xfId="28190"/>
    <cellStyle name="20% - Accent4 2 2 3 3" xfId="4945"/>
    <cellStyle name="20% - Accent4 2 2 3 3 2" xfId="13381"/>
    <cellStyle name="20% - Accent4 2 2 3 3 3" xfId="21822"/>
    <cellStyle name="20% - Accent4 2 2 3 3 4" xfId="30262"/>
    <cellStyle name="20% - Accent4 2 2 3 4" xfId="9163"/>
    <cellStyle name="20% - Accent4 2 2 3 5" xfId="17605"/>
    <cellStyle name="20% - Accent4 2 2 3 6" xfId="26045"/>
    <cellStyle name="20% - Accent4 2 2 4" xfId="1049"/>
    <cellStyle name="20% - Accent4 2 2 4 2" xfId="3280"/>
    <cellStyle name="20% - Accent4 2 2 4 2 2" xfId="7503"/>
    <cellStyle name="20% - Accent4 2 2 4 2 2 2" xfId="15939"/>
    <cellStyle name="20% - Accent4 2 2 4 2 2 3" xfId="24380"/>
    <cellStyle name="20% - Accent4 2 2 4 2 2 4" xfId="32820"/>
    <cellStyle name="20% - Accent4 2 2 4 2 3" xfId="11721"/>
    <cellStyle name="20% - Accent4 2 2 4 2 4" xfId="20163"/>
    <cellStyle name="20% - Accent4 2 2 4 2 5" xfId="28603"/>
    <cellStyle name="20% - Accent4 2 2 4 3" xfId="5358"/>
    <cellStyle name="20% - Accent4 2 2 4 3 2" xfId="13794"/>
    <cellStyle name="20% - Accent4 2 2 4 3 3" xfId="22235"/>
    <cellStyle name="20% - Accent4 2 2 4 3 4" xfId="30675"/>
    <cellStyle name="20% - Accent4 2 2 4 4" xfId="9576"/>
    <cellStyle name="20% - Accent4 2 2 4 5" xfId="18018"/>
    <cellStyle name="20% - Accent4 2 2 4 6" xfId="26458"/>
    <cellStyle name="20% - Accent4 2 2 5" xfId="1463"/>
    <cellStyle name="20% - Accent4 2 2 5 2" xfId="3693"/>
    <cellStyle name="20% - Accent4 2 2 5 2 2" xfId="7916"/>
    <cellStyle name="20% - Accent4 2 2 5 2 2 2" xfId="16352"/>
    <cellStyle name="20% - Accent4 2 2 5 2 2 3" xfId="24793"/>
    <cellStyle name="20% - Accent4 2 2 5 2 2 4" xfId="33233"/>
    <cellStyle name="20% - Accent4 2 2 5 2 3" xfId="12134"/>
    <cellStyle name="20% - Accent4 2 2 5 2 4" xfId="20576"/>
    <cellStyle name="20% - Accent4 2 2 5 2 5" xfId="29016"/>
    <cellStyle name="20% - Accent4 2 2 5 3" xfId="5771"/>
    <cellStyle name="20% - Accent4 2 2 5 3 2" xfId="14207"/>
    <cellStyle name="20% - Accent4 2 2 5 3 3" xfId="22648"/>
    <cellStyle name="20% - Accent4 2 2 5 3 4" xfId="31088"/>
    <cellStyle name="20% - Accent4 2 2 5 4" xfId="9989"/>
    <cellStyle name="20% - Accent4 2 2 5 5" xfId="18431"/>
    <cellStyle name="20% - Accent4 2 2 5 6" xfId="26871"/>
    <cellStyle name="20% - Accent4 2 2 6" xfId="1877"/>
    <cellStyle name="20% - Accent4 2 2 6 2" xfId="4106"/>
    <cellStyle name="20% - Accent4 2 2 6 2 2" xfId="8329"/>
    <cellStyle name="20% - Accent4 2 2 6 2 2 2" xfId="16765"/>
    <cellStyle name="20% - Accent4 2 2 6 2 2 3" xfId="25206"/>
    <cellStyle name="20% - Accent4 2 2 6 2 2 4" xfId="33646"/>
    <cellStyle name="20% - Accent4 2 2 6 2 3" xfId="12547"/>
    <cellStyle name="20% - Accent4 2 2 6 2 4" xfId="20989"/>
    <cellStyle name="20% - Accent4 2 2 6 2 5" xfId="29429"/>
    <cellStyle name="20% - Accent4 2 2 6 3" xfId="6184"/>
    <cellStyle name="20% - Accent4 2 2 6 3 2" xfId="14620"/>
    <cellStyle name="20% - Accent4 2 2 6 3 3" xfId="23061"/>
    <cellStyle name="20% - Accent4 2 2 6 3 4" xfId="31501"/>
    <cellStyle name="20% - Accent4 2 2 6 4" xfId="10402"/>
    <cellStyle name="20% - Accent4 2 2 6 5" xfId="18844"/>
    <cellStyle name="20% - Accent4 2 2 6 6" xfId="27284"/>
    <cellStyle name="20% - Accent4 2 2 7" xfId="2290"/>
    <cellStyle name="20% - Accent4 2 2 7 2" xfId="6597"/>
    <cellStyle name="20% - Accent4 2 2 7 2 2" xfId="15033"/>
    <cellStyle name="20% - Accent4 2 2 7 2 3" xfId="23474"/>
    <cellStyle name="20% - Accent4 2 2 7 2 4" xfId="31914"/>
    <cellStyle name="20% - Accent4 2 2 7 3" xfId="10815"/>
    <cellStyle name="20% - Accent4 2 2 7 4" xfId="19257"/>
    <cellStyle name="20% - Accent4 2 2 7 5" xfId="27697"/>
    <cellStyle name="20% - Accent4 2 2 8" xfId="4531"/>
    <cellStyle name="20% - Accent4 2 2 8 2" xfId="12967"/>
    <cellStyle name="20% - Accent4 2 2 8 3" xfId="21408"/>
    <cellStyle name="20% - Accent4 2 2 8 4" xfId="29848"/>
    <cellStyle name="20% - Accent4 2 2 9" xfId="8749"/>
    <cellStyle name="20% - Accent4 2 3" xfId="29"/>
    <cellStyle name="20% - Accent4 2 3 10" xfId="25633"/>
    <cellStyle name="20% - Accent4 2 3 2" xfId="598"/>
    <cellStyle name="20% - Accent4 2 3 2 2" xfId="2869"/>
    <cellStyle name="20% - Accent4 2 3 2 2 2" xfId="7092"/>
    <cellStyle name="20% - Accent4 2 3 2 2 2 2" xfId="15528"/>
    <cellStyle name="20% - Accent4 2 3 2 2 2 3" xfId="23969"/>
    <cellStyle name="20% - Accent4 2 3 2 2 2 4" xfId="32409"/>
    <cellStyle name="20% - Accent4 2 3 2 2 3" xfId="11310"/>
    <cellStyle name="20% - Accent4 2 3 2 2 4" xfId="19752"/>
    <cellStyle name="20% - Accent4 2 3 2 2 5" xfId="28192"/>
    <cellStyle name="20% - Accent4 2 3 2 3" xfId="4947"/>
    <cellStyle name="20% - Accent4 2 3 2 3 2" xfId="13383"/>
    <cellStyle name="20% - Accent4 2 3 2 3 3" xfId="21824"/>
    <cellStyle name="20% - Accent4 2 3 2 3 4" xfId="30264"/>
    <cellStyle name="20% - Accent4 2 3 2 4" xfId="9165"/>
    <cellStyle name="20% - Accent4 2 3 2 5" xfId="17607"/>
    <cellStyle name="20% - Accent4 2 3 2 6" xfId="26047"/>
    <cellStyle name="20% - Accent4 2 3 3" xfId="1051"/>
    <cellStyle name="20% - Accent4 2 3 3 2" xfId="3282"/>
    <cellStyle name="20% - Accent4 2 3 3 2 2" xfId="7505"/>
    <cellStyle name="20% - Accent4 2 3 3 2 2 2" xfId="15941"/>
    <cellStyle name="20% - Accent4 2 3 3 2 2 3" xfId="24382"/>
    <cellStyle name="20% - Accent4 2 3 3 2 2 4" xfId="32822"/>
    <cellStyle name="20% - Accent4 2 3 3 2 3" xfId="11723"/>
    <cellStyle name="20% - Accent4 2 3 3 2 4" xfId="20165"/>
    <cellStyle name="20% - Accent4 2 3 3 2 5" xfId="28605"/>
    <cellStyle name="20% - Accent4 2 3 3 3" xfId="5360"/>
    <cellStyle name="20% - Accent4 2 3 3 3 2" xfId="13796"/>
    <cellStyle name="20% - Accent4 2 3 3 3 3" xfId="22237"/>
    <cellStyle name="20% - Accent4 2 3 3 3 4" xfId="30677"/>
    <cellStyle name="20% - Accent4 2 3 3 4" xfId="9578"/>
    <cellStyle name="20% - Accent4 2 3 3 5" xfId="18020"/>
    <cellStyle name="20% - Accent4 2 3 3 6" xfId="26460"/>
    <cellStyle name="20% - Accent4 2 3 4" xfId="1465"/>
    <cellStyle name="20% - Accent4 2 3 4 2" xfId="3695"/>
    <cellStyle name="20% - Accent4 2 3 4 2 2" xfId="7918"/>
    <cellStyle name="20% - Accent4 2 3 4 2 2 2" xfId="16354"/>
    <cellStyle name="20% - Accent4 2 3 4 2 2 3" xfId="24795"/>
    <cellStyle name="20% - Accent4 2 3 4 2 2 4" xfId="33235"/>
    <cellStyle name="20% - Accent4 2 3 4 2 3" xfId="12136"/>
    <cellStyle name="20% - Accent4 2 3 4 2 4" xfId="20578"/>
    <cellStyle name="20% - Accent4 2 3 4 2 5" xfId="29018"/>
    <cellStyle name="20% - Accent4 2 3 4 3" xfId="5773"/>
    <cellStyle name="20% - Accent4 2 3 4 3 2" xfId="14209"/>
    <cellStyle name="20% - Accent4 2 3 4 3 3" xfId="22650"/>
    <cellStyle name="20% - Accent4 2 3 4 3 4" xfId="31090"/>
    <cellStyle name="20% - Accent4 2 3 4 4" xfId="9991"/>
    <cellStyle name="20% - Accent4 2 3 4 5" xfId="18433"/>
    <cellStyle name="20% - Accent4 2 3 4 6" xfId="26873"/>
    <cellStyle name="20% - Accent4 2 3 5" xfId="1879"/>
    <cellStyle name="20% - Accent4 2 3 5 2" xfId="4108"/>
    <cellStyle name="20% - Accent4 2 3 5 2 2" xfId="8331"/>
    <cellStyle name="20% - Accent4 2 3 5 2 2 2" xfId="16767"/>
    <cellStyle name="20% - Accent4 2 3 5 2 2 3" xfId="25208"/>
    <cellStyle name="20% - Accent4 2 3 5 2 2 4" xfId="33648"/>
    <cellStyle name="20% - Accent4 2 3 5 2 3" xfId="12549"/>
    <cellStyle name="20% - Accent4 2 3 5 2 4" xfId="20991"/>
    <cellStyle name="20% - Accent4 2 3 5 2 5" xfId="29431"/>
    <cellStyle name="20% - Accent4 2 3 5 3" xfId="6186"/>
    <cellStyle name="20% - Accent4 2 3 5 3 2" xfId="14622"/>
    <cellStyle name="20% - Accent4 2 3 5 3 3" xfId="23063"/>
    <cellStyle name="20% - Accent4 2 3 5 3 4" xfId="31503"/>
    <cellStyle name="20% - Accent4 2 3 5 4" xfId="10404"/>
    <cellStyle name="20% - Accent4 2 3 5 5" xfId="18846"/>
    <cellStyle name="20% - Accent4 2 3 5 6" xfId="27286"/>
    <cellStyle name="20% - Accent4 2 3 6" xfId="2292"/>
    <cellStyle name="20% - Accent4 2 3 6 2" xfId="6599"/>
    <cellStyle name="20% - Accent4 2 3 6 2 2" xfId="15035"/>
    <cellStyle name="20% - Accent4 2 3 6 2 3" xfId="23476"/>
    <cellStyle name="20% - Accent4 2 3 6 2 4" xfId="31916"/>
    <cellStyle name="20% - Accent4 2 3 6 3" xfId="10817"/>
    <cellStyle name="20% - Accent4 2 3 6 4" xfId="19259"/>
    <cellStyle name="20% - Accent4 2 3 6 5" xfId="27699"/>
    <cellStyle name="20% - Accent4 2 3 7" xfId="4533"/>
    <cellStyle name="20% - Accent4 2 3 7 2" xfId="12969"/>
    <cellStyle name="20% - Accent4 2 3 7 3" xfId="21410"/>
    <cellStyle name="20% - Accent4 2 3 7 4" xfId="29850"/>
    <cellStyle name="20% - Accent4 2 3 8" xfId="8751"/>
    <cellStyle name="20% - Accent4 2 3 9" xfId="17193"/>
    <cellStyle name="20% - Accent4 2 4" xfId="595"/>
    <cellStyle name="20% - Accent4 2 4 2" xfId="2866"/>
    <cellStyle name="20% - Accent4 2 4 2 2" xfId="7089"/>
    <cellStyle name="20% - Accent4 2 4 2 2 2" xfId="15525"/>
    <cellStyle name="20% - Accent4 2 4 2 2 3" xfId="23966"/>
    <cellStyle name="20% - Accent4 2 4 2 2 4" xfId="32406"/>
    <cellStyle name="20% - Accent4 2 4 2 3" xfId="11307"/>
    <cellStyle name="20% - Accent4 2 4 2 4" xfId="19749"/>
    <cellStyle name="20% - Accent4 2 4 2 5" xfId="28189"/>
    <cellStyle name="20% - Accent4 2 4 3" xfId="4944"/>
    <cellStyle name="20% - Accent4 2 4 3 2" xfId="13380"/>
    <cellStyle name="20% - Accent4 2 4 3 3" xfId="21821"/>
    <cellStyle name="20% - Accent4 2 4 3 4" xfId="30261"/>
    <cellStyle name="20% - Accent4 2 4 4" xfId="9162"/>
    <cellStyle name="20% - Accent4 2 4 5" xfId="17604"/>
    <cellStyle name="20% - Accent4 2 4 6" xfId="26044"/>
    <cellStyle name="20% - Accent4 2 5" xfId="1048"/>
    <cellStyle name="20% - Accent4 2 5 2" xfId="3279"/>
    <cellStyle name="20% - Accent4 2 5 2 2" xfId="7502"/>
    <cellStyle name="20% - Accent4 2 5 2 2 2" xfId="15938"/>
    <cellStyle name="20% - Accent4 2 5 2 2 3" xfId="24379"/>
    <cellStyle name="20% - Accent4 2 5 2 2 4" xfId="32819"/>
    <cellStyle name="20% - Accent4 2 5 2 3" xfId="11720"/>
    <cellStyle name="20% - Accent4 2 5 2 4" xfId="20162"/>
    <cellStyle name="20% - Accent4 2 5 2 5" xfId="28602"/>
    <cellStyle name="20% - Accent4 2 5 3" xfId="5357"/>
    <cellStyle name="20% - Accent4 2 5 3 2" xfId="13793"/>
    <cellStyle name="20% - Accent4 2 5 3 3" xfId="22234"/>
    <cellStyle name="20% - Accent4 2 5 3 4" xfId="30674"/>
    <cellStyle name="20% - Accent4 2 5 4" xfId="9575"/>
    <cellStyle name="20% - Accent4 2 5 5" xfId="18017"/>
    <cellStyle name="20% - Accent4 2 5 6" xfId="26457"/>
    <cellStyle name="20% - Accent4 2 6" xfId="1462"/>
    <cellStyle name="20% - Accent4 2 6 2" xfId="3692"/>
    <cellStyle name="20% - Accent4 2 6 2 2" xfId="7915"/>
    <cellStyle name="20% - Accent4 2 6 2 2 2" xfId="16351"/>
    <cellStyle name="20% - Accent4 2 6 2 2 3" xfId="24792"/>
    <cellStyle name="20% - Accent4 2 6 2 2 4" xfId="33232"/>
    <cellStyle name="20% - Accent4 2 6 2 3" xfId="12133"/>
    <cellStyle name="20% - Accent4 2 6 2 4" xfId="20575"/>
    <cellStyle name="20% - Accent4 2 6 2 5" xfId="29015"/>
    <cellStyle name="20% - Accent4 2 6 3" xfId="5770"/>
    <cellStyle name="20% - Accent4 2 6 3 2" xfId="14206"/>
    <cellStyle name="20% - Accent4 2 6 3 3" xfId="22647"/>
    <cellStyle name="20% - Accent4 2 6 3 4" xfId="31087"/>
    <cellStyle name="20% - Accent4 2 6 4" xfId="9988"/>
    <cellStyle name="20% - Accent4 2 6 5" xfId="18430"/>
    <cellStyle name="20% - Accent4 2 6 6" xfId="26870"/>
    <cellStyle name="20% - Accent4 2 7" xfId="1876"/>
    <cellStyle name="20% - Accent4 2 7 2" xfId="4105"/>
    <cellStyle name="20% - Accent4 2 7 2 2" xfId="8328"/>
    <cellStyle name="20% - Accent4 2 7 2 2 2" xfId="16764"/>
    <cellStyle name="20% - Accent4 2 7 2 2 3" xfId="25205"/>
    <cellStyle name="20% - Accent4 2 7 2 2 4" xfId="33645"/>
    <cellStyle name="20% - Accent4 2 7 2 3" xfId="12546"/>
    <cellStyle name="20% - Accent4 2 7 2 4" xfId="20988"/>
    <cellStyle name="20% - Accent4 2 7 2 5" xfId="29428"/>
    <cellStyle name="20% - Accent4 2 7 3" xfId="6183"/>
    <cellStyle name="20% - Accent4 2 7 3 2" xfId="14619"/>
    <cellStyle name="20% - Accent4 2 7 3 3" xfId="23060"/>
    <cellStyle name="20% - Accent4 2 7 3 4" xfId="31500"/>
    <cellStyle name="20% - Accent4 2 7 4" xfId="10401"/>
    <cellStyle name="20% - Accent4 2 7 5" xfId="18843"/>
    <cellStyle name="20% - Accent4 2 7 6" xfId="27283"/>
    <cellStyle name="20% - Accent4 2 8" xfId="2289"/>
    <cellStyle name="20% - Accent4 2 8 2" xfId="6596"/>
    <cellStyle name="20% - Accent4 2 8 2 2" xfId="15032"/>
    <cellStyle name="20% - Accent4 2 8 2 3" xfId="23473"/>
    <cellStyle name="20% - Accent4 2 8 2 4" xfId="31913"/>
    <cellStyle name="20% - Accent4 2 8 3" xfId="10814"/>
    <cellStyle name="20% - Accent4 2 8 4" xfId="19256"/>
    <cellStyle name="20% - Accent4 2 8 5" xfId="27696"/>
    <cellStyle name="20% - Accent4 2 9" xfId="4530"/>
    <cellStyle name="20% - Accent4 2 9 2" xfId="12966"/>
    <cellStyle name="20% - Accent4 2 9 3" xfId="21407"/>
    <cellStyle name="20% - Accent4 2 9 4" xfId="29847"/>
    <cellStyle name="20% - Accent4 3" xfId="30"/>
    <cellStyle name="20% - Accent4 3 10" xfId="17194"/>
    <cellStyle name="20% - Accent4 3 11" xfId="25634"/>
    <cellStyle name="20% - Accent4 3 2" xfId="31"/>
    <cellStyle name="20% - Accent4 3 2 10" xfId="25635"/>
    <cellStyle name="20% - Accent4 3 2 2" xfId="600"/>
    <cellStyle name="20% - Accent4 3 2 2 2" xfId="2871"/>
    <cellStyle name="20% - Accent4 3 2 2 2 2" xfId="7094"/>
    <cellStyle name="20% - Accent4 3 2 2 2 2 2" xfId="15530"/>
    <cellStyle name="20% - Accent4 3 2 2 2 2 3" xfId="23971"/>
    <cellStyle name="20% - Accent4 3 2 2 2 2 4" xfId="32411"/>
    <cellStyle name="20% - Accent4 3 2 2 2 3" xfId="11312"/>
    <cellStyle name="20% - Accent4 3 2 2 2 4" xfId="19754"/>
    <cellStyle name="20% - Accent4 3 2 2 2 5" xfId="28194"/>
    <cellStyle name="20% - Accent4 3 2 2 3" xfId="4949"/>
    <cellStyle name="20% - Accent4 3 2 2 3 2" xfId="13385"/>
    <cellStyle name="20% - Accent4 3 2 2 3 3" xfId="21826"/>
    <cellStyle name="20% - Accent4 3 2 2 3 4" xfId="30266"/>
    <cellStyle name="20% - Accent4 3 2 2 4" xfId="9167"/>
    <cellStyle name="20% - Accent4 3 2 2 5" xfId="17609"/>
    <cellStyle name="20% - Accent4 3 2 2 6" xfId="26049"/>
    <cellStyle name="20% - Accent4 3 2 3" xfId="1053"/>
    <cellStyle name="20% - Accent4 3 2 3 2" xfId="3284"/>
    <cellStyle name="20% - Accent4 3 2 3 2 2" xfId="7507"/>
    <cellStyle name="20% - Accent4 3 2 3 2 2 2" xfId="15943"/>
    <cellStyle name="20% - Accent4 3 2 3 2 2 3" xfId="24384"/>
    <cellStyle name="20% - Accent4 3 2 3 2 2 4" xfId="32824"/>
    <cellStyle name="20% - Accent4 3 2 3 2 3" xfId="11725"/>
    <cellStyle name="20% - Accent4 3 2 3 2 4" xfId="20167"/>
    <cellStyle name="20% - Accent4 3 2 3 2 5" xfId="28607"/>
    <cellStyle name="20% - Accent4 3 2 3 3" xfId="5362"/>
    <cellStyle name="20% - Accent4 3 2 3 3 2" xfId="13798"/>
    <cellStyle name="20% - Accent4 3 2 3 3 3" xfId="22239"/>
    <cellStyle name="20% - Accent4 3 2 3 3 4" xfId="30679"/>
    <cellStyle name="20% - Accent4 3 2 3 4" xfId="9580"/>
    <cellStyle name="20% - Accent4 3 2 3 5" xfId="18022"/>
    <cellStyle name="20% - Accent4 3 2 3 6" xfId="26462"/>
    <cellStyle name="20% - Accent4 3 2 4" xfId="1467"/>
    <cellStyle name="20% - Accent4 3 2 4 2" xfId="3697"/>
    <cellStyle name="20% - Accent4 3 2 4 2 2" xfId="7920"/>
    <cellStyle name="20% - Accent4 3 2 4 2 2 2" xfId="16356"/>
    <cellStyle name="20% - Accent4 3 2 4 2 2 3" xfId="24797"/>
    <cellStyle name="20% - Accent4 3 2 4 2 2 4" xfId="33237"/>
    <cellStyle name="20% - Accent4 3 2 4 2 3" xfId="12138"/>
    <cellStyle name="20% - Accent4 3 2 4 2 4" xfId="20580"/>
    <cellStyle name="20% - Accent4 3 2 4 2 5" xfId="29020"/>
    <cellStyle name="20% - Accent4 3 2 4 3" xfId="5775"/>
    <cellStyle name="20% - Accent4 3 2 4 3 2" xfId="14211"/>
    <cellStyle name="20% - Accent4 3 2 4 3 3" xfId="22652"/>
    <cellStyle name="20% - Accent4 3 2 4 3 4" xfId="31092"/>
    <cellStyle name="20% - Accent4 3 2 4 4" xfId="9993"/>
    <cellStyle name="20% - Accent4 3 2 4 5" xfId="18435"/>
    <cellStyle name="20% - Accent4 3 2 4 6" xfId="26875"/>
    <cellStyle name="20% - Accent4 3 2 5" xfId="1881"/>
    <cellStyle name="20% - Accent4 3 2 5 2" xfId="4110"/>
    <cellStyle name="20% - Accent4 3 2 5 2 2" xfId="8333"/>
    <cellStyle name="20% - Accent4 3 2 5 2 2 2" xfId="16769"/>
    <cellStyle name="20% - Accent4 3 2 5 2 2 3" xfId="25210"/>
    <cellStyle name="20% - Accent4 3 2 5 2 2 4" xfId="33650"/>
    <cellStyle name="20% - Accent4 3 2 5 2 3" xfId="12551"/>
    <cellStyle name="20% - Accent4 3 2 5 2 4" xfId="20993"/>
    <cellStyle name="20% - Accent4 3 2 5 2 5" xfId="29433"/>
    <cellStyle name="20% - Accent4 3 2 5 3" xfId="6188"/>
    <cellStyle name="20% - Accent4 3 2 5 3 2" xfId="14624"/>
    <cellStyle name="20% - Accent4 3 2 5 3 3" xfId="23065"/>
    <cellStyle name="20% - Accent4 3 2 5 3 4" xfId="31505"/>
    <cellStyle name="20% - Accent4 3 2 5 4" xfId="10406"/>
    <cellStyle name="20% - Accent4 3 2 5 5" xfId="18848"/>
    <cellStyle name="20% - Accent4 3 2 5 6" xfId="27288"/>
    <cellStyle name="20% - Accent4 3 2 6" xfId="2294"/>
    <cellStyle name="20% - Accent4 3 2 6 2" xfId="6601"/>
    <cellStyle name="20% - Accent4 3 2 6 2 2" xfId="15037"/>
    <cellStyle name="20% - Accent4 3 2 6 2 3" xfId="23478"/>
    <cellStyle name="20% - Accent4 3 2 6 2 4" xfId="31918"/>
    <cellStyle name="20% - Accent4 3 2 6 3" xfId="10819"/>
    <cellStyle name="20% - Accent4 3 2 6 4" xfId="19261"/>
    <cellStyle name="20% - Accent4 3 2 6 5" xfId="27701"/>
    <cellStyle name="20% - Accent4 3 2 7" xfId="4535"/>
    <cellStyle name="20% - Accent4 3 2 7 2" xfId="12971"/>
    <cellStyle name="20% - Accent4 3 2 7 3" xfId="21412"/>
    <cellStyle name="20% - Accent4 3 2 7 4" xfId="29852"/>
    <cellStyle name="20% - Accent4 3 2 8" xfId="8753"/>
    <cellStyle name="20% - Accent4 3 2 9" xfId="17195"/>
    <cellStyle name="20% - Accent4 3 3" xfId="599"/>
    <cellStyle name="20% - Accent4 3 3 2" xfId="2870"/>
    <cellStyle name="20% - Accent4 3 3 2 2" xfId="7093"/>
    <cellStyle name="20% - Accent4 3 3 2 2 2" xfId="15529"/>
    <cellStyle name="20% - Accent4 3 3 2 2 3" xfId="23970"/>
    <cellStyle name="20% - Accent4 3 3 2 2 4" xfId="32410"/>
    <cellStyle name="20% - Accent4 3 3 2 3" xfId="11311"/>
    <cellStyle name="20% - Accent4 3 3 2 4" xfId="19753"/>
    <cellStyle name="20% - Accent4 3 3 2 5" xfId="28193"/>
    <cellStyle name="20% - Accent4 3 3 3" xfId="4948"/>
    <cellStyle name="20% - Accent4 3 3 3 2" xfId="13384"/>
    <cellStyle name="20% - Accent4 3 3 3 3" xfId="21825"/>
    <cellStyle name="20% - Accent4 3 3 3 4" xfId="30265"/>
    <cellStyle name="20% - Accent4 3 3 4" xfId="9166"/>
    <cellStyle name="20% - Accent4 3 3 5" xfId="17608"/>
    <cellStyle name="20% - Accent4 3 3 6" xfId="26048"/>
    <cellStyle name="20% - Accent4 3 4" xfId="1052"/>
    <cellStyle name="20% - Accent4 3 4 2" xfId="3283"/>
    <cellStyle name="20% - Accent4 3 4 2 2" xfId="7506"/>
    <cellStyle name="20% - Accent4 3 4 2 2 2" xfId="15942"/>
    <cellStyle name="20% - Accent4 3 4 2 2 3" xfId="24383"/>
    <cellStyle name="20% - Accent4 3 4 2 2 4" xfId="32823"/>
    <cellStyle name="20% - Accent4 3 4 2 3" xfId="11724"/>
    <cellStyle name="20% - Accent4 3 4 2 4" xfId="20166"/>
    <cellStyle name="20% - Accent4 3 4 2 5" xfId="28606"/>
    <cellStyle name="20% - Accent4 3 4 3" xfId="5361"/>
    <cellStyle name="20% - Accent4 3 4 3 2" xfId="13797"/>
    <cellStyle name="20% - Accent4 3 4 3 3" xfId="22238"/>
    <cellStyle name="20% - Accent4 3 4 3 4" xfId="30678"/>
    <cellStyle name="20% - Accent4 3 4 4" xfId="9579"/>
    <cellStyle name="20% - Accent4 3 4 5" xfId="18021"/>
    <cellStyle name="20% - Accent4 3 4 6" xfId="26461"/>
    <cellStyle name="20% - Accent4 3 5" xfId="1466"/>
    <cellStyle name="20% - Accent4 3 5 2" xfId="3696"/>
    <cellStyle name="20% - Accent4 3 5 2 2" xfId="7919"/>
    <cellStyle name="20% - Accent4 3 5 2 2 2" xfId="16355"/>
    <cellStyle name="20% - Accent4 3 5 2 2 3" xfId="24796"/>
    <cellStyle name="20% - Accent4 3 5 2 2 4" xfId="33236"/>
    <cellStyle name="20% - Accent4 3 5 2 3" xfId="12137"/>
    <cellStyle name="20% - Accent4 3 5 2 4" xfId="20579"/>
    <cellStyle name="20% - Accent4 3 5 2 5" xfId="29019"/>
    <cellStyle name="20% - Accent4 3 5 3" xfId="5774"/>
    <cellStyle name="20% - Accent4 3 5 3 2" xfId="14210"/>
    <cellStyle name="20% - Accent4 3 5 3 3" xfId="22651"/>
    <cellStyle name="20% - Accent4 3 5 3 4" xfId="31091"/>
    <cellStyle name="20% - Accent4 3 5 4" xfId="9992"/>
    <cellStyle name="20% - Accent4 3 5 5" xfId="18434"/>
    <cellStyle name="20% - Accent4 3 5 6" xfId="26874"/>
    <cellStyle name="20% - Accent4 3 6" xfId="1880"/>
    <cellStyle name="20% - Accent4 3 6 2" xfId="4109"/>
    <cellStyle name="20% - Accent4 3 6 2 2" xfId="8332"/>
    <cellStyle name="20% - Accent4 3 6 2 2 2" xfId="16768"/>
    <cellStyle name="20% - Accent4 3 6 2 2 3" xfId="25209"/>
    <cellStyle name="20% - Accent4 3 6 2 2 4" xfId="33649"/>
    <cellStyle name="20% - Accent4 3 6 2 3" xfId="12550"/>
    <cellStyle name="20% - Accent4 3 6 2 4" xfId="20992"/>
    <cellStyle name="20% - Accent4 3 6 2 5" xfId="29432"/>
    <cellStyle name="20% - Accent4 3 6 3" xfId="6187"/>
    <cellStyle name="20% - Accent4 3 6 3 2" xfId="14623"/>
    <cellStyle name="20% - Accent4 3 6 3 3" xfId="23064"/>
    <cellStyle name="20% - Accent4 3 6 3 4" xfId="31504"/>
    <cellStyle name="20% - Accent4 3 6 4" xfId="10405"/>
    <cellStyle name="20% - Accent4 3 6 5" xfId="18847"/>
    <cellStyle name="20% - Accent4 3 6 6" xfId="27287"/>
    <cellStyle name="20% - Accent4 3 7" xfId="2293"/>
    <cellStyle name="20% - Accent4 3 7 2" xfId="6600"/>
    <cellStyle name="20% - Accent4 3 7 2 2" xfId="15036"/>
    <cellStyle name="20% - Accent4 3 7 2 3" xfId="23477"/>
    <cellStyle name="20% - Accent4 3 7 2 4" xfId="31917"/>
    <cellStyle name="20% - Accent4 3 7 3" xfId="10818"/>
    <cellStyle name="20% - Accent4 3 7 4" xfId="19260"/>
    <cellStyle name="20% - Accent4 3 7 5" xfId="27700"/>
    <cellStyle name="20% - Accent4 3 8" xfId="4534"/>
    <cellStyle name="20% - Accent4 3 8 2" xfId="12970"/>
    <cellStyle name="20% - Accent4 3 8 3" xfId="21411"/>
    <cellStyle name="20% - Accent4 3 8 4" xfId="29851"/>
    <cellStyle name="20% - Accent4 3 9" xfId="8752"/>
    <cellStyle name="20% - Accent4 4" xfId="32"/>
    <cellStyle name="20% - Accent4 4 10" xfId="25636"/>
    <cellStyle name="20% - Accent4 4 2" xfId="601"/>
    <cellStyle name="20% - Accent4 4 2 2" xfId="2872"/>
    <cellStyle name="20% - Accent4 4 2 2 2" xfId="7095"/>
    <cellStyle name="20% - Accent4 4 2 2 2 2" xfId="15531"/>
    <cellStyle name="20% - Accent4 4 2 2 2 3" xfId="23972"/>
    <cellStyle name="20% - Accent4 4 2 2 2 4" xfId="32412"/>
    <cellStyle name="20% - Accent4 4 2 2 3" xfId="11313"/>
    <cellStyle name="20% - Accent4 4 2 2 4" xfId="19755"/>
    <cellStyle name="20% - Accent4 4 2 2 5" xfId="28195"/>
    <cellStyle name="20% - Accent4 4 2 3" xfId="4950"/>
    <cellStyle name="20% - Accent4 4 2 3 2" xfId="13386"/>
    <cellStyle name="20% - Accent4 4 2 3 3" xfId="21827"/>
    <cellStyle name="20% - Accent4 4 2 3 4" xfId="30267"/>
    <cellStyle name="20% - Accent4 4 2 4" xfId="9168"/>
    <cellStyle name="20% - Accent4 4 2 5" xfId="17610"/>
    <cellStyle name="20% - Accent4 4 2 6" xfId="26050"/>
    <cellStyle name="20% - Accent4 4 3" xfId="1054"/>
    <cellStyle name="20% - Accent4 4 3 2" xfId="3285"/>
    <cellStyle name="20% - Accent4 4 3 2 2" xfId="7508"/>
    <cellStyle name="20% - Accent4 4 3 2 2 2" xfId="15944"/>
    <cellStyle name="20% - Accent4 4 3 2 2 3" xfId="24385"/>
    <cellStyle name="20% - Accent4 4 3 2 2 4" xfId="32825"/>
    <cellStyle name="20% - Accent4 4 3 2 3" xfId="11726"/>
    <cellStyle name="20% - Accent4 4 3 2 4" xfId="20168"/>
    <cellStyle name="20% - Accent4 4 3 2 5" xfId="28608"/>
    <cellStyle name="20% - Accent4 4 3 3" xfId="5363"/>
    <cellStyle name="20% - Accent4 4 3 3 2" xfId="13799"/>
    <cellStyle name="20% - Accent4 4 3 3 3" xfId="22240"/>
    <cellStyle name="20% - Accent4 4 3 3 4" xfId="30680"/>
    <cellStyle name="20% - Accent4 4 3 4" xfId="9581"/>
    <cellStyle name="20% - Accent4 4 3 5" xfId="18023"/>
    <cellStyle name="20% - Accent4 4 3 6" xfId="26463"/>
    <cellStyle name="20% - Accent4 4 4" xfId="1468"/>
    <cellStyle name="20% - Accent4 4 4 2" xfId="3698"/>
    <cellStyle name="20% - Accent4 4 4 2 2" xfId="7921"/>
    <cellStyle name="20% - Accent4 4 4 2 2 2" xfId="16357"/>
    <cellStyle name="20% - Accent4 4 4 2 2 3" xfId="24798"/>
    <cellStyle name="20% - Accent4 4 4 2 2 4" xfId="33238"/>
    <cellStyle name="20% - Accent4 4 4 2 3" xfId="12139"/>
    <cellStyle name="20% - Accent4 4 4 2 4" xfId="20581"/>
    <cellStyle name="20% - Accent4 4 4 2 5" xfId="29021"/>
    <cellStyle name="20% - Accent4 4 4 3" xfId="5776"/>
    <cellStyle name="20% - Accent4 4 4 3 2" xfId="14212"/>
    <cellStyle name="20% - Accent4 4 4 3 3" xfId="22653"/>
    <cellStyle name="20% - Accent4 4 4 3 4" xfId="31093"/>
    <cellStyle name="20% - Accent4 4 4 4" xfId="9994"/>
    <cellStyle name="20% - Accent4 4 4 5" xfId="18436"/>
    <cellStyle name="20% - Accent4 4 4 6" xfId="26876"/>
    <cellStyle name="20% - Accent4 4 5" xfId="1882"/>
    <cellStyle name="20% - Accent4 4 5 2" xfId="4111"/>
    <cellStyle name="20% - Accent4 4 5 2 2" xfId="8334"/>
    <cellStyle name="20% - Accent4 4 5 2 2 2" xfId="16770"/>
    <cellStyle name="20% - Accent4 4 5 2 2 3" xfId="25211"/>
    <cellStyle name="20% - Accent4 4 5 2 2 4" xfId="33651"/>
    <cellStyle name="20% - Accent4 4 5 2 3" xfId="12552"/>
    <cellStyle name="20% - Accent4 4 5 2 4" xfId="20994"/>
    <cellStyle name="20% - Accent4 4 5 2 5" xfId="29434"/>
    <cellStyle name="20% - Accent4 4 5 3" xfId="6189"/>
    <cellStyle name="20% - Accent4 4 5 3 2" xfId="14625"/>
    <cellStyle name="20% - Accent4 4 5 3 3" xfId="23066"/>
    <cellStyle name="20% - Accent4 4 5 3 4" xfId="31506"/>
    <cellStyle name="20% - Accent4 4 5 4" xfId="10407"/>
    <cellStyle name="20% - Accent4 4 5 5" xfId="18849"/>
    <cellStyle name="20% - Accent4 4 5 6" xfId="27289"/>
    <cellStyle name="20% - Accent4 4 6" xfId="2295"/>
    <cellStyle name="20% - Accent4 4 6 2" xfId="6602"/>
    <cellStyle name="20% - Accent4 4 6 2 2" xfId="15038"/>
    <cellStyle name="20% - Accent4 4 6 2 3" xfId="23479"/>
    <cellStyle name="20% - Accent4 4 6 2 4" xfId="31919"/>
    <cellStyle name="20% - Accent4 4 6 3" xfId="10820"/>
    <cellStyle name="20% - Accent4 4 6 4" xfId="19262"/>
    <cellStyle name="20% - Accent4 4 6 5" xfId="27702"/>
    <cellStyle name="20% - Accent4 4 7" xfId="4536"/>
    <cellStyle name="20% - Accent4 4 7 2" xfId="12972"/>
    <cellStyle name="20% - Accent4 4 7 3" xfId="21413"/>
    <cellStyle name="20% - Accent4 4 7 4" xfId="29853"/>
    <cellStyle name="20% - Accent4 4 8" xfId="8754"/>
    <cellStyle name="20% - Accent4 4 9" xfId="17196"/>
    <cellStyle name="20% - Accent4 5" xfId="594"/>
    <cellStyle name="20% - Accent4 5 2" xfId="2865"/>
    <cellStyle name="20% - Accent4 5 2 2" xfId="7088"/>
    <cellStyle name="20% - Accent4 5 2 2 2" xfId="15524"/>
    <cellStyle name="20% - Accent4 5 2 2 3" xfId="23965"/>
    <cellStyle name="20% - Accent4 5 2 2 4" xfId="32405"/>
    <cellStyle name="20% - Accent4 5 2 3" xfId="11306"/>
    <cellStyle name="20% - Accent4 5 2 4" xfId="19748"/>
    <cellStyle name="20% - Accent4 5 2 5" xfId="28188"/>
    <cellStyle name="20% - Accent4 5 3" xfId="4943"/>
    <cellStyle name="20% - Accent4 5 3 2" xfId="13379"/>
    <cellStyle name="20% - Accent4 5 3 3" xfId="21820"/>
    <cellStyle name="20% - Accent4 5 3 4" xfId="30260"/>
    <cellStyle name="20% - Accent4 5 4" xfId="9161"/>
    <cellStyle name="20% - Accent4 5 5" xfId="17603"/>
    <cellStyle name="20% - Accent4 5 6" xfId="26043"/>
    <cellStyle name="20% - Accent4 6" xfId="1047"/>
    <cellStyle name="20% - Accent4 6 2" xfId="3278"/>
    <cellStyle name="20% - Accent4 6 2 2" xfId="7501"/>
    <cellStyle name="20% - Accent4 6 2 2 2" xfId="15937"/>
    <cellStyle name="20% - Accent4 6 2 2 3" xfId="24378"/>
    <cellStyle name="20% - Accent4 6 2 2 4" xfId="32818"/>
    <cellStyle name="20% - Accent4 6 2 3" xfId="11719"/>
    <cellStyle name="20% - Accent4 6 2 4" xfId="20161"/>
    <cellStyle name="20% - Accent4 6 2 5" xfId="28601"/>
    <cellStyle name="20% - Accent4 6 3" xfId="5356"/>
    <cellStyle name="20% - Accent4 6 3 2" xfId="13792"/>
    <cellStyle name="20% - Accent4 6 3 3" xfId="22233"/>
    <cellStyle name="20% - Accent4 6 3 4" xfId="30673"/>
    <cellStyle name="20% - Accent4 6 4" xfId="9574"/>
    <cellStyle name="20% - Accent4 6 5" xfId="18016"/>
    <cellStyle name="20% - Accent4 6 6" xfId="26456"/>
    <cellStyle name="20% - Accent4 7" xfId="1461"/>
    <cellStyle name="20% - Accent4 7 2" xfId="3691"/>
    <cellStyle name="20% - Accent4 7 2 2" xfId="7914"/>
    <cellStyle name="20% - Accent4 7 2 2 2" xfId="16350"/>
    <cellStyle name="20% - Accent4 7 2 2 3" xfId="24791"/>
    <cellStyle name="20% - Accent4 7 2 2 4" xfId="33231"/>
    <cellStyle name="20% - Accent4 7 2 3" xfId="12132"/>
    <cellStyle name="20% - Accent4 7 2 4" xfId="20574"/>
    <cellStyle name="20% - Accent4 7 2 5" xfId="29014"/>
    <cellStyle name="20% - Accent4 7 3" xfId="5769"/>
    <cellStyle name="20% - Accent4 7 3 2" xfId="14205"/>
    <cellStyle name="20% - Accent4 7 3 3" xfId="22646"/>
    <cellStyle name="20% - Accent4 7 3 4" xfId="31086"/>
    <cellStyle name="20% - Accent4 7 4" xfId="9987"/>
    <cellStyle name="20% - Accent4 7 5" xfId="18429"/>
    <cellStyle name="20% - Accent4 7 6" xfId="26869"/>
    <cellStyle name="20% - Accent4 8" xfId="1875"/>
    <cellStyle name="20% - Accent4 8 2" xfId="4104"/>
    <cellStyle name="20% - Accent4 8 2 2" xfId="8327"/>
    <cellStyle name="20% - Accent4 8 2 2 2" xfId="16763"/>
    <cellStyle name="20% - Accent4 8 2 2 3" xfId="25204"/>
    <cellStyle name="20% - Accent4 8 2 2 4" xfId="33644"/>
    <cellStyle name="20% - Accent4 8 2 3" xfId="12545"/>
    <cellStyle name="20% - Accent4 8 2 4" xfId="20987"/>
    <cellStyle name="20% - Accent4 8 2 5" xfId="29427"/>
    <cellStyle name="20% - Accent4 8 3" xfId="6182"/>
    <cellStyle name="20% - Accent4 8 3 2" xfId="14618"/>
    <cellStyle name="20% - Accent4 8 3 3" xfId="23059"/>
    <cellStyle name="20% - Accent4 8 3 4" xfId="31499"/>
    <cellStyle name="20% - Accent4 8 4" xfId="10400"/>
    <cellStyle name="20% - Accent4 8 5" xfId="18842"/>
    <cellStyle name="20% - Accent4 8 6" xfId="27282"/>
    <cellStyle name="20% - Accent4 9" xfId="2288"/>
    <cellStyle name="20% - Accent4 9 2" xfId="6595"/>
    <cellStyle name="20% - Accent4 9 2 2" xfId="15031"/>
    <cellStyle name="20% - Accent4 9 2 3" xfId="23472"/>
    <cellStyle name="20% - Accent4 9 2 4" xfId="31912"/>
    <cellStyle name="20% - Accent4 9 3" xfId="10813"/>
    <cellStyle name="20% - Accent4 9 4" xfId="19255"/>
    <cellStyle name="20% - Accent4 9 5" xfId="27695"/>
    <cellStyle name="20% - Accent5" xfId="33" builtinId="46" customBuiltin="1"/>
    <cellStyle name="20% - Accent5 10" xfId="4537"/>
    <cellStyle name="20% - Accent5 10 2" xfId="12973"/>
    <cellStyle name="20% - Accent5 10 3" xfId="21414"/>
    <cellStyle name="20% - Accent5 10 4" xfId="29854"/>
    <cellStyle name="20% - Accent5 11" xfId="8755"/>
    <cellStyle name="20% - Accent5 12" xfId="17197"/>
    <cellStyle name="20% - Accent5 13" xfId="25637"/>
    <cellStyle name="20% - Accent5 2" xfId="34"/>
    <cellStyle name="20% - Accent5 2 10" xfId="8756"/>
    <cellStyle name="20% - Accent5 2 11" xfId="17198"/>
    <cellStyle name="20% - Accent5 2 12" xfId="25638"/>
    <cellStyle name="20% - Accent5 2 2" xfId="35"/>
    <cellStyle name="20% - Accent5 2 2 10" xfId="17199"/>
    <cellStyle name="20% - Accent5 2 2 11" xfId="25639"/>
    <cellStyle name="20% - Accent5 2 2 2" xfId="36"/>
    <cellStyle name="20% - Accent5 2 2 2 10" xfId="25640"/>
    <cellStyle name="20% - Accent5 2 2 2 2" xfId="605"/>
    <cellStyle name="20% - Accent5 2 2 2 2 2" xfId="2876"/>
    <cellStyle name="20% - Accent5 2 2 2 2 2 2" xfId="7099"/>
    <cellStyle name="20% - Accent5 2 2 2 2 2 2 2" xfId="15535"/>
    <cellStyle name="20% - Accent5 2 2 2 2 2 2 3" xfId="23976"/>
    <cellStyle name="20% - Accent5 2 2 2 2 2 2 4" xfId="32416"/>
    <cellStyle name="20% - Accent5 2 2 2 2 2 3" xfId="11317"/>
    <cellStyle name="20% - Accent5 2 2 2 2 2 4" xfId="19759"/>
    <cellStyle name="20% - Accent5 2 2 2 2 2 5" xfId="28199"/>
    <cellStyle name="20% - Accent5 2 2 2 2 3" xfId="4954"/>
    <cellStyle name="20% - Accent5 2 2 2 2 3 2" xfId="13390"/>
    <cellStyle name="20% - Accent5 2 2 2 2 3 3" xfId="21831"/>
    <cellStyle name="20% - Accent5 2 2 2 2 3 4" xfId="30271"/>
    <cellStyle name="20% - Accent5 2 2 2 2 4" xfId="9172"/>
    <cellStyle name="20% - Accent5 2 2 2 2 5" xfId="17614"/>
    <cellStyle name="20% - Accent5 2 2 2 2 6" xfId="26054"/>
    <cellStyle name="20% - Accent5 2 2 2 3" xfId="1058"/>
    <cellStyle name="20% - Accent5 2 2 2 3 2" xfId="3289"/>
    <cellStyle name="20% - Accent5 2 2 2 3 2 2" xfId="7512"/>
    <cellStyle name="20% - Accent5 2 2 2 3 2 2 2" xfId="15948"/>
    <cellStyle name="20% - Accent5 2 2 2 3 2 2 3" xfId="24389"/>
    <cellStyle name="20% - Accent5 2 2 2 3 2 2 4" xfId="32829"/>
    <cellStyle name="20% - Accent5 2 2 2 3 2 3" xfId="11730"/>
    <cellStyle name="20% - Accent5 2 2 2 3 2 4" xfId="20172"/>
    <cellStyle name="20% - Accent5 2 2 2 3 2 5" xfId="28612"/>
    <cellStyle name="20% - Accent5 2 2 2 3 3" xfId="5367"/>
    <cellStyle name="20% - Accent5 2 2 2 3 3 2" xfId="13803"/>
    <cellStyle name="20% - Accent5 2 2 2 3 3 3" xfId="22244"/>
    <cellStyle name="20% - Accent5 2 2 2 3 3 4" xfId="30684"/>
    <cellStyle name="20% - Accent5 2 2 2 3 4" xfId="9585"/>
    <cellStyle name="20% - Accent5 2 2 2 3 5" xfId="18027"/>
    <cellStyle name="20% - Accent5 2 2 2 3 6" xfId="26467"/>
    <cellStyle name="20% - Accent5 2 2 2 4" xfId="1472"/>
    <cellStyle name="20% - Accent5 2 2 2 4 2" xfId="3702"/>
    <cellStyle name="20% - Accent5 2 2 2 4 2 2" xfId="7925"/>
    <cellStyle name="20% - Accent5 2 2 2 4 2 2 2" xfId="16361"/>
    <cellStyle name="20% - Accent5 2 2 2 4 2 2 3" xfId="24802"/>
    <cellStyle name="20% - Accent5 2 2 2 4 2 2 4" xfId="33242"/>
    <cellStyle name="20% - Accent5 2 2 2 4 2 3" xfId="12143"/>
    <cellStyle name="20% - Accent5 2 2 2 4 2 4" xfId="20585"/>
    <cellStyle name="20% - Accent5 2 2 2 4 2 5" xfId="29025"/>
    <cellStyle name="20% - Accent5 2 2 2 4 3" xfId="5780"/>
    <cellStyle name="20% - Accent5 2 2 2 4 3 2" xfId="14216"/>
    <cellStyle name="20% - Accent5 2 2 2 4 3 3" xfId="22657"/>
    <cellStyle name="20% - Accent5 2 2 2 4 3 4" xfId="31097"/>
    <cellStyle name="20% - Accent5 2 2 2 4 4" xfId="9998"/>
    <cellStyle name="20% - Accent5 2 2 2 4 5" xfId="18440"/>
    <cellStyle name="20% - Accent5 2 2 2 4 6" xfId="26880"/>
    <cellStyle name="20% - Accent5 2 2 2 5" xfId="1886"/>
    <cellStyle name="20% - Accent5 2 2 2 5 2" xfId="4115"/>
    <cellStyle name="20% - Accent5 2 2 2 5 2 2" xfId="8338"/>
    <cellStyle name="20% - Accent5 2 2 2 5 2 2 2" xfId="16774"/>
    <cellStyle name="20% - Accent5 2 2 2 5 2 2 3" xfId="25215"/>
    <cellStyle name="20% - Accent5 2 2 2 5 2 2 4" xfId="33655"/>
    <cellStyle name="20% - Accent5 2 2 2 5 2 3" xfId="12556"/>
    <cellStyle name="20% - Accent5 2 2 2 5 2 4" xfId="20998"/>
    <cellStyle name="20% - Accent5 2 2 2 5 2 5" xfId="29438"/>
    <cellStyle name="20% - Accent5 2 2 2 5 3" xfId="6193"/>
    <cellStyle name="20% - Accent5 2 2 2 5 3 2" xfId="14629"/>
    <cellStyle name="20% - Accent5 2 2 2 5 3 3" xfId="23070"/>
    <cellStyle name="20% - Accent5 2 2 2 5 3 4" xfId="31510"/>
    <cellStyle name="20% - Accent5 2 2 2 5 4" xfId="10411"/>
    <cellStyle name="20% - Accent5 2 2 2 5 5" xfId="18853"/>
    <cellStyle name="20% - Accent5 2 2 2 5 6" xfId="27293"/>
    <cellStyle name="20% - Accent5 2 2 2 6" xfId="2299"/>
    <cellStyle name="20% - Accent5 2 2 2 6 2" xfId="6606"/>
    <cellStyle name="20% - Accent5 2 2 2 6 2 2" xfId="15042"/>
    <cellStyle name="20% - Accent5 2 2 2 6 2 3" xfId="23483"/>
    <cellStyle name="20% - Accent5 2 2 2 6 2 4" xfId="31923"/>
    <cellStyle name="20% - Accent5 2 2 2 6 3" xfId="10824"/>
    <cellStyle name="20% - Accent5 2 2 2 6 4" xfId="19266"/>
    <cellStyle name="20% - Accent5 2 2 2 6 5" xfId="27706"/>
    <cellStyle name="20% - Accent5 2 2 2 7" xfId="4540"/>
    <cellStyle name="20% - Accent5 2 2 2 7 2" xfId="12976"/>
    <cellStyle name="20% - Accent5 2 2 2 7 3" xfId="21417"/>
    <cellStyle name="20% - Accent5 2 2 2 7 4" xfId="29857"/>
    <cellStyle name="20% - Accent5 2 2 2 8" xfId="8758"/>
    <cellStyle name="20% - Accent5 2 2 2 9" xfId="17200"/>
    <cellStyle name="20% - Accent5 2 2 3" xfId="604"/>
    <cellStyle name="20% - Accent5 2 2 3 2" xfId="2875"/>
    <cellStyle name="20% - Accent5 2 2 3 2 2" xfId="7098"/>
    <cellStyle name="20% - Accent5 2 2 3 2 2 2" xfId="15534"/>
    <cellStyle name="20% - Accent5 2 2 3 2 2 3" xfId="23975"/>
    <cellStyle name="20% - Accent5 2 2 3 2 2 4" xfId="32415"/>
    <cellStyle name="20% - Accent5 2 2 3 2 3" xfId="11316"/>
    <cellStyle name="20% - Accent5 2 2 3 2 4" xfId="19758"/>
    <cellStyle name="20% - Accent5 2 2 3 2 5" xfId="28198"/>
    <cellStyle name="20% - Accent5 2 2 3 3" xfId="4953"/>
    <cellStyle name="20% - Accent5 2 2 3 3 2" xfId="13389"/>
    <cellStyle name="20% - Accent5 2 2 3 3 3" xfId="21830"/>
    <cellStyle name="20% - Accent5 2 2 3 3 4" xfId="30270"/>
    <cellStyle name="20% - Accent5 2 2 3 4" xfId="9171"/>
    <cellStyle name="20% - Accent5 2 2 3 5" xfId="17613"/>
    <cellStyle name="20% - Accent5 2 2 3 6" xfId="26053"/>
    <cellStyle name="20% - Accent5 2 2 4" xfId="1057"/>
    <cellStyle name="20% - Accent5 2 2 4 2" xfId="3288"/>
    <cellStyle name="20% - Accent5 2 2 4 2 2" xfId="7511"/>
    <cellStyle name="20% - Accent5 2 2 4 2 2 2" xfId="15947"/>
    <cellStyle name="20% - Accent5 2 2 4 2 2 3" xfId="24388"/>
    <cellStyle name="20% - Accent5 2 2 4 2 2 4" xfId="32828"/>
    <cellStyle name="20% - Accent5 2 2 4 2 3" xfId="11729"/>
    <cellStyle name="20% - Accent5 2 2 4 2 4" xfId="20171"/>
    <cellStyle name="20% - Accent5 2 2 4 2 5" xfId="28611"/>
    <cellStyle name="20% - Accent5 2 2 4 3" xfId="5366"/>
    <cellStyle name="20% - Accent5 2 2 4 3 2" xfId="13802"/>
    <cellStyle name="20% - Accent5 2 2 4 3 3" xfId="22243"/>
    <cellStyle name="20% - Accent5 2 2 4 3 4" xfId="30683"/>
    <cellStyle name="20% - Accent5 2 2 4 4" xfId="9584"/>
    <cellStyle name="20% - Accent5 2 2 4 5" xfId="18026"/>
    <cellStyle name="20% - Accent5 2 2 4 6" xfId="26466"/>
    <cellStyle name="20% - Accent5 2 2 5" xfId="1471"/>
    <cellStyle name="20% - Accent5 2 2 5 2" xfId="3701"/>
    <cellStyle name="20% - Accent5 2 2 5 2 2" xfId="7924"/>
    <cellStyle name="20% - Accent5 2 2 5 2 2 2" xfId="16360"/>
    <cellStyle name="20% - Accent5 2 2 5 2 2 3" xfId="24801"/>
    <cellStyle name="20% - Accent5 2 2 5 2 2 4" xfId="33241"/>
    <cellStyle name="20% - Accent5 2 2 5 2 3" xfId="12142"/>
    <cellStyle name="20% - Accent5 2 2 5 2 4" xfId="20584"/>
    <cellStyle name="20% - Accent5 2 2 5 2 5" xfId="29024"/>
    <cellStyle name="20% - Accent5 2 2 5 3" xfId="5779"/>
    <cellStyle name="20% - Accent5 2 2 5 3 2" xfId="14215"/>
    <cellStyle name="20% - Accent5 2 2 5 3 3" xfId="22656"/>
    <cellStyle name="20% - Accent5 2 2 5 3 4" xfId="31096"/>
    <cellStyle name="20% - Accent5 2 2 5 4" xfId="9997"/>
    <cellStyle name="20% - Accent5 2 2 5 5" xfId="18439"/>
    <cellStyle name="20% - Accent5 2 2 5 6" xfId="26879"/>
    <cellStyle name="20% - Accent5 2 2 6" xfId="1885"/>
    <cellStyle name="20% - Accent5 2 2 6 2" xfId="4114"/>
    <cellStyle name="20% - Accent5 2 2 6 2 2" xfId="8337"/>
    <cellStyle name="20% - Accent5 2 2 6 2 2 2" xfId="16773"/>
    <cellStyle name="20% - Accent5 2 2 6 2 2 3" xfId="25214"/>
    <cellStyle name="20% - Accent5 2 2 6 2 2 4" xfId="33654"/>
    <cellStyle name="20% - Accent5 2 2 6 2 3" xfId="12555"/>
    <cellStyle name="20% - Accent5 2 2 6 2 4" xfId="20997"/>
    <cellStyle name="20% - Accent5 2 2 6 2 5" xfId="29437"/>
    <cellStyle name="20% - Accent5 2 2 6 3" xfId="6192"/>
    <cellStyle name="20% - Accent5 2 2 6 3 2" xfId="14628"/>
    <cellStyle name="20% - Accent5 2 2 6 3 3" xfId="23069"/>
    <cellStyle name="20% - Accent5 2 2 6 3 4" xfId="31509"/>
    <cellStyle name="20% - Accent5 2 2 6 4" xfId="10410"/>
    <cellStyle name="20% - Accent5 2 2 6 5" xfId="18852"/>
    <cellStyle name="20% - Accent5 2 2 6 6" xfId="27292"/>
    <cellStyle name="20% - Accent5 2 2 7" xfId="2298"/>
    <cellStyle name="20% - Accent5 2 2 7 2" xfId="6605"/>
    <cellStyle name="20% - Accent5 2 2 7 2 2" xfId="15041"/>
    <cellStyle name="20% - Accent5 2 2 7 2 3" xfId="23482"/>
    <cellStyle name="20% - Accent5 2 2 7 2 4" xfId="31922"/>
    <cellStyle name="20% - Accent5 2 2 7 3" xfId="10823"/>
    <cellStyle name="20% - Accent5 2 2 7 4" xfId="19265"/>
    <cellStyle name="20% - Accent5 2 2 7 5" xfId="27705"/>
    <cellStyle name="20% - Accent5 2 2 8" xfId="4539"/>
    <cellStyle name="20% - Accent5 2 2 8 2" xfId="12975"/>
    <cellStyle name="20% - Accent5 2 2 8 3" xfId="21416"/>
    <cellStyle name="20% - Accent5 2 2 8 4" xfId="29856"/>
    <cellStyle name="20% - Accent5 2 2 9" xfId="8757"/>
    <cellStyle name="20% - Accent5 2 3" xfId="37"/>
    <cellStyle name="20% - Accent5 2 3 10" xfId="25641"/>
    <cellStyle name="20% - Accent5 2 3 2" xfId="606"/>
    <cellStyle name="20% - Accent5 2 3 2 2" xfId="2877"/>
    <cellStyle name="20% - Accent5 2 3 2 2 2" xfId="7100"/>
    <cellStyle name="20% - Accent5 2 3 2 2 2 2" xfId="15536"/>
    <cellStyle name="20% - Accent5 2 3 2 2 2 3" xfId="23977"/>
    <cellStyle name="20% - Accent5 2 3 2 2 2 4" xfId="32417"/>
    <cellStyle name="20% - Accent5 2 3 2 2 3" xfId="11318"/>
    <cellStyle name="20% - Accent5 2 3 2 2 4" xfId="19760"/>
    <cellStyle name="20% - Accent5 2 3 2 2 5" xfId="28200"/>
    <cellStyle name="20% - Accent5 2 3 2 3" xfId="4955"/>
    <cellStyle name="20% - Accent5 2 3 2 3 2" xfId="13391"/>
    <cellStyle name="20% - Accent5 2 3 2 3 3" xfId="21832"/>
    <cellStyle name="20% - Accent5 2 3 2 3 4" xfId="30272"/>
    <cellStyle name="20% - Accent5 2 3 2 4" xfId="9173"/>
    <cellStyle name="20% - Accent5 2 3 2 5" xfId="17615"/>
    <cellStyle name="20% - Accent5 2 3 2 6" xfId="26055"/>
    <cellStyle name="20% - Accent5 2 3 3" xfId="1059"/>
    <cellStyle name="20% - Accent5 2 3 3 2" xfId="3290"/>
    <cellStyle name="20% - Accent5 2 3 3 2 2" xfId="7513"/>
    <cellStyle name="20% - Accent5 2 3 3 2 2 2" xfId="15949"/>
    <cellStyle name="20% - Accent5 2 3 3 2 2 3" xfId="24390"/>
    <cellStyle name="20% - Accent5 2 3 3 2 2 4" xfId="32830"/>
    <cellStyle name="20% - Accent5 2 3 3 2 3" xfId="11731"/>
    <cellStyle name="20% - Accent5 2 3 3 2 4" xfId="20173"/>
    <cellStyle name="20% - Accent5 2 3 3 2 5" xfId="28613"/>
    <cellStyle name="20% - Accent5 2 3 3 3" xfId="5368"/>
    <cellStyle name="20% - Accent5 2 3 3 3 2" xfId="13804"/>
    <cellStyle name="20% - Accent5 2 3 3 3 3" xfId="22245"/>
    <cellStyle name="20% - Accent5 2 3 3 3 4" xfId="30685"/>
    <cellStyle name="20% - Accent5 2 3 3 4" xfId="9586"/>
    <cellStyle name="20% - Accent5 2 3 3 5" xfId="18028"/>
    <cellStyle name="20% - Accent5 2 3 3 6" xfId="26468"/>
    <cellStyle name="20% - Accent5 2 3 4" xfId="1473"/>
    <cellStyle name="20% - Accent5 2 3 4 2" xfId="3703"/>
    <cellStyle name="20% - Accent5 2 3 4 2 2" xfId="7926"/>
    <cellStyle name="20% - Accent5 2 3 4 2 2 2" xfId="16362"/>
    <cellStyle name="20% - Accent5 2 3 4 2 2 3" xfId="24803"/>
    <cellStyle name="20% - Accent5 2 3 4 2 2 4" xfId="33243"/>
    <cellStyle name="20% - Accent5 2 3 4 2 3" xfId="12144"/>
    <cellStyle name="20% - Accent5 2 3 4 2 4" xfId="20586"/>
    <cellStyle name="20% - Accent5 2 3 4 2 5" xfId="29026"/>
    <cellStyle name="20% - Accent5 2 3 4 3" xfId="5781"/>
    <cellStyle name="20% - Accent5 2 3 4 3 2" xfId="14217"/>
    <cellStyle name="20% - Accent5 2 3 4 3 3" xfId="22658"/>
    <cellStyle name="20% - Accent5 2 3 4 3 4" xfId="31098"/>
    <cellStyle name="20% - Accent5 2 3 4 4" xfId="9999"/>
    <cellStyle name="20% - Accent5 2 3 4 5" xfId="18441"/>
    <cellStyle name="20% - Accent5 2 3 4 6" xfId="26881"/>
    <cellStyle name="20% - Accent5 2 3 5" xfId="1887"/>
    <cellStyle name="20% - Accent5 2 3 5 2" xfId="4116"/>
    <cellStyle name="20% - Accent5 2 3 5 2 2" xfId="8339"/>
    <cellStyle name="20% - Accent5 2 3 5 2 2 2" xfId="16775"/>
    <cellStyle name="20% - Accent5 2 3 5 2 2 3" xfId="25216"/>
    <cellStyle name="20% - Accent5 2 3 5 2 2 4" xfId="33656"/>
    <cellStyle name="20% - Accent5 2 3 5 2 3" xfId="12557"/>
    <cellStyle name="20% - Accent5 2 3 5 2 4" xfId="20999"/>
    <cellStyle name="20% - Accent5 2 3 5 2 5" xfId="29439"/>
    <cellStyle name="20% - Accent5 2 3 5 3" xfId="6194"/>
    <cellStyle name="20% - Accent5 2 3 5 3 2" xfId="14630"/>
    <cellStyle name="20% - Accent5 2 3 5 3 3" xfId="23071"/>
    <cellStyle name="20% - Accent5 2 3 5 3 4" xfId="31511"/>
    <cellStyle name="20% - Accent5 2 3 5 4" xfId="10412"/>
    <cellStyle name="20% - Accent5 2 3 5 5" xfId="18854"/>
    <cellStyle name="20% - Accent5 2 3 5 6" xfId="27294"/>
    <cellStyle name="20% - Accent5 2 3 6" xfId="2300"/>
    <cellStyle name="20% - Accent5 2 3 6 2" xfId="6607"/>
    <cellStyle name="20% - Accent5 2 3 6 2 2" xfId="15043"/>
    <cellStyle name="20% - Accent5 2 3 6 2 3" xfId="23484"/>
    <cellStyle name="20% - Accent5 2 3 6 2 4" xfId="31924"/>
    <cellStyle name="20% - Accent5 2 3 6 3" xfId="10825"/>
    <cellStyle name="20% - Accent5 2 3 6 4" xfId="19267"/>
    <cellStyle name="20% - Accent5 2 3 6 5" xfId="27707"/>
    <cellStyle name="20% - Accent5 2 3 7" xfId="4541"/>
    <cellStyle name="20% - Accent5 2 3 7 2" xfId="12977"/>
    <cellStyle name="20% - Accent5 2 3 7 3" xfId="21418"/>
    <cellStyle name="20% - Accent5 2 3 7 4" xfId="29858"/>
    <cellStyle name="20% - Accent5 2 3 8" xfId="8759"/>
    <cellStyle name="20% - Accent5 2 3 9" xfId="17201"/>
    <cellStyle name="20% - Accent5 2 4" xfId="603"/>
    <cellStyle name="20% - Accent5 2 4 2" xfId="2874"/>
    <cellStyle name="20% - Accent5 2 4 2 2" xfId="7097"/>
    <cellStyle name="20% - Accent5 2 4 2 2 2" xfId="15533"/>
    <cellStyle name="20% - Accent5 2 4 2 2 3" xfId="23974"/>
    <cellStyle name="20% - Accent5 2 4 2 2 4" xfId="32414"/>
    <cellStyle name="20% - Accent5 2 4 2 3" xfId="11315"/>
    <cellStyle name="20% - Accent5 2 4 2 4" xfId="19757"/>
    <cellStyle name="20% - Accent5 2 4 2 5" xfId="28197"/>
    <cellStyle name="20% - Accent5 2 4 3" xfId="4952"/>
    <cellStyle name="20% - Accent5 2 4 3 2" xfId="13388"/>
    <cellStyle name="20% - Accent5 2 4 3 3" xfId="21829"/>
    <cellStyle name="20% - Accent5 2 4 3 4" xfId="30269"/>
    <cellStyle name="20% - Accent5 2 4 4" xfId="9170"/>
    <cellStyle name="20% - Accent5 2 4 5" xfId="17612"/>
    <cellStyle name="20% - Accent5 2 4 6" xfId="26052"/>
    <cellStyle name="20% - Accent5 2 5" xfId="1056"/>
    <cellStyle name="20% - Accent5 2 5 2" xfId="3287"/>
    <cellStyle name="20% - Accent5 2 5 2 2" xfId="7510"/>
    <cellStyle name="20% - Accent5 2 5 2 2 2" xfId="15946"/>
    <cellStyle name="20% - Accent5 2 5 2 2 3" xfId="24387"/>
    <cellStyle name="20% - Accent5 2 5 2 2 4" xfId="32827"/>
    <cellStyle name="20% - Accent5 2 5 2 3" xfId="11728"/>
    <cellStyle name="20% - Accent5 2 5 2 4" xfId="20170"/>
    <cellStyle name="20% - Accent5 2 5 2 5" xfId="28610"/>
    <cellStyle name="20% - Accent5 2 5 3" xfId="5365"/>
    <cellStyle name="20% - Accent5 2 5 3 2" xfId="13801"/>
    <cellStyle name="20% - Accent5 2 5 3 3" xfId="22242"/>
    <cellStyle name="20% - Accent5 2 5 3 4" xfId="30682"/>
    <cellStyle name="20% - Accent5 2 5 4" xfId="9583"/>
    <cellStyle name="20% - Accent5 2 5 5" xfId="18025"/>
    <cellStyle name="20% - Accent5 2 5 6" xfId="26465"/>
    <cellStyle name="20% - Accent5 2 6" xfId="1470"/>
    <cellStyle name="20% - Accent5 2 6 2" xfId="3700"/>
    <cellStyle name="20% - Accent5 2 6 2 2" xfId="7923"/>
    <cellStyle name="20% - Accent5 2 6 2 2 2" xfId="16359"/>
    <cellStyle name="20% - Accent5 2 6 2 2 3" xfId="24800"/>
    <cellStyle name="20% - Accent5 2 6 2 2 4" xfId="33240"/>
    <cellStyle name="20% - Accent5 2 6 2 3" xfId="12141"/>
    <cellStyle name="20% - Accent5 2 6 2 4" xfId="20583"/>
    <cellStyle name="20% - Accent5 2 6 2 5" xfId="29023"/>
    <cellStyle name="20% - Accent5 2 6 3" xfId="5778"/>
    <cellStyle name="20% - Accent5 2 6 3 2" xfId="14214"/>
    <cellStyle name="20% - Accent5 2 6 3 3" xfId="22655"/>
    <cellStyle name="20% - Accent5 2 6 3 4" xfId="31095"/>
    <cellStyle name="20% - Accent5 2 6 4" xfId="9996"/>
    <cellStyle name="20% - Accent5 2 6 5" xfId="18438"/>
    <cellStyle name="20% - Accent5 2 6 6" xfId="26878"/>
    <cellStyle name="20% - Accent5 2 7" xfId="1884"/>
    <cellStyle name="20% - Accent5 2 7 2" xfId="4113"/>
    <cellStyle name="20% - Accent5 2 7 2 2" xfId="8336"/>
    <cellStyle name="20% - Accent5 2 7 2 2 2" xfId="16772"/>
    <cellStyle name="20% - Accent5 2 7 2 2 3" xfId="25213"/>
    <cellStyle name="20% - Accent5 2 7 2 2 4" xfId="33653"/>
    <cellStyle name="20% - Accent5 2 7 2 3" xfId="12554"/>
    <cellStyle name="20% - Accent5 2 7 2 4" xfId="20996"/>
    <cellStyle name="20% - Accent5 2 7 2 5" xfId="29436"/>
    <cellStyle name="20% - Accent5 2 7 3" xfId="6191"/>
    <cellStyle name="20% - Accent5 2 7 3 2" xfId="14627"/>
    <cellStyle name="20% - Accent5 2 7 3 3" xfId="23068"/>
    <cellStyle name="20% - Accent5 2 7 3 4" xfId="31508"/>
    <cellStyle name="20% - Accent5 2 7 4" xfId="10409"/>
    <cellStyle name="20% - Accent5 2 7 5" xfId="18851"/>
    <cellStyle name="20% - Accent5 2 7 6" xfId="27291"/>
    <cellStyle name="20% - Accent5 2 8" xfId="2297"/>
    <cellStyle name="20% - Accent5 2 8 2" xfId="6604"/>
    <cellStyle name="20% - Accent5 2 8 2 2" xfId="15040"/>
    <cellStyle name="20% - Accent5 2 8 2 3" xfId="23481"/>
    <cellStyle name="20% - Accent5 2 8 2 4" xfId="31921"/>
    <cellStyle name="20% - Accent5 2 8 3" xfId="10822"/>
    <cellStyle name="20% - Accent5 2 8 4" xfId="19264"/>
    <cellStyle name="20% - Accent5 2 8 5" xfId="27704"/>
    <cellStyle name="20% - Accent5 2 9" xfId="4538"/>
    <cellStyle name="20% - Accent5 2 9 2" xfId="12974"/>
    <cellStyle name="20% - Accent5 2 9 3" xfId="21415"/>
    <cellStyle name="20% - Accent5 2 9 4" xfId="29855"/>
    <cellStyle name="20% - Accent5 3" xfId="38"/>
    <cellStyle name="20% - Accent5 3 10" xfId="17202"/>
    <cellStyle name="20% - Accent5 3 11" xfId="25642"/>
    <cellStyle name="20% - Accent5 3 2" xfId="39"/>
    <cellStyle name="20% - Accent5 3 2 10" xfId="25643"/>
    <cellStyle name="20% - Accent5 3 2 2" xfId="608"/>
    <cellStyle name="20% - Accent5 3 2 2 2" xfId="2879"/>
    <cellStyle name="20% - Accent5 3 2 2 2 2" xfId="7102"/>
    <cellStyle name="20% - Accent5 3 2 2 2 2 2" xfId="15538"/>
    <cellStyle name="20% - Accent5 3 2 2 2 2 3" xfId="23979"/>
    <cellStyle name="20% - Accent5 3 2 2 2 2 4" xfId="32419"/>
    <cellStyle name="20% - Accent5 3 2 2 2 3" xfId="11320"/>
    <cellStyle name="20% - Accent5 3 2 2 2 4" xfId="19762"/>
    <cellStyle name="20% - Accent5 3 2 2 2 5" xfId="28202"/>
    <cellStyle name="20% - Accent5 3 2 2 3" xfId="4957"/>
    <cellStyle name="20% - Accent5 3 2 2 3 2" xfId="13393"/>
    <cellStyle name="20% - Accent5 3 2 2 3 3" xfId="21834"/>
    <cellStyle name="20% - Accent5 3 2 2 3 4" xfId="30274"/>
    <cellStyle name="20% - Accent5 3 2 2 4" xfId="9175"/>
    <cellStyle name="20% - Accent5 3 2 2 5" xfId="17617"/>
    <cellStyle name="20% - Accent5 3 2 2 6" xfId="26057"/>
    <cellStyle name="20% - Accent5 3 2 3" xfId="1061"/>
    <cellStyle name="20% - Accent5 3 2 3 2" xfId="3292"/>
    <cellStyle name="20% - Accent5 3 2 3 2 2" xfId="7515"/>
    <cellStyle name="20% - Accent5 3 2 3 2 2 2" xfId="15951"/>
    <cellStyle name="20% - Accent5 3 2 3 2 2 3" xfId="24392"/>
    <cellStyle name="20% - Accent5 3 2 3 2 2 4" xfId="32832"/>
    <cellStyle name="20% - Accent5 3 2 3 2 3" xfId="11733"/>
    <cellStyle name="20% - Accent5 3 2 3 2 4" xfId="20175"/>
    <cellStyle name="20% - Accent5 3 2 3 2 5" xfId="28615"/>
    <cellStyle name="20% - Accent5 3 2 3 3" xfId="5370"/>
    <cellStyle name="20% - Accent5 3 2 3 3 2" xfId="13806"/>
    <cellStyle name="20% - Accent5 3 2 3 3 3" xfId="22247"/>
    <cellStyle name="20% - Accent5 3 2 3 3 4" xfId="30687"/>
    <cellStyle name="20% - Accent5 3 2 3 4" xfId="9588"/>
    <cellStyle name="20% - Accent5 3 2 3 5" xfId="18030"/>
    <cellStyle name="20% - Accent5 3 2 3 6" xfId="26470"/>
    <cellStyle name="20% - Accent5 3 2 4" xfId="1475"/>
    <cellStyle name="20% - Accent5 3 2 4 2" xfId="3705"/>
    <cellStyle name="20% - Accent5 3 2 4 2 2" xfId="7928"/>
    <cellStyle name="20% - Accent5 3 2 4 2 2 2" xfId="16364"/>
    <cellStyle name="20% - Accent5 3 2 4 2 2 3" xfId="24805"/>
    <cellStyle name="20% - Accent5 3 2 4 2 2 4" xfId="33245"/>
    <cellStyle name="20% - Accent5 3 2 4 2 3" xfId="12146"/>
    <cellStyle name="20% - Accent5 3 2 4 2 4" xfId="20588"/>
    <cellStyle name="20% - Accent5 3 2 4 2 5" xfId="29028"/>
    <cellStyle name="20% - Accent5 3 2 4 3" xfId="5783"/>
    <cellStyle name="20% - Accent5 3 2 4 3 2" xfId="14219"/>
    <cellStyle name="20% - Accent5 3 2 4 3 3" xfId="22660"/>
    <cellStyle name="20% - Accent5 3 2 4 3 4" xfId="31100"/>
    <cellStyle name="20% - Accent5 3 2 4 4" xfId="10001"/>
    <cellStyle name="20% - Accent5 3 2 4 5" xfId="18443"/>
    <cellStyle name="20% - Accent5 3 2 4 6" xfId="26883"/>
    <cellStyle name="20% - Accent5 3 2 5" xfId="1889"/>
    <cellStyle name="20% - Accent5 3 2 5 2" xfId="4118"/>
    <cellStyle name="20% - Accent5 3 2 5 2 2" xfId="8341"/>
    <cellStyle name="20% - Accent5 3 2 5 2 2 2" xfId="16777"/>
    <cellStyle name="20% - Accent5 3 2 5 2 2 3" xfId="25218"/>
    <cellStyle name="20% - Accent5 3 2 5 2 2 4" xfId="33658"/>
    <cellStyle name="20% - Accent5 3 2 5 2 3" xfId="12559"/>
    <cellStyle name="20% - Accent5 3 2 5 2 4" xfId="21001"/>
    <cellStyle name="20% - Accent5 3 2 5 2 5" xfId="29441"/>
    <cellStyle name="20% - Accent5 3 2 5 3" xfId="6196"/>
    <cellStyle name="20% - Accent5 3 2 5 3 2" xfId="14632"/>
    <cellStyle name="20% - Accent5 3 2 5 3 3" xfId="23073"/>
    <cellStyle name="20% - Accent5 3 2 5 3 4" xfId="31513"/>
    <cellStyle name="20% - Accent5 3 2 5 4" xfId="10414"/>
    <cellStyle name="20% - Accent5 3 2 5 5" xfId="18856"/>
    <cellStyle name="20% - Accent5 3 2 5 6" xfId="27296"/>
    <cellStyle name="20% - Accent5 3 2 6" xfId="2302"/>
    <cellStyle name="20% - Accent5 3 2 6 2" xfId="6609"/>
    <cellStyle name="20% - Accent5 3 2 6 2 2" xfId="15045"/>
    <cellStyle name="20% - Accent5 3 2 6 2 3" xfId="23486"/>
    <cellStyle name="20% - Accent5 3 2 6 2 4" xfId="31926"/>
    <cellStyle name="20% - Accent5 3 2 6 3" xfId="10827"/>
    <cellStyle name="20% - Accent5 3 2 6 4" xfId="19269"/>
    <cellStyle name="20% - Accent5 3 2 6 5" xfId="27709"/>
    <cellStyle name="20% - Accent5 3 2 7" xfId="4543"/>
    <cellStyle name="20% - Accent5 3 2 7 2" xfId="12979"/>
    <cellStyle name="20% - Accent5 3 2 7 3" xfId="21420"/>
    <cellStyle name="20% - Accent5 3 2 7 4" xfId="29860"/>
    <cellStyle name="20% - Accent5 3 2 8" xfId="8761"/>
    <cellStyle name="20% - Accent5 3 2 9" xfId="17203"/>
    <cellStyle name="20% - Accent5 3 3" xfId="607"/>
    <cellStyle name="20% - Accent5 3 3 2" xfId="2878"/>
    <cellStyle name="20% - Accent5 3 3 2 2" xfId="7101"/>
    <cellStyle name="20% - Accent5 3 3 2 2 2" xfId="15537"/>
    <cellStyle name="20% - Accent5 3 3 2 2 3" xfId="23978"/>
    <cellStyle name="20% - Accent5 3 3 2 2 4" xfId="32418"/>
    <cellStyle name="20% - Accent5 3 3 2 3" xfId="11319"/>
    <cellStyle name="20% - Accent5 3 3 2 4" xfId="19761"/>
    <cellStyle name="20% - Accent5 3 3 2 5" xfId="28201"/>
    <cellStyle name="20% - Accent5 3 3 3" xfId="4956"/>
    <cellStyle name="20% - Accent5 3 3 3 2" xfId="13392"/>
    <cellStyle name="20% - Accent5 3 3 3 3" xfId="21833"/>
    <cellStyle name="20% - Accent5 3 3 3 4" xfId="30273"/>
    <cellStyle name="20% - Accent5 3 3 4" xfId="9174"/>
    <cellStyle name="20% - Accent5 3 3 5" xfId="17616"/>
    <cellStyle name="20% - Accent5 3 3 6" xfId="26056"/>
    <cellStyle name="20% - Accent5 3 4" xfId="1060"/>
    <cellStyle name="20% - Accent5 3 4 2" xfId="3291"/>
    <cellStyle name="20% - Accent5 3 4 2 2" xfId="7514"/>
    <cellStyle name="20% - Accent5 3 4 2 2 2" xfId="15950"/>
    <cellStyle name="20% - Accent5 3 4 2 2 3" xfId="24391"/>
    <cellStyle name="20% - Accent5 3 4 2 2 4" xfId="32831"/>
    <cellStyle name="20% - Accent5 3 4 2 3" xfId="11732"/>
    <cellStyle name="20% - Accent5 3 4 2 4" xfId="20174"/>
    <cellStyle name="20% - Accent5 3 4 2 5" xfId="28614"/>
    <cellStyle name="20% - Accent5 3 4 3" xfId="5369"/>
    <cellStyle name="20% - Accent5 3 4 3 2" xfId="13805"/>
    <cellStyle name="20% - Accent5 3 4 3 3" xfId="22246"/>
    <cellStyle name="20% - Accent5 3 4 3 4" xfId="30686"/>
    <cellStyle name="20% - Accent5 3 4 4" xfId="9587"/>
    <cellStyle name="20% - Accent5 3 4 5" xfId="18029"/>
    <cellStyle name="20% - Accent5 3 4 6" xfId="26469"/>
    <cellStyle name="20% - Accent5 3 5" xfId="1474"/>
    <cellStyle name="20% - Accent5 3 5 2" xfId="3704"/>
    <cellStyle name="20% - Accent5 3 5 2 2" xfId="7927"/>
    <cellStyle name="20% - Accent5 3 5 2 2 2" xfId="16363"/>
    <cellStyle name="20% - Accent5 3 5 2 2 3" xfId="24804"/>
    <cellStyle name="20% - Accent5 3 5 2 2 4" xfId="33244"/>
    <cellStyle name="20% - Accent5 3 5 2 3" xfId="12145"/>
    <cellStyle name="20% - Accent5 3 5 2 4" xfId="20587"/>
    <cellStyle name="20% - Accent5 3 5 2 5" xfId="29027"/>
    <cellStyle name="20% - Accent5 3 5 3" xfId="5782"/>
    <cellStyle name="20% - Accent5 3 5 3 2" xfId="14218"/>
    <cellStyle name="20% - Accent5 3 5 3 3" xfId="22659"/>
    <cellStyle name="20% - Accent5 3 5 3 4" xfId="31099"/>
    <cellStyle name="20% - Accent5 3 5 4" xfId="10000"/>
    <cellStyle name="20% - Accent5 3 5 5" xfId="18442"/>
    <cellStyle name="20% - Accent5 3 5 6" xfId="26882"/>
    <cellStyle name="20% - Accent5 3 6" xfId="1888"/>
    <cellStyle name="20% - Accent5 3 6 2" xfId="4117"/>
    <cellStyle name="20% - Accent5 3 6 2 2" xfId="8340"/>
    <cellStyle name="20% - Accent5 3 6 2 2 2" xfId="16776"/>
    <cellStyle name="20% - Accent5 3 6 2 2 3" xfId="25217"/>
    <cellStyle name="20% - Accent5 3 6 2 2 4" xfId="33657"/>
    <cellStyle name="20% - Accent5 3 6 2 3" xfId="12558"/>
    <cellStyle name="20% - Accent5 3 6 2 4" xfId="21000"/>
    <cellStyle name="20% - Accent5 3 6 2 5" xfId="29440"/>
    <cellStyle name="20% - Accent5 3 6 3" xfId="6195"/>
    <cellStyle name="20% - Accent5 3 6 3 2" xfId="14631"/>
    <cellStyle name="20% - Accent5 3 6 3 3" xfId="23072"/>
    <cellStyle name="20% - Accent5 3 6 3 4" xfId="31512"/>
    <cellStyle name="20% - Accent5 3 6 4" xfId="10413"/>
    <cellStyle name="20% - Accent5 3 6 5" xfId="18855"/>
    <cellStyle name="20% - Accent5 3 6 6" xfId="27295"/>
    <cellStyle name="20% - Accent5 3 7" xfId="2301"/>
    <cellStyle name="20% - Accent5 3 7 2" xfId="6608"/>
    <cellStyle name="20% - Accent5 3 7 2 2" xfId="15044"/>
    <cellStyle name="20% - Accent5 3 7 2 3" xfId="23485"/>
    <cellStyle name="20% - Accent5 3 7 2 4" xfId="31925"/>
    <cellStyle name="20% - Accent5 3 7 3" xfId="10826"/>
    <cellStyle name="20% - Accent5 3 7 4" xfId="19268"/>
    <cellStyle name="20% - Accent5 3 7 5" xfId="27708"/>
    <cellStyle name="20% - Accent5 3 8" xfId="4542"/>
    <cellStyle name="20% - Accent5 3 8 2" xfId="12978"/>
    <cellStyle name="20% - Accent5 3 8 3" xfId="21419"/>
    <cellStyle name="20% - Accent5 3 8 4" xfId="29859"/>
    <cellStyle name="20% - Accent5 3 9" xfId="8760"/>
    <cellStyle name="20% - Accent5 4" xfId="40"/>
    <cellStyle name="20% - Accent5 4 10" xfId="25644"/>
    <cellStyle name="20% - Accent5 4 2" xfId="609"/>
    <cellStyle name="20% - Accent5 4 2 2" xfId="2880"/>
    <cellStyle name="20% - Accent5 4 2 2 2" xfId="7103"/>
    <cellStyle name="20% - Accent5 4 2 2 2 2" xfId="15539"/>
    <cellStyle name="20% - Accent5 4 2 2 2 3" xfId="23980"/>
    <cellStyle name="20% - Accent5 4 2 2 2 4" xfId="32420"/>
    <cellStyle name="20% - Accent5 4 2 2 3" xfId="11321"/>
    <cellStyle name="20% - Accent5 4 2 2 4" xfId="19763"/>
    <cellStyle name="20% - Accent5 4 2 2 5" xfId="28203"/>
    <cellStyle name="20% - Accent5 4 2 3" xfId="4958"/>
    <cellStyle name="20% - Accent5 4 2 3 2" xfId="13394"/>
    <cellStyle name="20% - Accent5 4 2 3 3" xfId="21835"/>
    <cellStyle name="20% - Accent5 4 2 3 4" xfId="30275"/>
    <cellStyle name="20% - Accent5 4 2 4" xfId="9176"/>
    <cellStyle name="20% - Accent5 4 2 5" xfId="17618"/>
    <cellStyle name="20% - Accent5 4 2 6" xfId="26058"/>
    <cellStyle name="20% - Accent5 4 3" xfId="1062"/>
    <cellStyle name="20% - Accent5 4 3 2" xfId="3293"/>
    <cellStyle name="20% - Accent5 4 3 2 2" xfId="7516"/>
    <cellStyle name="20% - Accent5 4 3 2 2 2" xfId="15952"/>
    <cellStyle name="20% - Accent5 4 3 2 2 3" xfId="24393"/>
    <cellStyle name="20% - Accent5 4 3 2 2 4" xfId="32833"/>
    <cellStyle name="20% - Accent5 4 3 2 3" xfId="11734"/>
    <cellStyle name="20% - Accent5 4 3 2 4" xfId="20176"/>
    <cellStyle name="20% - Accent5 4 3 2 5" xfId="28616"/>
    <cellStyle name="20% - Accent5 4 3 3" xfId="5371"/>
    <cellStyle name="20% - Accent5 4 3 3 2" xfId="13807"/>
    <cellStyle name="20% - Accent5 4 3 3 3" xfId="22248"/>
    <cellStyle name="20% - Accent5 4 3 3 4" xfId="30688"/>
    <cellStyle name="20% - Accent5 4 3 4" xfId="9589"/>
    <cellStyle name="20% - Accent5 4 3 5" xfId="18031"/>
    <cellStyle name="20% - Accent5 4 3 6" xfId="26471"/>
    <cellStyle name="20% - Accent5 4 4" xfId="1476"/>
    <cellStyle name="20% - Accent5 4 4 2" xfId="3706"/>
    <cellStyle name="20% - Accent5 4 4 2 2" xfId="7929"/>
    <cellStyle name="20% - Accent5 4 4 2 2 2" xfId="16365"/>
    <cellStyle name="20% - Accent5 4 4 2 2 3" xfId="24806"/>
    <cellStyle name="20% - Accent5 4 4 2 2 4" xfId="33246"/>
    <cellStyle name="20% - Accent5 4 4 2 3" xfId="12147"/>
    <cellStyle name="20% - Accent5 4 4 2 4" xfId="20589"/>
    <cellStyle name="20% - Accent5 4 4 2 5" xfId="29029"/>
    <cellStyle name="20% - Accent5 4 4 3" xfId="5784"/>
    <cellStyle name="20% - Accent5 4 4 3 2" xfId="14220"/>
    <cellStyle name="20% - Accent5 4 4 3 3" xfId="22661"/>
    <cellStyle name="20% - Accent5 4 4 3 4" xfId="31101"/>
    <cellStyle name="20% - Accent5 4 4 4" xfId="10002"/>
    <cellStyle name="20% - Accent5 4 4 5" xfId="18444"/>
    <cellStyle name="20% - Accent5 4 4 6" xfId="26884"/>
    <cellStyle name="20% - Accent5 4 5" xfId="1890"/>
    <cellStyle name="20% - Accent5 4 5 2" xfId="4119"/>
    <cellStyle name="20% - Accent5 4 5 2 2" xfId="8342"/>
    <cellStyle name="20% - Accent5 4 5 2 2 2" xfId="16778"/>
    <cellStyle name="20% - Accent5 4 5 2 2 3" xfId="25219"/>
    <cellStyle name="20% - Accent5 4 5 2 2 4" xfId="33659"/>
    <cellStyle name="20% - Accent5 4 5 2 3" xfId="12560"/>
    <cellStyle name="20% - Accent5 4 5 2 4" xfId="21002"/>
    <cellStyle name="20% - Accent5 4 5 2 5" xfId="29442"/>
    <cellStyle name="20% - Accent5 4 5 3" xfId="6197"/>
    <cellStyle name="20% - Accent5 4 5 3 2" xfId="14633"/>
    <cellStyle name="20% - Accent5 4 5 3 3" xfId="23074"/>
    <cellStyle name="20% - Accent5 4 5 3 4" xfId="31514"/>
    <cellStyle name="20% - Accent5 4 5 4" xfId="10415"/>
    <cellStyle name="20% - Accent5 4 5 5" xfId="18857"/>
    <cellStyle name="20% - Accent5 4 5 6" xfId="27297"/>
    <cellStyle name="20% - Accent5 4 6" xfId="2303"/>
    <cellStyle name="20% - Accent5 4 6 2" xfId="6610"/>
    <cellStyle name="20% - Accent5 4 6 2 2" xfId="15046"/>
    <cellStyle name="20% - Accent5 4 6 2 3" xfId="23487"/>
    <cellStyle name="20% - Accent5 4 6 2 4" xfId="31927"/>
    <cellStyle name="20% - Accent5 4 6 3" xfId="10828"/>
    <cellStyle name="20% - Accent5 4 6 4" xfId="19270"/>
    <cellStyle name="20% - Accent5 4 6 5" xfId="27710"/>
    <cellStyle name="20% - Accent5 4 7" xfId="4544"/>
    <cellStyle name="20% - Accent5 4 7 2" xfId="12980"/>
    <cellStyle name="20% - Accent5 4 7 3" xfId="21421"/>
    <cellStyle name="20% - Accent5 4 7 4" xfId="29861"/>
    <cellStyle name="20% - Accent5 4 8" xfId="8762"/>
    <cellStyle name="20% - Accent5 4 9" xfId="17204"/>
    <cellStyle name="20% - Accent5 5" xfId="602"/>
    <cellStyle name="20% - Accent5 5 2" xfId="2873"/>
    <cellStyle name="20% - Accent5 5 2 2" xfId="7096"/>
    <cellStyle name="20% - Accent5 5 2 2 2" xfId="15532"/>
    <cellStyle name="20% - Accent5 5 2 2 3" xfId="23973"/>
    <cellStyle name="20% - Accent5 5 2 2 4" xfId="32413"/>
    <cellStyle name="20% - Accent5 5 2 3" xfId="11314"/>
    <cellStyle name="20% - Accent5 5 2 4" xfId="19756"/>
    <cellStyle name="20% - Accent5 5 2 5" xfId="28196"/>
    <cellStyle name="20% - Accent5 5 3" xfId="4951"/>
    <cellStyle name="20% - Accent5 5 3 2" xfId="13387"/>
    <cellStyle name="20% - Accent5 5 3 3" xfId="21828"/>
    <cellStyle name="20% - Accent5 5 3 4" xfId="30268"/>
    <cellStyle name="20% - Accent5 5 4" xfId="9169"/>
    <cellStyle name="20% - Accent5 5 5" xfId="17611"/>
    <cellStyle name="20% - Accent5 5 6" xfId="26051"/>
    <cellStyle name="20% - Accent5 6" xfId="1055"/>
    <cellStyle name="20% - Accent5 6 2" xfId="3286"/>
    <cellStyle name="20% - Accent5 6 2 2" xfId="7509"/>
    <cellStyle name="20% - Accent5 6 2 2 2" xfId="15945"/>
    <cellStyle name="20% - Accent5 6 2 2 3" xfId="24386"/>
    <cellStyle name="20% - Accent5 6 2 2 4" xfId="32826"/>
    <cellStyle name="20% - Accent5 6 2 3" xfId="11727"/>
    <cellStyle name="20% - Accent5 6 2 4" xfId="20169"/>
    <cellStyle name="20% - Accent5 6 2 5" xfId="28609"/>
    <cellStyle name="20% - Accent5 6 3" xfId="5364"/>
    <cellStyle name="20% - Accent5 6 3 2" xfId="13800"/>
    <cellStyle name="20% - Accent5 6 3 3" xfId="22241"/>
    <cellStyle name="20% - Accent5 6 3 4" xfId="30681"/>
    <cellStyle name="20% - Accent5 6 4" xfId="9582"/>
    <cellStyle name="20% - Accent5 6 5" xfId="18024"/>
    <cellStyle name="20% - Accent5 6 6" xfId="26464"/>
    <cellStyle name="20% - Accent5 7" xfId="1469"/>
    <cellStyle name="20% - Accent5 7 2" xfId="3699"/>
    <cellStyle name="20% - Accent5 7 2 2" xfId="7922"/>
    <cellStyle name="20% - Accent5 7 2 2 2" xfId="16358"/>
    <cellStyle name="20% - Accent5 7 2 2 3" xfId="24799"/>
    <cellStyle name="20% - Accent5 7 2 2 4" xfId="33239"/>
    <cellStyle name="20% - Accent5 7 2 3" xfId="12140"/>
    <cellStyle name="20% - Accent5 7 2 4" xfId="20582"/>
    <cellStyle name="20% - Accent5 7 2 5" xfId="29022"/>
    <cellStyle name="20% - Accent5 7 3" xfId="5777"/>
    <cellStyle name="20% - Accent5 7 3 2" xfId="14213"/>
    <cellStyle name="20% - Accent5 7 3 3" xfId="22654"/>
    <cellStyle name="20% - Accent5 7 3 4" xfId="31094"/>
    <cellStyle name="20% - Accent5 7 4" xfId="9995"/>
    <cellStyle name="20% - Accent5 7 5" xfId="18437"/>
    <cellStyle name="20% - Accent5 7 6" xfId="26877"/>
    <cellStyle name="20% - Accent5 8" xfId="1883"/>
    <cellStyle name="20% - Accent5 8 2" xfId="4112"/>
    <cellStyle name="20% - Accent5 8 2 2" xfId="8335"/>
    <cellStyle name="20% - Accent5 8 2 2 2" xfId="16771"/>
    <cellStyle name="20% - Accent5 8 2 2 3" xfId="25212"/>
    <cellStyle name="20% - Accent5 8 2 2 4" xfId="33652"/>
    <cellStyle name="20% - Accent5 8 2 3" xfId="12553"/>
    <cellStyle name="20% - Accent5 8 2 4" xfId="20995"/>
    <cellStyle name="20% - Accent5 8 2 5" xfId="29435"/>
    <cellStyle name="20% - Accent5 8 3" xfId="6190"/>
    <cellStyle name="20% - Accent5 8 3 2" xfId="14626"/>
    <cellStyle name="20% - Accent5 8 3 3" xfId="23067"/>
    <cellStyle name="20% - Accent5 8 3 4" xfId="31507"/>
    <cellStyle name="20% - Accent5 8 4" xfId="10408"/>
    <cellStyle name="20% - Accent5 8 5" xfId="18850"/>
    <cellStyle name="20% - Accent5 8 6" xfId="27290"/>
    <cellStyle name="20% - Accent5 9" xfId="2296"/>
    <cellStyle name="20% - Accent5 9 2" xfId="6603"/>
    <cellStyle name="20% - Accent5 9 2 2" xfId="15039"/>
    <cellStyle name="20% - Accent5 9 2 3" xfId="23480"/>
    <cellStyle name="20% - Accent5 9 2 4" xfId="31920"/>
    <cellStyle name="20% - Accent5 9 3" xfId="10821"/>
    <cellStyle name="20% - Accent5 9 4" xfId="19263"/>
    <cellStyle name="20% - Accent5 9 5" xfId="27703"/>
    <cellStyle name="20% - Accent6" xfId="41" builtinId="50" customBuiltin="1"/>
    <cellStyle name="20% - Accent6 10" xfId="4545"/>
    <cellStyle name="20% - Accent6 10 2" xfId="12981"/>
    <cellStyle name="20% - Accent6 10 3" xfId="21422"/>
    <cellStyle name="20% - Accent6 10 4" xfId="29862"/>
    <cellStyle name="20% - Accent6 11" xfId="8763"/>
    <cellStyle name="20% - Accent6 12" xfId="17205"/>
    <cellStyle name="20% - Accent6 13" xfId="25645"/>
    <cellStyle name="20% - Accent6 2" xfId="42"/>
    <cellStyle name="20% - Accent6 2 10" xfId="8764"/>
    <cellStyle name="20% - Accent6 2 11" xfId="17206"/>
    <cellStyle name="20% - Accent6 2 12" xfId="25646"/>
    <cellStyle name="20% - Accent6 2 2" xfId="43"/>
    <cellStyle name="20% - Accent6 2 2 10" xfId="17207"/>
    <cellStyle name="20% - Accent6 2 2 11" xfId="25647"/>
    <cellStyle name="20% - Accent6 2 2 2" xfId="44"/>
    <cellStyle name="20% - Accent6 2 2 2 10" xfId="25648"/>
    <cellStyle name="20% - Accent6 2 2 2 2" xfId="613"/>
    <cellStyle name="20% - Accent6 2 2 2 2 2" xfId="2884"/>
    <cellStyle name="20% - Accent6 2 2 2 2 2 2" xfId="7107"/>
    <cellStyle name="20% - Accent6 2 2 2 2 2 2 2" xfId="15543"/>
    <cellStyle name="20% - Accent6 2 2 2 2 2 2 3" xfId="23984"/>
    <cellStyle name="20% - Accent6 2 2 2 2 2 2 4" xfId="32424"/>
    <cellStyle name="20% - Accent6 2 2 2 2 2 3" xfId="11325"/>
    <cellStyle name="20% - Accent6 2 2 2 2 2 4" xfId="19767"/>
    <cellStyle name="20% - Accent6 2 2 2 2 2 5" xfId="28207"/>
    <cellStyle name="20% - Accent6 2 2 2 2 3" xfId="4962"/>
    <cellStyle name="20% - Accent6 2 2 2 2 3 2" xfId="13398"/>
    <cellStyle name="20% - Accent6 2 2 2 2 3 3" xfId="21839"/>
    <cellStyle name="20% - Accent6 2 2 2 2 3 4" xfId="30279"/>
    <cellStyle name="20% - Accent6 2 2 2 2 4" xfId="9180"/>
    <cellStyle name="20% - Accent6 2 2 2 2 5" xfId="17622"/>
    <cellStyle name="20% - Accent6 2 2 2 2 6" xfId="26062"/>
    <cellStyle name="20% - Accent6 2 2 2 3" xfId="1066"/>
    <cellStyle name="20% - Accent6 2 2 2 3 2" xfId="3297"/>
    <cellStyle name="20% - Accent6 2 2 2 3 2 2" xfId="7520"/>
    <cellStyle name="20% - Accent6 2 2 2 3 2 2 2" xfId="15956"/>
    <cellStyle name="20% - Accent6 2 2 2 3 2 2 3" xfId="24397"/>
    <cellStyle name="20% - Accent6 2 2 2 3 2 2 4" xfId="32837"/>
    <cellStyle name="20% - Accent6 2 2 2 3 2 3" xfId="11738"/>
    <cellStyle name="20% - Accent6 2 2 2 3 2 4" xfId="20180"/>
    <cellStyle name="20% - Accent6 2 2 2 3 2 5" xfId="28620"/>
    <cellStyle name="20% - Accent6 2 2 2 3 3" xfId="5375"/>
    <cellStyle name="20% - Accent6 2 2 2 3 3 2" xfId="13811"/>
    <cellStyle name="20% - Accent6 2 2 2 3 3 3" xfId="22252"/>
    <cellStyle name="20% - Accent6 2 2 2 3 3 4" xfId="30692"/>
    <cellStyle name="20% - Accent6 2 2 2 3 4" xfId="9593"/>
    <cellStyle name="20% - Accent6 2 2 2 3 5" xfId="18035"/>
    <cellStyle name="20% - Accent6 2 2 2 3 6" xfId="26475"/>
    <cellStyle name="20% - Accent6 2 2 2 4" xfId="1480"/>
    <cellStyle name="20% - Accent6 2 2 2 4 2" xfId="3710"/>
    <cellStyle name="20% - Accent6 2 2 2 4 2 2" xfId="7933"/>
    <cellStyle name="20% - Accent6 2 2 2 4 2 2 2" xfId="16369"/>
    <cellStyle name="20% - Accent6 2 2 2 4 2 2 3" xfId="24810"/>
    <cellStyle name="20% - Accent6 2 2 2 4 2 2 4" xfId="33250"/>
    <cellStyle name="20% - Accent6 2 2 2 4 2 3" xfId="12151"/>
    <cellStyle name="20% - Accent6 2 2 2 4 2 4" xfId="20593"/>
    <cellStyle name="20% - Accent6 2 2 2 4 2 5" xfId="29033"/>
    <cellStyle name="20% - Accent6 2 2 2 4 3" xfId="5788"/>
    <cellStyle name="20% - Accent6 2 2 2 4 3 2" xfId="14224"/>
    <cellStyle name="20% - Accent6 2 2 2 4 3 3" xfId="22665"/>
    <cellStyle name="20% - Accent6 2 2 2 4 3 4" xfId="31105"/>
    <cellStyle name="20% - Accent6 2 2 2 4 4" xfId="10006"/>
    <cellStyle name="20% - Accent6 2 2 2 4 5" xfId="18448"/>
    <cellStyle name="20% - Accent6 2 2 2 4 6" xfId="26888"/>
    <cellStyle name="20% - Accent6 2 2 2 5" xfId="1894"/>
    <cellStyle name="20% - Accent6 2 2 2 5 2" xfId="4123"/>
    <cellStyle name="20% - Accent6 2 2 2 5 2 2" xfId="8346"/>
    <cellStyle name="20% - Accent6 2 2 2 5 2 2 2" xfId="16782"/>
    <cellStyle name="20% - Accent6 2 2 2 5 2 2 3" xfId="25223"/>
    <cellStyle name="20% - Accent6 2 2 2 5 2 2 4" xfId="33663"/>
    <cellStyle name="20% - Accent6 2 2 2 5 2 3" xfId="12564"/>
    <cellStyle name="20% - Accent6 2 2 2 5 2 4" xfId="21006"/>
    <cellStyle name="20% - Accent6 2 2 2 5 2 5" xfId="29446"/>
    <cellStyle name="20% - Accent6 2 2 2 5 3" xfId="6201"/>
    <cellStyle name="20% - Accent6 2 2 2 5 3 2" xfId="14637"/>
    <cellStyle name="20% - Accent6 2 2 2 5 3 3" xfId="23078"/>
    <cellStyle name="20% - Accent6 2 2 2 5 3 4" xfId="31518"/>
    <cellStyle name="20% - Accent6 2 2 2 5 4" xfId="10419"/>
    <cellStyle name="20% - Accent6 2 2 2 5 5" xfId="18861"/>
    <cellStyle name="20% - Accent6 2 2 2 5 6" xfId="27301"/>
    <cellStyle name="20% - Accent6 2 2 2 6" xfId="2307"/>
    <cellStyle name="20% - Accent6 2 2 2 6 2" xfId="6614"/>
    <cellStyle name="20% - Accent6 2 2 2 6 2 2" xfId="15050"/>
    <cellStyle name="20% - Accent6 2 2 2 6 2 3" xfId="23491"/>
    <cellStyle name="20% - Accent6 2 2 2 6 2 4" xfId="31931"/>
    <cellStyle name="20% - Accent6 2 2 2 6 3" xfId="10832"/>
    <cellStyle name="20% - Accent6 2 2 2 6 4" xfId="19274"/>
    <cellStyle name="20% - Accent6 2 2 2 6 5" xfId="27714"/>
    <cellStyle name="20% - Accent6 2 2 2 7" xfId="4548"/>
    <cellStyle name="20% - Accent6 2 2 2 7 2" xfId="12984"/>
    <cellStyle name="20% - Accent6 2 2 2 7 3" xfId="21425"/>
    <cellStyle name="20% - Accent6 2 2 2 7 4" xfId="29865"/>
    <cellStyle name="20% - Accent6 2 2 2 8" xfId="8766"/>
    <cellStyle name="20% - Accent6 2 2 2 9" xfId="17208"/>
    <cellStyle name="20% - Accent6 2 2 3" xfId="612"/>
    <cellStyle name="20% - Accent6 2 2 3 2" xfId="2883"/>
    <cellStyle name="20% - Accent6 2 2 3 2 2" xfId="7106"/>
    <cellStyle name="20% - Accent6 2 2 3 2 2 2" xfId="15542"/>
    <cellStyle name="20% - Accent6 2 2 3 2 2 3" xfId="23983"/>
    <cellStyle name="20% - Accent6 2 2 3 2 2 4" xfId="32423"/>
    <cellStyle name="20% - Accent6 2 2 3 2 3" xfId="11324"/>
    <cellStyle name="20% - Accent6 2 2 3 2 4" xfId="19766"/>
    <cellStyle name="20% - Accent6 2 2 3 2 5" xfId="28206"/>
    <cellStyle name="20% - Accent6 2 2 3 3" xfId="4961"/>
    <cellStyle name="20% - Accent6 2 2 3 3 2" xfId="13397"/>
    <cellStyle name="20% - Accent6 2 2 3 3 3" xfId="21838"/>
    <cellStyle name="20% - Accent6 2 2 3 3 4" xfId="30278"/>
    <cellStyle name="20% - Accent6 2 2 3 4" xfId="9179"/>
    <cellStyle name="20% - Accent6 2 2 3 5" xfId="17621"/>
    <cellStyle name="20% - Accent6 2 2 3 6" xfId="26061"/>
    <cellStyle name="20% - Accent6 2 2 4" xfId="1065"/>
    <cellStyle name="20% - Accent6 2 2 4 2" xfId="3296"/>
    <cellStyle name="20% - Accent6 2 2 4 2 2" xfId="7519"/>
    <cellStyle name="20% - Accent6 2 2 4 2 2 2" xfId="15955"/>
    <cellStyle name="20% - Accent6 2 2 4 2 2 3" xfId="24396"/>
    <cellStyle name="20% - Accent6 2 2 4 2 2 4" xfId="32836"/>
    <cellStyle name="20% - Accent6 2 2 4 2 3" xfId="11737"/>
    <cellStyle name="20% - Accent6 2 2 4 2 4" xfId="20179"/>
    <cellStyle name="20% - Accent6 2 2 4 2 5" xfId="28619"/>
    <cellStyle name="20% - Accent6 2 2 4 3" xfId="5374"/>
    <cellStyle name="20% - Accent6 2 2 4 3 2" xfId="13810"/>
    <cellStyle name="20% - Accent6 2 2 4 3 3" xfId="22251"/>
    <cellStyle name="20% - Accent6 2 2 4 3 4" xfId="30691"/>
    <cellStyle name="20% - Accent6 2 2 4 4" xfId="9592"/>
    <cellStyle name="20% - Accent6 2 2 4 5" xfId="18034"/>
    <cellStyle name="20% - Accent6 2 2 4 6" xfId="26474"/>
    <cellStyle name="20% - Accent6 2 2 5" xfId="1479"/>
    <cellStyle name="20% - Accent6 2 2 5 2" xfId="3709"/>
    <cellStyle name="20% - Accent6 2 2 5 2 2" xfId="7932"/>
    <cellStyle name="20% - Accent6 2 2 5 2 2 2" xfId="16368"/>
    <cellStyle name="20% - Accent6 2 2 5 2 2 3" xfId="24809"/>
    <cellStyle name="20% - Accent6 2 2 5 2 2 4" xfId="33249"/>
    <cellStyle name="20% - Accent6 2 2 5 2 3" xfId="12150"/>
    <cellStyle name="20% - Accent6 2 2 5 2 4" xfId="20592"/>
    <cellStyle name="20% - Accent6 2 2 5 2 5" xfId="29032"/>
    <cellStyle name="20% - Accent6 2 2 5 3" xfId="5787"/>
    <cellStyle name="20% - Accent6 2 2 5 3 2" xfId="14223"/>
    <cellStyle name="20% - Accent6 2 2 5 3 3" xfId="22664"/>
    <cellStyle name="20% - Accent6 2 2 5 3 4" xfId="31104"/>
    <cellStyle name="20% - Accent6 2 2 5 4" xfId="10005"/>
    <cellStyle name="20% - Accent6 2 2 5 5" xfId="18447"/>
    <cellStyle name="20% - Accent6 2 2 5 6" xfId="26887"/>
    <cellStyle name="20% - Accent6 2 2 6" xfId="1893"/>
    <cellStyle name="20% - Accent6 2 2 6 2" xfId="4122"/>
    <cellStyle name="20% - Accent6 2 2 6 2 2" xfId="8345"/>
    <cellStyle name="20% - Accent6 2 2 6 2 2 2" xfId="16781"/>
    <cellStyle name="20% - Accent6 2 2 6 2 2 3" xfId="25222"/>
    <cellStyle name="20% - Accent6 2 2 6 2 2 4" xfId="33662"/>
    <cellStyle name="20% - Accent6 2 2 6 2 3" xfId="12563"/>
    <cellStyle name="20% - Accent6 2 2 6 2 4" xfId="21005"/>
    <cellStyle name="20% - Accent6 2 2 6 2 5" xfId="29445"/>
    <cellStyle name="20% - Accent6 2 2 6 3" xfId="6200"/>
    <cellStyle name="20% - Accent6 2 2 6 3 2" xfId="14636"/>
    <cellStyle name="20% - Accent6 2 2 6 3 3" xfId="23077"/>
    <cellStyle name="20% - Accent6 2 2 6 3 4" xfId="31517"/>
    <cellStyle name="20% - Accent6 2 2 6 4" xfId="10418"/>
    <cellStyle name="20% - Accent6 2 2 6 5" xfId="18860"/>
    <cellStyle name="20% - Accent6 2 2 6 6" xfId="27300"/>
    <cellStyle name="20% - Accent6 2 2 7" xfId="2306"/>
    <cellStyle name="20% - Accent6 2 2 7 2" xfId="6613"/>
    <cellStyle name="20% - Accent6 2 2 7 2 2" xfId="15049"/>
    <cellStyle name="20% - Accent6 2 2 7 2 3" xfId="23490"/>
    <cellStyle name="20% - Accent6 2 2 7 2 4" xfId="31930"/>
    <cellStyle name="20% - Accent6 2 2 7 3" xfId="10831"/>
    <cellStyle name="20% - Accent6 2 2 7 4" xfId="19273"/>
    <cellStyle name="20% - Accent6 2 2 7 5" xfId="27713"/>
    <cellStyle name="20% - Accent6 2 2 8" xfId="4547"/>
    <cellStyle name="20% - Accent6 2 2 8 2" xfId="12983"/>
    <cellStyle name="20% - Accent6 2 2 8 3" xfId="21424"/>
    <cellStyle name="20% - Accent6 2 2 8 4" xfId="29864"/>
    <cellStyle name="20% - Accent6 2 2 9" xfId="8765"/>
    <cellStyle name="20% - Accent6 2 3" xfId="45"/>
    <cellStyle name="20% - Accent6 2 3 10" xfId="25649"/>
    <cellStyle name="20% - Accent6 2 3 2" xfId="614"/>
    <cellStyle name="20% - Accent6 2 3 2 2" xfId="2885"/>
    <cellStyle name="20% - Accent6 2 3 2 2 2" xfId="7108"/>
    <cellStyle name="20% - Accent6 2 3 2 2 2 2" xfId="15544"/>
    <cellStyle name="20% - Accent6 2 3 2 2 2 3" xfId="23985"/>
    <cellStyle name="20% - Accent6 2 3 2 2 2 4" xfId="32425"/>
    <cellStyle name="20% - Accent6 2 3 2 2 3" xfId="11326"/>
    <cellStyle name="20% - Accent6 2 3 2 2 4" xfId="19768"/>
    <cellStyle name="20% - Accent6 2 3 2 2 5" xfId="28208"/>
    <cellStyle name="20% - Accent6 2 3 2 3" xfId="4963"/>
    <cellStyle name="20% - Accent6 2 3 2 3 2" xfId="13399"/>
    <cellStyle name="20% - Accent6 2 3 2 3 3" xfId="21840"/>
    <cellStyle name="20% - Accent6 2 3 2 3 4" xfId="30280"/>
    <cellStyle name="20% - Accent6 2 3 2 4" xfId="9181"/>
    <cellStyle name="20% - Accent6 2 3 2 5" xfId="17623"/>
    <cellStyle name="20% - Accent6 2 3 2 6" xfId="26063"/>
    <cellStyle name="20% - Accent6 2 3 3" xfId="1067"/>
    <cellStyle name="20% - Accent6 2 3 3 2" xfId="3298"/>
    <cellStyle name="20% - Accent6 2 3 3 2 2" xfId="7521"/>
    <cellStyle name="20% - Accent6 2 3 3 2 2 2" xfId="15957"/>
    <cellStyle name="20% - Accent6 2 3 3 2 2 3" xfId="24398"/>
    <cellStyle name="20% - Accent6 2 3 3 2 2 4" xfId="32838"/>
    <cellStyle name="20% - Accent6 2 3 3 2 3" xfId="11739"/>
    <cellStyle name="20% - Accent6 2 3 3 2 4" xfId="20181"/>
    <cellStyle name="20% - Accent6 2 3 3 2 5" xfId="28621"/>
    <cellStyle name="20% - Accent6 2 3 3 3" xfId="5376"/>
    <cellStyle name="20% - Accent6 2 3 3 3 2" xfId="13812"/>
    <cellStyle name="20% - Accent6 2 3 3 3 3" xfId="22253"/>
    <cellStyle name="20% - Accent6 2 3 3 3 4" xfId="30693"/>
    <cellStyle name="20% - Accent6 2 3 3 4" xfId="9594"/>
    <cellStyle name="20% - Accent6 2 3 3 5" xfId="18036"/>
    <cellStyle name="20% - Accent6 2 3 3 6" xfId="26476"/>
    <cellStyle name="20% - Accent6 2 3 4" xfId="1481"/>
    <cellStyle name="20% - Accent6 2 3 4 2" xfId="3711"/>
    <cellStyle name="20% - Accent6 2 3 4 2 2" xfId="7934"/>
    <cellStyle name="20% - Accent6 2 3 4 2 2 2" xfId="16370"/>
    <cellStyle name="20% - Accent6 2 3 4 2 2 3" xfId="24811"/>
    <cellStyle name="20% - Accent6 2 3 4 2 2 4" xfId="33251"/>
    <cellStyle name="20% - Accent6 2 3 4 2 3" xfId="12152"/>
    <cellStyle name="20% - Accent6 2 3 4 2 4" xfId="20594"/>
    <cellStyle name="20% - Accent6 2 3 4 2 5" xfId="29034"/>
    <cellStyle name="20% - Accent6 2 3 4 3" xfId="5789"/>
    <cellStyle name="20% - Accent6 2 3 4 3 2" xfId="14225"/>
    <cellStyle name="20% - Accent6 2 3 4 3 3" xfId="22666"/>
    <cellStyle name="20% - Accent6 2 3 4 3 4" xfId="31106"/>
    <cellStyle name="20% - Accent6 2 3 4 4" xfId="10007"/>
    <cellStyle name="20% - Accent6 2 3 4 5" xfId="18449"/>
    <cellStyle name="20% - Accent6 2 3 4 6" xfId="26889"/>
    <cellStyle name="20% - Accent6 2 3 5" xfId="1895"/>
    <cellStyle name="20% - Accent6 2 3 5 2" xfId="4124"/>
    <cellStyle name="20% - Accent6 2 3 5 2 2" xfId="8347"/>
    <cellStyle name="20% - Accent6 2 3 5 2 2 2" xfId="16783"/>
    <cellStyle name="20% - Accent6 2 3 5 2 2 3" xfId="25224"/>
    <cellStyle name="20% - Accent6 2 3 5 2 2 4" xfId="33664"/>
    <cellStyle name="20% - Accent6 2 3 5 2 3" xfId="12565"/>
    <cellStyle name="20% - Accent6 2 3 5 2 4" xfId="21007"/>
    <cellStyle name="20% - Accent6 2 3 5 2 5" xfId="29447"/>
    <cellStyle name="20% - Accent6 2 3 5 3" xfId="6202"/>
    <cellStyle name="20% - Accent6 2 3 5 3 2" xfId="14638"/>
    <cellStyle name="20% - Accent6 2 3 5 3 3" xfId="23079"/>
    <cellStyle name="20% - Accent6 2 3 5 3 4" xfId="31519"/>
    <cellStyle name="20% - Accent6 2 3 5 4" xfId="10420"/>
    <cellStyle name="20% - Accent6 2 3 5 5" xfId="18862"/>
    <cellStyle name="20% - Accent6 2 3 5 6" xfId="27302"/>
    <cellStyle name="20% - Accent6 2 3 6" xfId="2308"/>
    <cellStyle name="20% - Accent6 2 3 6 2" xfId="6615"/>
    <cellStyle name="20% - Accent6 2 3 6 2 2" xfId="15051"/>
    <cellStyle name="20% - Accent6 2 3 6 2 3" xfId="23492"/>
    <cellStyle name="20% - Accent6 2 3 6 2 4" xfId="31932"/>
    <cellStyle name="20% - Accent6 2 3 6 3" xfId="10833"/>
    <cellStyle name="20% - Accent6 2 3 6 4" xfId="19275"/>
    <cellStyle name="20% - Accent6 2 3 6 5" xfId="27715"/>
    <cellStyle name="20% - Accent6 2 3 7" xfId="4549"/>
    <cellStyle name="20% - Accent6 2 3 7 2" xfId="12985"/>
    <cellStyle name="20% - Accent6 2 3 7 3" xfId="21426"/>
    <cellStyle name="20% - Accent6 2 3 7 4" xfId="29866"/>
    <cellStyle name="20% - Accent6 2 3 8" xfId="8767"/>
    <cellStyle name="20% - Accent6 2 3 9" xfId="17209"/>
    <cellStyle name="20% - Accent6 2 4" xfId="611"/>
    <cellStyle name="20% - Accent6 2 4 2" xfId="2882"/>
    <cellStyle name="20% - Accent6 2 4 2 2" xfId="7105"/>
    <cellStyle name="20% - Accent6 2 4 2 2 2" xfId="15541"/>
    <cellStyle name="20% - Accent6 2 4 2 2 3" xfId="23982"/>
    <cellStyle name="20% - Accent6 2 4 2 2 4" xfId="32422"/>
    <cellStyle name="20% - Accent6 2 4 2 3" xfId="11323"/>
    <cellStyle name="20% - Accent6 2 4 2 4" xfId="19765"/>
    <cellStyle name="20% - Accent6 2 4 2 5" xfId="28205"/>
    <cellStyle name="20% - Accent6 2 4 3" xfId="4960"/>
    <cellStyle name="20% - Accent6 2 4 3 2" xfId="13396"/>
    <cellStyle name="20% - Accent6 2 4 3 3" xfId="21837"/>
    <cellStyle name="20% - Accent6 2 4 3 4" xfId="30277"/>
    <cellStyle name="20% - Accent6 2 4 4" xfId="9178"/>
    <cellStyle name="20% - Accent6 2 4 5" xfId="17620"/>
    <cellStyle name="20% - Accent6 2 4 6" xfId="26060"/>
    <cellStyle name="20% - Accent6 2 5" xfId="1064"/>
    <cellStyle name="20% - Accent6 2 5 2" xfId="3295"/>
    <cellStyle name="20% - Accent6 2 5 2 2" xfId="7518"/>
    <cellStyle name="20% - Accent6 2 5 2 2 2" xfId="15954"/>
    <cellStyle name="20% - Accent6 2 5 2 2 3" xfId="24395"/>
    <cellStyle name="20% - Accent6 2 5 2 2 4" xfId="32835"/>
    <cellStyle name="20% - Accent6 2 5 2 3" xfId="11736"/>
    <cellStyle name="20% - Accent6 2 5 2 4" xfId="20178"/>
    <cellStyle name="20% - Accent6 2 5 2 5" xfId="28618"/>
    <cellStyle name="20% - Accent6 2 5 3" xfId="5373"/>
    <cellStyle name="20% - Accent6 2 5 3 2" xfId="13809"/>
    <cellStyle name="20% - Accent6 2 5 3 3" xfId="22250"/>
    <cellStyle name="20% - Accent6 2 5 3 4" xfId="30690"/>
    <cellStyle name="20% - Accent6 2 5 4" xfId="9591"/>
    <cellStyle name="20% - Accent6 2 5 5" xfId="18033"/>
    <cellStyle name="20% - Accent6 2 5 6" xfId="26473"/>
    <cellStyle name="20% - Accent6 2 6" xfId="1478"/>
    <cellStyle name="20% - Accent6 2 6 2" xfId="3708"/>
    <cellStyle name="20% - Accent6 2 6 2 2" xfId="7931"/>
    <cellStyle name="20% - Accent6 2 6 2 2 2" xfId="16367"/>
    <cellStyle name="20% - Accent6 2 6 2 2 3" xfId="24808"/>
    <cellStyle name="20% - Accent6 2 6 2 2 4" xfId="33248"/>
    <cellStyle name="20% - Accent6 2 6 2 3" xfId="12149"/>
    <cellStyle name="20% - Accent6 2 6 2 4" xfId="20591"/>
    <cellStyle name="20% - Accent6 2 6 2 5" xfId="29031"/>
    <cellStyle name="20% - Accent6 2 6 3" xfId="5786"/>
    <cellStyle name="20% - Accent6 2 6 3 2" xfId="14222"/>
    <cellStyle name="20% - Accent6 2 6 3 3" xfId="22663"/>
    <cellStyle name="20% - Accent6 2 6 3 4" xfId="31103"/>
    <cellStyle name="20% - Accent6 2 6 4" xfId="10004"/>
    <cellStyle name="20% - Accent6 2 6 5" xfId="18446"/>
    <cellStyle name="20% - Accent6 2 6 6" xfId="26886"/>
    <cellStyle name="20% - Accent6 2 7" xfId="1892"/>
    <cellStyle name="20% - Accent6 2 7 2" xfId="4121"/>
    <cellStyle name="20% - Accent6 2 7 2 2" xfId="8344"/>
    <cellStyle name="20% - Accent6 2 7 2 2 2" xfId="16780"/>
    <cellStyle name="20% - Accent6 2 7 2 2 3" xfId="25221"/>
    <cellStyle name="20% - Accent6 2 7 2 2 4" xfId="33661"/>
    <cellStyle name="20% - Accent6 2 7 2 3" xfId="12562"/>
    <cellStyle name="20% - Accent6 2 7 2 4" xfId="21004"/>
    <cellStyle name="20% - Accent6 2 7 2 5" xfId="29444"/>
    <cellStyle name="20% - Accent6 2 7 3" xfId="6199"/>
    <cellStyle name="20% - Accent6 2 7 3 2" xfId="14635"/>
    <cellStyle name="20% - Accent6 2 7 3 3" xfId="23076"/>
    <cellStyle name="20% - Accent6 2 7 3 4" xfId="31516"/>
    <cellStyle name="20% - Accent6 2 7 4" xfId="10417"/>
    <cellStyle name="20% - Accent6 2 7 5" xfId="18859"/>
    <cellStyle name="20% - Accent6 2 7 6" xfId="27299"/>
    <cellStyle name="20% - Accent6 2 8" xfId="2305"/>
    <cellStyle name="20% - Accent6 2 8 2" xfId="6612"/>
    <cellStyle name="20% - Accent6 2 8 2 2" xfId="15048"/>
    <cellStyle name="20% - Accent6 2 8 2 3" xfId="23489"/>
    <cellStyle name="20% - Accent6 2 8 2 4" xfId="31929"/>
    <cellStyle name="20% - Accent6 2 8 3" xfId="10830"/>
    <cellStyle name="20% - Accent6 2 8 4" xfId="19272"/>
    <cellStyle name="20% - Accent6 2 8 5" xfId="27712"/>
    <cellStyle name="20% - Accent6 2 9" xfId="4546"/>
    <cellStyle name="20% - Accent6 2 9 2" xfId="12982"/>
    <cellStyle name="20% - Accent6 2 9 3" xfId="21423"/>
    <cellStyle name="20% - Accent6 2 9 4" xfId="29863"/>
    <cellStyle name="20% - Accent6 3" xfId="46"/>
    <cellStyle name="20% - Accent6 3 10" xfId="17210"/>
    <cellStyle name="20% - Accent6 3 11" xfId="25650"/>
    <cellStyle name="20% - Accent6 3 2" xfId="47"/>
    <cellStyle name="20% - Accent6 3 2 10" xfId="25651"/>
    <cellStyle name="20% - Accent6 3 2 2" xfId="616"/>
    <cellStyle name="20% - Accent6 3 2 2 2" xfId="2887"/>
    <cellStyle name="20% - Accent6 3 2 2 2 2" xfId="7110"/>
    <cellStyle name="20% - Accent6 3 2 2 2 2 2" xfId="15546"/>
    <cellStyle name="20% - Accent6 3 2 2 2 2 3" xfId="23987"/>
    <cellStyle name="20% - Accent6 3 2 2 2 2 4" xfId="32427"/>
    <cellStyle name="20% - Accent6 3 2 2 2 3" xfId="11328"/>
    <cellStyle name="20% - Accent6 3 2 2 2 4" xfId="19770"/>
    <cellStyle name="20% - Accent6 3 2 2 2 5" xfId="28210"/>
    <cellStyle name="20% - Accent6 3 2 2 3" xfId="4965"/>
    <cellStyle name="20% - Accent6 3 2 2 3 2" xfId="13401"/>
    <cellStyle name="20% - Accent6 3 2 2 3 3" xfId="21842"/>
    <cellStyle name="20% - Accent6 3 2 2 3 4" xfId="30282"/>
    <cellStyle name="20% - Accent6 3 2 2 4" xfId="9183"/>
    <cellStyle name="20% - Accent6 3 2 2 5" xfId="17625"/>
    <cellStyle name="20% - Accent6 3 2 2 6" xfId="26065"/>
    <cellStyle name="20% - Accent6 3 2 3" xfId="1069"/>
    <cellStyle name="20% - Accent6 3 2 3 2" xfId="3300"/>
    <cellStyle name="20% - Accent6 3 2 3 2 2" xfId="7523"/>
    <cellStyle name="20% - Accent6 3 2 3 2 2 2" xfId="15959"/>
    <cellStyle name="20% - Accent6 3 2 3 2 2 3" xfId="24400"/>
    <cellStyle name="20% - Accent6 3 2 3 2 2 4" xfId="32840"/>
    <cellStyle name="20% - Accent6 3 2 3 2 3" xfId="11741"/>
    <cellStyle name="20% - Accent6 3 2 3 2 4" xfId="20183"/>
    <cellStyle name="20% - Accent6 3 2 3 2 5" xfId="28623"/>
    <cellStyle name="20% - Accent6 3 2 3 3" xfId="5378"/>
    <cellStyle name="20% - Accent6 3 2 3 3 2" xfId="13814"/>
    <cellStyle name="20% - Accent6 3 2 3 3 3" xfId="22255"/>
    <cellStyle name="20% - Accent6 3 2 3 3 4" xfId="30695"/>
    <cellStyle name="20% - Accent6 3 2 3 4" xfId="9596"/>
    <cellStyle name="20% - Accent6 3 2 3 5" xfId="18038"/>
    <cellStyle name="20% - Accent6 3 2 3 6" xfId="26478"/>
    <cellStyle name="20% - Accent6 3 2 4" xfId="1483"/>
    <cellStyle name="20% - Accent6 3 2 4 2" xfId="3713"/>
    <cellStyle name="20% - Accent6 3 2 4 2 2" xfId="7936"/>
    <cellStyle name="20% - Accent6 3 2 4 2 2 2" xfId="16372"/>
    <cellStyle name="20% - Accent6 3 2 4 2 2 3" xfId="24813"/>
    <cellStyle name="20% - Accent6 3 2 4 2 2 4" xfId="33253"/>
    <cellStyle name="20% - Accent6 3 2 4 2 3" xfId="12154"/>
    <cellStyle name="20% - Accent6 3 2 4 2 4" xfId="20596"/>
    <cellStyle name="20% - Accent6 3 2 4 2 5" xfId="29036"/>
    <cellStyle name="20% - Accent6 3 2 4 3" xfId="5791"/>
    <cellStyle name="20% - Accent6 3 2 4 3 2" xfId="14227"/>
    <cellStyle name="20% - Accent6 3 2 4 3 3" xfId="22668"/>
    <cellStyle name="20% - Accent6 3 2 4 3 4" xfId="31108"/>
    <cellStyle name="20% - Accent6 3 2 4 4" xfId="10009"/>
    <cellStyle name="20% - Accent6 3 2 4 5" xfId="18451"/>
    <cellStyle name="20% - Accent6 3 2 4 6" xfId="26891"/>
    <cellStyle name="20% - Accent6 3 2 5" xfId="1897"/>
    <cellStyle name="20% - Accent6 3 2 5 2" xfId="4126"/>
    <cellStyle name="20% - Accent6 3 2 5 2 2" xfId="8349"/>
    <cellStyle name="20% - Accent6 3 2 5 2 2 2" xfId="16785"/>
    <cellStyle name="20% - Accent6 3 2 5 2 2 3" xfId="25226"/>
    <cellStyle name="20% - Accent6 3 2 5 2 2 4" xfId="33666"/>
    <cellStyle name="20% - Accent6 3 2 5 2 3" xfId="12567"/>
    <cellStyle name="20% - Accent6 3 2 5 2 4" xfId="21009"/>
    <cellStyle name="20% - Accent6 3 2 5 2 5" xfId="29449"/>
    <cellStyle name="20% - Accent6 3 2 5 3" xfId="6204"/>
    <cellStyle name="20% - Accent6 3 2 5 3 2" xfId="14640"/>
    <cellStyle name="20% - Accent6 3 2 5 3 3" xfId="23081"/>
    <cellStyle name="20% - Accent6 3 2 5 3 4" xfId="31521"/>
    <cellStyle name="20% - Accent6 3 2 5 4" xfId="10422"/>
    <cellStyle name="20% - Accent6 3 2 5 5" xfId="18864"/>
    <cellStyle name="20% - Accent6 3 2 5 6" xfId="27304"/>
    <cellStyle name="20% - Accent6 3 2 6" xfId="2310"/>
    <cellStyle name="20% - Accent6 3 2 6 2" xfId="6617"/>
    <cellStyle name="20% - Accent6 3 2 6 2 2" xfId="15053"/>
    <cellStyle name="20% - Accent6 3 2 6 2 3" xfId="23494"/>
    <cellStyle name="20% - Accent6 3 2 6 2 4" xfId="31934"/>
    <cellStyle name="20% - Accent6 3 2 6 3" xfId="10835"/>
    <cellStyle name="20% - Accent6 3 2 6 4" xfId="19277"/>
    <cellStyle name="20% - Accent6 3 2 6 5" xfId="27717"/>
    <cellStyle name="20% - Accent6 3 2 7" xfId="4551"/>
    <cellStyle name="20% - Accent6 3 2 7 2" xfId="12987"/>
    <cellStyle name="20% - Accent6 3 2 7 3" xfId="21428"/>
    <cellStyle name="20% - Accent6 3 2 7 4" xfId="29868"/>
    <cellStyle name="20% - Accent6 3 2 8" xfId="8769"/>
    <cellStyle name="20% - Accent6 3 2 9" xfId="17211"/>
    <cellStyle name="20% - Accent6 3 3" xfId="615"/>
    <cellStyle name="20% - Accent6 3 3 2" xfId="2886"/>
    <cellStyle name="20% - Accent6 3 3 2 2" xfId="7109"/>
    <cellStyle name="20% - Accent6 3 3 2 2 2" xfId="15545"/>
    <cellStyle name="20% - Accent6 3 3 2 2 3" xfId="23986"/>
    <cellStyle name="20% - Accent6 3 3 2 2 4" xfId="32426"/>
    <cellStyle name="20% - Accent6 3 3 2 3" xfId="11327"/>
    <cellStyle name="20% - Accent6 3 3 2 4" xfId="19769"/>
    <cellStyle name="20% - Accent6 3 3 2 5" xfId="28209"/>
    <cellStyle name="20% - Accent6 3 3 3" xfId="4964"/>
    <cellStyle name="20% - Accent6 3 3 3 2" xfId="13400"/>
    <cellStyle name="20% - Accent6 3 3 3 3" xfId="21841"/>
    <cellStyle name="20% - Accent6 3 3 3 4" xfId="30281"/>
    <cellStyle name="20% - Accent6 3 3 4" xfId="9182"/>
    <cellStyle name="20% - Accent6 3 3 5" xfId="17624"/>
    <cellStyle name="20% - Accent6 3 3 6" xfId="26064"/>
    <cellStyle name="20% - Accent6 3 4" xfId="1068"/>
    <cellStyle name="20% - Accent6 3 4 2" xfId="3299"/>
    <cellStyle name="20% - Accent6 3 4 2 2" xfId="7522"/>
    <cellStyle name="20% - Accent6 3 4 2 2 2" xfId="15958"/>
    <cellStyle name="20% - Accent6 3 4 2 2 3" xfId="24399"/>
    <cellStyle name="20% - Accent6 3 4 2 2 4" xfId="32839"/>
    <cellStyle name="20% - Accent6 3 4 2 3" xfId="11740"/>
    <cellStyle name="20% - Accent6 3 4 2 4" xfId="20182"/>
    <cellStyle name="20% - Accent6 3 4 2 5" xfId="28622"/>
    <cellStyle name="20% - Accent6 3 4 3" xfId="5377"/>
    <cellStyle name="20% - Accent6 3 4 3 2" xfId="13813"/>
    <cellStyle name="20% - Accent6 3 4 3 3" xfId="22254"/>
    <cellStyle name="20% - Accent6 3 4 3 4" xfId="30694"/>
    <cellStyle name="20% - Accent6 3 4 4" xfId="9595"/>
    <cellStyle name="20% - Accent6 3 4 5" xfId="18037"/>
    <cellStyle name="20% - Accent6 3 4 6" xfId="26477"/>
    <cellStyle name="20% - Accent6 3 5" xfId="1482"/>
    <cellStyle name="20% - Accent6 3 5 2" xfId="3712"/>
    <cellStyle name="20% - Accent6 3 5 2 2" xfId="7935"/>
    <cellStyle name="20% - Accent6 3 5 2 2 2" xfId="16371"/>
    <cellStyle name="20% - Accent6 3 5 2 2 3" xfId="24812"/>
    <cellStyle name="20% - Accent6 3 5 2 2 4" xfId="33252"/>
    <cellStyle name="20% - Accent6 3 5 2 3" xfId="12153"/>
    <cellStyle name="20% - Accent6 3 5 2 4" xfId="20595"/>
    <cellStyle name="20% - Accent6 3 5 2 5" xfId="29035"/>
    <cellStyle name="20% - Accent6 3 5 3" xfId="5790"/>
    <cellStyle name="20% - Accent6 3 5 3 2" xfId="14226"/>
    <cellStyle name="20% - Accent6 3 5 3 3" xfId="22667"/>
    <cellStyle name="20% - Accent6 3 5 3 4" xfId="31107"/>
    <cellStyle name="20% - Accent6 3 5 4" xfId="10008"/>
    <cellStyle name="20% - Accent6 3 5 5" xfId="18450"/>
    <cellStyle name="20% - Accent6 3 5 6" xfId="26890"/>
    <cellStyle name="20% - Accent6 3 6" xfId="1896"/>
    <cellStyle name="20% - Accent6 3 6 2" xfId="4125"/>
    <cellStyle name="20% - Accent6 3 6 2 2" xfId="8348"/>
    <cellStyle name="20% - Accent6 3 6 2 2 2" xfId="16784"/>
    <cellStyle name="20% - Accent6 3 6 2 2 3" xfId="25225"/>
    <cellStyle name="20% - Accent6 3 6 2 2 4" xfId="33665"/>
    <cellStyle name="20% - Accent6 3 6 2 3" xfId="12566"/>
    <cellStyle name="20% - Accent6 3 6 2 4" xfId="21008"/>
    <cellStyle name="20% - Accent6 3 6 2 5" xfId="29448"/>
    <cellStyle name="20% - Accent6 3 6 3" xfId="6203"/>
    <cellStyle name="20% - Accent6 3 6 3 2" xfId="14639"/>
    <cellStyle name="20% - Accent6 3 6 3 3" xfId="23080"/>
    <cellStyle name="20% - Accent6 3 6 3 4" xfId="31520"/>
    <cellStyle name="20% - Accent6 3 6 4" xfId="10421"/>
    <cellStyle name="20% - Accent6 3 6 5" xfId="18863"/>
    <cellStyle name="20% - Accent6 3 6 6" xfId="27303"/>
    <cellStyle name="20% - Accent6 3 7" xfId="2309"/>
    <cellStyle name="20% - Accent6 3 7 2" xfId="6616"/>
    <cellStyle name="20% - Accent6 3 7 2 2" xfId="15052"/>
    <cellStyle name="20% - Accent6 3 7 2 3" xfId="23493"/>
    <cellStyle name="20% - Accent6 3 7 2 4" xfId="31933"/>
    <cellStyle name="20% - Accent6 3 7 3" xfId="10834"/>
    <cellStyle name="20% - Accent6 3 7 4" xfId="19276"/>
    <cellStyle name="20% - Accent6 3 7 5" xfId="27716"/>
    <cellStyle name="20% - Accent6 3 8" xfId="4550"/>
    <cellStyle name="20% - Accent6 3 8 2" xfId="12986"/>
    <cellStyle name="20% - Accent6 3 8 3" xfId="21427"/>
    <cellStyle name="20% - Accent6 3 8 4" xfId="29867"/>
    <cellStyle name="20% - Accent6 3 9" xfId="8768"/>
    <cellStyle name="20% - Accent6 4" xfId="48"/>
    <cellStyle name="20% - Accent6 4 10" xfId="25652"/>
    <cellStyle name="20% - Accent6 4 2" xfId="617"/>
    <cellStyle name="20% - Accent6 4 2 2" xfId="2888"/>
    <cellStyle name="20% - Accent6 4 2 2 2" xfId="7111"/>
    <cellStyle name="20% - Accent6 4 2 2 2 2" xfId="15547"/>
    <cellStyle name="20% - Accent6 4 2 2 2 3" xfId="23988"/>
    <cellStyle name="20% - Accent6 4 2 2 2 4" xfId="32428"/>
    <cellStyle name="20% - Accent6 4 2 2 3" xfId="11329"/>
    <cellStyle name="20% - Accent6 4 2 2 4" xfId="19771"/>
    <cellStyle name="20% - Accent6 4 2 2 5" xfId="28211"/>
    <cellStyle name="20% - Accent6 4 2 3" xfId="4966"/>
    <cellStyle name="20% - Accent6 4 2 3 2" xfId="13402"/>
    <cellStyle name="20% - Accent6 4 2 3 3" xfId="21843"/>
    <cellStyle name="20% - Accent6 4 2 3 4" xfId="30283"/>
    <cellStyle name="20% - Accent6 4 2 4" xfId="9184"/>
    <cellStyle name="20% - Accent6 4 2 5" xfId="17626"/>
    <cellStyle name="20% - Accent6 4 2 6" xfId="26066"/>
    <cellStyle name="20% - Accent6 4 3" xfId="1070"/>
    <cellStyle name="20% - Accent6 4 3 2" xfId="3301"/>
    <cellStyle name="20% - Accent6 4 3 2 2" xfId="7524"/>
    <cellStyle name="20% - Accent6 4 3 2 2 2" xfId="15960"/>
    <cellStyle name="20% - Accent6 4 3 2 2 3" xfId="24401"/>
    <cellStyle name="20% - Accent6 4 3 2 2 4" xfId="32841"/>
    <cellStyle name="20% - Accent6 4 3 2 3" xfId="11742"/>
    <cellStyle name="20% - Accent6 4 3 2 4" xfId="20184"/>
    <cellStyle name="20% - Accent6 4 3 2 5" xfId="28624"/>
    <cellStyle name="20% - Accent6 4 3 3" xfId="5379"/>
    <cellStyle name="20% - Accent6 4 3 3 2" xfId="13815"/>
    <cellStyle name="20% - Accent6 4 3 3 3" xfId="22256"/>
    <cellStyle name="20% - Accent6 4 3 3 4" xfId="30696"/>
    <cellStyle name="20% - Accent6 4 3 4" xfId="9597"/>
    <cellStyle name="20% - Accent6 4 3 5" xfId="18039"/>
    <cellStyle name="20% - Accent6 4 3 6" xfId="26479"/>
    <cellStyle name="20% - Accent6 4 4" xfId="1484"/>
    <cellStyle name="20% - Accent6 4 4 2" xfId="3714"/>
    <cellStyle name="20% - Accent6 4 4 2 2" xfId="7937"/>
    <cellStyle name="20% - Accent6 4 4 2 2 2" xfId="16373"/>
    <cellStyle name="20% - Accent6 4 4 2 2 3" xfId="24814"/>
    <cellStyle name="20% - Accent6 4 4 2 2 4" xfId="33254"/>
    <cellStyle name="20% - Accent6 4 4 2 3" xfId="12155"/>
    <cellStyle name="20% - Accent6 4 4 2 4" xfId="20597"/>
    <cellStyle name="20% - Accent6 4 4 2 5" xfId="29037"/>
    <cellStyle name="20% - Accent6 4 4 3" xfId="5792"/>
    <cellStyle name="20% - Accent6 4 4 3 2" xfId="14228"/>
    <cellStyle name="20% - Accent6 4 4 3 3" xfId="22669"/>
    <cellStyle name="20% - Accent6 4 4 3 4" xfId="31109"/>
    <cellStyle name="20% - Accent6 4 4 4" xfId="10010"/>
    <cellStyle name="20% - Accent6 4 4 5" xfId="18452"/>
    <cellStyle name="20% - Accent6 4 4 6" xfId="26892"/>
    <cellStyle name="20% - Accent6 4 5" xfId="1898"/>
    <cellStyle name="20% - Accent6 4 5 2" xfId="4127"/>
    <cellStyle name="20% - Accent6 4 5 2 2" xfId="8350"/>
    <cellStyle name="20% - Accent6 4 5 2 2 2" xfId="16786"/>
    <cellStyle name="20% - Accent6 4 5 2 2 3" xfId="25227"/>
    <cellStyle name="20% - Accent6 4 5 2 2 4" xfId="33667"/>
    <cellStyle name="20% - Accent6 4 5 2 3" xfId="12568"/>
    <cellStyle name="20% - Accent6 4 5 2 4" xfId="21010"/>
    <cellStyle name="20% - Accent6 4 5 2 5" xfId="29450"/>
    <cellStyle name="20% - Accent6 4 5 3" xfId="6205"/>
    <cellStyle name="20% - Accent6 4 5 3 2" xfId="14641"/>
    <cellStyle name="20% - Accent6 4 5 3 3" xfId="23082"/>
    <cellStyle name="20% - Accent6 4 5 3 4" xfId="31522"/>
    <cellStyle name="20% - Accent6 4 5 4" xfId="10423"/>
    <cellStyle name="20% - Accent6 4 5 5" xfId="18865"/>
    <cellStyle name="20% - Accent6 4 5 6" xfId="27305"/>
    <cellStyle name="20% - Accent6 4 6" xfId="2311"/>
    <cellStyle name="20% - Accent6 4 6 2" xfId="6618"/>
    <cellStyle name="20% - Accent6 4 6 2 2" xfId="15054"/>
    <cellStyle name="20% - Accent6 4 6 2 3" xfId="23495"/>
    <cellStyle name="20% - Accent6 4 6 2 4" xfId="31935"/>
    <cellStyle name="20% - Accent6 4 6 3" xfId="10836"/>
    <cellStyle name="20% - Accent6 4 6 4" xfId="19278"/>
    <cellStyle name="20% - Accent6 4 6 5" xfId="27718"/>
    <cellStyle name="20% - Accent6 4 7" xfId="4552"/>
    <cellStyle name="20% - Accent6 4 7 2" xfId="12988"/>
    <cellStyle name="20% - Accent6 4 7 3" xfId="21429"/>
    <cellStyle name="20% - Accent6 4 7 4" xfId="29869"/>
    <cellStyle name="20% - Accent6 4 8" xfId="8770"/>
    <cellStyle name="20% - Accent6 4 9" xfId="17212"/>
    <cellStyle name="20% - Accent6 5" xfId="610"/>
    <cellStyle name="20% - Accent6 5 2" xfId="2881"/>
    <cellStyle name="20% - Accent6 5 2 2" xfId="7104"/>
    <cellStyle name="20% - Accent6 5 2 2 2" xfId="15540"/>
    <cellStyle name="20% - Accent6 5 2 2 3" xfId="23981"/>
    <cellStyle name="20% - Accent6 5 2 2 4" xfId="32421"/>
    <cellStyle name="20% - Accent6 5 2 3" xfId="11322"/>
    <cellStyle name="20% - Accent6 5 2 4" xfId="19764"/>
    <cellStyle name="20% - Accent6 5 2 5" xfId="28204"/>
    <cellStyle name="20% - Accent6 5 3" xfId="4959"/>
    <cellStyle name="20% - Accent6 5 3 2" xfId="13395"/>
    <cellStyle name="20% - Accent6 5 3 3" xfId="21836"/>
    <cellStyle name="20% - Accent6 5 3 4" xfId="30276"/>
    <cellStyle name="20% - Accent6 5 4" xfId="9177"/>
    <cellStyle name="20% - Accent6 5 5" xfId="17619"/>
    <cellStyle name="20% - Accent6 5 6" xfId="26059"/>
    <cellStyle name="20% - Accent6 6" xfId="1063"/>
    <cellStyle name="20% - Accent6 6 2" xfId="3294"/>
    <cellStyle name="20% - Accent6 6 2 2" xfId="7517"/>
    <cellStyle name="20% - Accent6 6 2 2 2" xfId="15953"/>
    <cellStyle name="20% - Accent6 6 2 2 3" xfId="24394"/>
    <cellStyle name="20% - Accent6 6 2 2 4" xfId="32834"/>
    <cellStyle name="20% - Accent6 6 2 3" xfId="11735"/>
    <cellStyle name="20% - Accent6 6 2 4" xfId="20177"/>
    <cellStyle name="20% - Accent6 6 2 5" xfId="28617"/>
    <cellStyle name="20% - Accent6 6 3" xfId="5372"/>
    <cellStyle name="20% - Accent6 6 3 2" xfId="13808"/>
    <cellStyle name="20% - Accent6 6 3 3" xfId="22249"/>
    <cellStyle name="20% - Accent6 6 3 4" xfId="30689"/>
    <cellStyle name="20% - Accent6 6 4" xfId="9590"/>
    <cellStyle name="20% - Accent6 6 5" xfId="18032"/>
    <cellStyle name="20% - Accent6 6 6" xfId="26472"/>
    <cellStyle name="20% - Accent6 7" xfId="1477"/>
    <cellStyle name="20% - Accent6 7 2" xfId="3707"/>
    <cellStyle name="20% - Accent6 7 2 2" xfId="7930"/>
    <cellStyle name="20% - Accent6 7 2 2 2" xfId="16366"/>
    <cellStyle name="20% - Accent6 7 2 2 3" xfId="24807"/>
    <cellStyle name="20% - Accent6 7 2 2 4" xfId="33247"/>
    <cellStyle name="20% - Accent6 7 2 3" xfId="12148"/>
    <cellStyle name="20% - Accent6 7 2 4" xfId="20590"/>
    <cellStyle name="20% - Accent6 7 2 5" xfId="29030"/>
    <cellStyle name="20% - Accent6 7 3" xfId="5785"/>
    <cellStyle name="20% - Accent6 7 3 2" xfId="14221"/>
    <cellStyle name="20% - Accent6 7 3 3" xfId="22662"/>
    <cellStyle name="20% - Accent6 7 3 4" xfId="31102"/>
    <cellStyle name="20% - Accent6 7 4" xfId="10003"/>
    <cellStyle name="20% - Accent6 7 5" xfId="18445"/>
    <cellStyle name="20% - Accent6 7 6" xfId="26885"/>
    <cellStyle name="20% - Accent6 8" xfId="1891"/>
    <cellStyle name="20% - Accent6 8 2" xfId="4120"/>
    <cellStyle name="20% - Accent6 8 2 2" xfId="8343"/>
    <cellStyle name="20% - Accent6 8 2 2 2" xfId="16779"/>
    <cellStyle name="20% - Accent6 8 2 2 3" xfId="25220"/>
    <cellStyle name="20% - Accent6 8 2 2 4" xfId="33660"/>
    <cellStyle name="20% - Accent6 8 2 3" xfId="12561"/>
    <cellStyle name="20% - Accent6 8 2 4" xfId="21003"/>
    <cellStyle name="20% - Accent6 8 2 5" xfId="29443"/>
    <cellStyle name="20% - Accent6 8 3" xfId="6198"/>
    <cellStyle name="20% - Accent6 8 3 2" xfId="14634"/>
    <cellStyle name="20% - Accent6 8 3 3" xfId="23075"/>
    <cellStyle name="20% - Accent6 8 3 4" xfId="31515"/>
    <cellStyle name="20% - Accent6 8 4" xfId="10416"/>
    <cellStyle name="20% - Accent6 8 5" xfId="18858"/>
    <cellStyle name="20% - Accent6 8 6" xfId="27298"/>
    <cellStyle name="20% - Accent6 9" xfId="2304"/>
    <cellStyle name="20% - Accent6 9 2" xfId="6611"/>
    <cellStyle name="20% - Accent6 9 2 2" xfId="15047"/>
    <cellStyle name="20% - Accent6 9 2 3" xfId="23488"/>
    <cellStyle name="20% - Accent6 9 2 4" xfId="31928"/>
    <cellStyle name="20% - Accent6 9 3" xfId="10829"/>
    <cellStyle name="20% - Accent6 9 4" xfId="19271"/>
    <cellStyle name="20% - Accent6 9 5" xfId="27711"/>
    <cellStyle name="40% - Accent1" xfId="49" builtinId="31" customBuiltin="1"/>
    <cellStyle name="40% - Accent1 10" xfId="4553"/>
    <cellStyle name="40% - Accent1 10 2" xfId="12989"/>
    <cellStyle name="40% - Accent1 10 3" xfId="21430"/>
    <cellStyle name="40% - Accent1 10 4" xfId="29870"/>
    <cellStyle name="40% - Accent1 11" xfId="8771"/>
    <cellStyle name="40% - Accent1 12" xfId="17213"/>
    <cellStyle name="40% - Accent1 13" xfId="25653"/>
    <cellStyle name="40% - Accent1 2" xfId="50"/>
    <cellStyle name="40% - Accent1 2 10" xfId="8772"/>
    <cellStyle name="40% - Accent1 2 11" xfId="17214"/>
    <cellStyle name="40% - Accent1 2 12" xfId="25654"/>
    <cellStyle name="40% - Accent1 2 2" xfId="51"/>
    <cellStyle name="40% - Accent1 2 2 10" xfId="17215"/>
    <cellStyle name="40% - Accent1 2 2 11" xfId="25655"/>
    <cellStyle name="40% - Accent1 2 2 2" xfId="52"/>
    <cellStyle name="40% - Accent1 2 2 2 10" xfId="25656"/>
    <cellStyle name="40% - Accent1 2 2 2 2" xfId="621"/>
    <cellStyle name="40% - Accent1 2 2 2 2 2" xfId="2892"/>
    <cellStyle name="40% - Accent1 2 2 2 2 2 2" xfId="7115"/>
    <cellStyle name="40% - Accent1 2 2 2 2 2 2 2" xfId="15551"/>
    <cellStyle name="40% - Accent1 2 2 2 2 2 2 3" xfId="23992"/>
    <cellStyle name="40% - Accent1 2 2 2 2 2 2 4" xfId="32432"/>
    <cellStyle name="40% - Accent1 2 2 2 2 2 3" xfId="11333"/>
    <cellStyle name="40% - Accent1 2 2 2 2 2 4" xfId="19775"/>
    <cellStyle name="40% - Accent1 2 2 2 2 2 5" xfId="28215"/>
    <cellStyle name="40% - Accent1 2 2 2 2 3" xfId="4970"/>
    <cellStyle name="40% - Accent1 2 2 2 2 3 2" xfId="13406"/>
    <cellStyle name="40% - Accent1 2 2 2 2 3 3" xfId="21847"/>
    <cellStyle name="40% - Accent1 2 2 2 2 3 4" xfId="30287"/>
    <cellStyle name="40% - Accent1 2 2 2 2 4" xfId="9188"/>
    <cellStyle name="40% - Accent1 2 2 2 2 5" xfId="17630"/>
    <cellStyle name="40% - Accent1 2 2 2 2 6" xfId="26070"/>
    <cellStyle name="40% - Accent1 2 2 2 3" xfId="1074"/>
    <cellStyle name="40% - Accent1 2 2 2 3 2" xfId="3305"/>
    <cellStyle name="40% - Accent1 2 2 2 3 2 2" xfId="7528"/>
    <cellStyle name="40% - Accent1 2 2 2 3 2 2 2" xfId="15964"/>
    <cellStyle name="40% - Accent1 2 2 2 3 2 2 3" xfId="24405"/>
    <cellStyle name="40% - Accent1 2 2 2 3 2 2 4" xfId="32845"/>
    <cellStyle name="40% - Accent1 2 2 2 3 2 3" xfId="11746"/>
    <cellStyle name="40% - Accent1 2 2 2 3 2 4" xfId="20188"/>
    <cellStyle name="40% - Accent1 2 2 2 3 2 5" xfId="28628"/>
    <cellStyle name="40% - Accent1 2 2 2 3 3" xfId="5383"/>
    <cellStyle name="40% - Accent1 2 2 2 3 3 2" xfId="13819"/>
    <cellStyle name="40% - Accent1 2 2 2 3 3 3" xfId="22260"/>
    <cellStyle name="40% - Accent1 2 2 2 3 3 4" xfId="30700"/>
    <cellStyle name="40% - Accent1 2 2 2 3 4" xfId="9601"/>
    <cellStyle name="40% - Accent1 2 2 2 3 5" xfId="18043"/>
    <cellStyle name="40% - Accent1 2 2 2 3 6" xfId="26483"/>
    <cellStyle name="40% - Accent1 2 2 2 4" xfId="1488"/>
    <cellStyle name="40% - Accent1 2 2 2 4 2" xfId="3718"/>
    <cellStyle name="40% - Accent1 2 2 2 4 2 2" xfId="7941"/>
    <cellStyle name="40% - Accent1 2 2 2 4 2 2 2" xfId="16377"/>
    <cellStyle name="40% - Accent1 2 2 2 4 2 2 3" xfId="24818"/>
    <cellStyle name="40% - Accent1 2 2 2 4 2 2 4" xfId="33258"/>
    <cellStyle name="40% - Accent1 2 2 2 4 2 3" xfId="12159"/>
    <cellStyle name="40% - Accent1 2 2 2 4 2 4" xfId="20601"/>
    <cellStyle name="40% - Accent1 2 2 2 4 2 5" xfId="29041"/>
    <cellStyle name="40% - Accent1 2 2 2 4 3" xfId="5796"/>
    <cellStyle name="40% - Accent1 2 2 2 4 3 2" xfId="14232"/>
    <cellStyle name="40% - Accent1 2 2 2 4 3 3" xfId="22673"/>
    <cellStyle name="40% - Accent1 2 2 2 4 3 4" xfId="31113"/>
    <cellStyle name="40% - Accent1 2 2 2 4 4" xfId="10014"/>
    <cellStyle name="40% - Accent1 2 2 2 4 5" xfId="18456"/>
    <cellStyle name="40% - Accent1 2 2 2 4 6" xfId="26896"/>
    <cellStyle name="40% - Accent1 2 2 2 5" xfId="1902"/>
    <cellStyle name="40% - Accent1 2 2 2 5 2" xfId="4131"/>
    <cellStyle name="40% - Accent1 2 2 2 5 2 2" xfId="8354"/>
    <cellStyle name="40% - Accent1 2 2 2 5 2 2 2" xfId="16790"/>
    <cellStyle name="40% - Accent1 2 2 2 5 2 2 3" xfId="25231"/>
    <cellStyle name="40% - Accent1 2 2 2 5 2 2 4" xfId="33671"/>
    <cellStyle name="40% - Accent1 2 2 2 5 2 3" xfId="12572"/>
    <cellStyle name="40% - Accent1 2 2 2 5 2 4" xfId="21014"/>
    <cellStyle name="40% - Accent1 2 2 2 5 2 5" xfId="29454"/>
    <cellStyle name="40% - Accent1 2 2 2 5 3" xfId="6209"/>
    <cellStyle name="40% - Accent1 2 2 2 5 3 2" xfId="14645"/>
    <cellStyle name="40% - Accent1 2 2 2 5 3 3" xfId="23086"/>
    <cellStyle name="40% - Accent1 2 2 2 5 3 4" xfId="31526"/>
    <cellStyle name="40% - Accent1 2 2 2 5 4" xfId="10427"/>
    <cellStyle name="40% - Accent1 2 2 2 5 5" xfId="18869"/>
    <cellStyle name="40% - Accent1 2 2 2 5 6" xfId="27309"/>
    <cellStyle name="40% - Accent1 2 2 2 6" xfId="2315"/>
    <cellStyle name="40% - Accent1 2 2 2 6 2" xfId="6622"/>
    <cellStyle name="40% - Accent1 2 2 2 6 2 2" xfId="15058"/>
    <cellStyle name="40% - Accent1 2 2 2 6 2 3" xfId="23499"/>
    <cellStyle name="40% - Accent1 2 2 2 6 2 4" xfId="31939"/>
    <cellStyle name="40% - Accent1 2 2 2 6 3" xfId="10840"/>
    <cellStyle name="40% - Accent1 2 2 2 6 4" xfId="19282"/>
    <cellStyle name="40% - Accent1 2 2 2 6 5" xfId="27722"/>
    <cellStyle name="40% - Accent1 2 2 2 7" xfId="4556"/>
    <cellStyle name="40% - Accent1 2 2 2 7 2" xfId="12992"/>
    <cellStyle name="40% - Accent1 2 2 2 7 3" xfId="21433"/>
    <cellStyle name="40% - Accent1 2 2 2 7 4" xfId="29873"/>
    <cellStyle name="40% - Accent1 2 2 2 8" xfId="8774"/>
    <cellStyle name="40% - Accent1 2 2 2 9" xfId="17216"/>
    <cellStyle name="40% - Accent1 2 2 3" xfId="620"/>
    <cellStyle name="40% - Accent1 2 2 3 2" xfId="2891"/>
    <cellStyle name="40% - Accent1 2 2 3 2 2" xfId="7114"/>
    <cellStyle name="40% - Accent1 2 2 3 2 2 2" xfId="15550"/>
    <cellStyle name="40% - Accent1 2 2 3 2 2 3" xfId="23991"/>
    <cellStyle name="40% - Accent1 2 2 3 2 2 4" xfId="32431"/>
    <cellStyle name="40% - Accent1 2 2 3 2 3" xfId="11332"/>
    <cellStyle name="40% - Accent1 2 2 3 2 4" xfId="19774"/>
    <cellStyle name="40% - Accent1 2 2 3 2 5" xfId="28214"/>
    <cellStyle name="40% - Accent1 2 2 3 3" xfId="4969"/>
    <cellStyle name="40% - Accent1 2 2 3 3 2" xfId="13405"/>
    <cellStyle name="40% - Accent1 2 2 3 3 3" xfId="21846"/>
    <cellStyle name="40% - Accent1 2 2 3 3 4" xfId="30286"/>
    <cellStyle name="40% - Accent1 2 2 3 4" xfId="9187"/>
    <cellStyle name="40% - Accent1 2 2 3 5" xfId="17629"/>
    <cellStyle name="40% - Accent1 2 2 3 6" xfId="26069"/>
    <cellStyle name="40% - Accent1 2 2 4" xfId="1073"/>
    <cellStyle name="40% - Accent1 2 2 4 2" xfId="3304"/>
    <cellStyle name="40% - Accent1 2 2 4 2 2" xfId="7527"/>
    <cellStyle name="40% - Accent1 2 2 4 2 2 2" xfId="15963"/>
    <cellStyle name="40% - Accent1 2 2 4 2 2 3" xfId="24404"/>
    <cellStyle name="40% - Accent1 2 2 4 2 2 4" xfId="32844"/>
    <cellStyle name="40% - Accent1 2 2 4 2 3" xfId="11745"/>
    <cellStyle name="40% - Accent1 2 2 4 2 4" xfId="20187"/>
    <cellStyle name="40% - Accent1 2 2 4 2 5" xfId="28627"/>
    <cellStyle name="40% - Accent1 2 2 4 3" xfId="5382"/>
    <cellStyle name="40% - Accent1 2 2 4 3 2" xfId="13818"/>
    <cellStyle name="40% - Accent1 2 2 4 3 3" xfId="22259"/>
    <cellStyle name="40% - Accent1 2 2 4 3 4" xfId="30699"/>
    <cellStyle name="40% - Accent1 2 2 4 4" xfId="9600"/>
    <cellStyle name="40% - Accent1 2 2 4 5" xfId="18042"/>
    <cellStyle name="40% - Accent1 2 2 4 6" xfId="26482"/>
    <cellStyle name="40% - Accent1 2 2 5" xfId="1487"/>
    <cellStyle name="40% - Accent1 2 2 5 2" xfId="3717"/>
    <cellStyle name="40% - Accent1 2 2 5 2 2" xfId="7940"/>
    <cellStyle name="40% - Accent1 2 2 5 2 2 2" xfId="16376"/>
    <cellStyle name="40% - Accent1 2 2 5 2 2 3" xfId="24817"/>
    <cellStyle name="40% - Accent1 2 2 5 2 2 4" xfId="33257"/>
    <cellStyle name="40% - Accent1 2 2 5 2 3" xfId="12158"/>
    <cellStyle name="40% - Accent1 2 2 5 2 4" xfId="20600"/>
    <cellStyle name="40% - Accent1 2 2 5 2 5" xfId="29040"/>
    <cellStyle name="40% - Accent1 2 2 5 3" xfId="5795"/>
    <cellStyle name="40% - Accent1 2 2 5 3 2" xfId="14231"/>
    <cellStyle name="40% - Accent1 2 2 5 3 3" xfId="22672"/>
    <cellStyle name="40% - Accent1 2 2 5 3 4" xfId="31112"/>
    <cellStyle name="40% - Accent1 2 2 5 4" xfId="10013"/>
    <cellStyle name="40% - Accent1 2 2 5 5" xfId="18455"/>
    <cellStyle name="40% - Accent1 2 2 5 6" xfId="26895"/>
    <cellStyle name="40% - Accent1 2 2 6" xfId="1901"/>
    <cellStyle name="40% - Accent1 2 2 6 2" xfId="4130"/>
    <cellStyle name="40% - Accent1 2 2 6 2 2" xfId="8353"/>
    <cellStyle name="40% - Accent1 2 2 6 2 2 2" xfId="16789"/>
    <cellStyle name="40% - Accent1 2 2 6 2 2 3" xfId="25230"/>
    <cellStyle name="40% - Accent1 2 2 6 2 2 4" xfId="33670"/>
    <cellStyle name="40% - Accent1 2 2 6 2 3" xfId="12571"/>
    <cellStyle name="40% - Accent1 2 2 6 2 4" xfId="21013"/>
    <cellStyle name="40% - Accent1 2 2 6 2 5" xfId="29453"/>
    <cellStyle name="40% - Accent1 2 2 6 3" xfId="6208"/>
    <cellStyle name="40% - Accent1 2 2 6 3 2" xfId="14644"/>
    <cellStyle name="40% - Accent1 2 2 6 3 3" xfId="23085"/>
    <cellStyle name="40% - Accent1 2 2 6 3 4" xfId="31525"/>
    <cellStyle name="40% - Accent1 2 2 6 4" xfId="10426"/>
    <cellStyle name="40% - Accent1 2 2 6 5" xfId="18868"/>
    <cellStyle name="40% - Accent1 2 2 6 6" xfId="27308"/>
    <cellStyle name="40% - Accent1 2 2 7" xfId="2314"/>
    <cellStyle name="40% - Accent1 2 2 7 2" xfId="6621"/>
    <cellStyle name="40% - Accent1 2 2 7 2 2" xfId="15057"/>
    <cellStyle name="40% - Accent1 2 2 7 2 3" xfId="23498"/>
    <cellStyle name="40% - Accent1 2 2 7 2 4" xfId="31938"/>
    <cellStyle name="40% - Accent1 2 2 7 3" xfId="10839"/>
    <cellStyle name="40% - Accent1 2 2 7 4" xfId="19281"/>
    <cellStyle name="40% - Accent1 2 2 7 5" xfId="27721"/>
    <cellStyle name="40% - Accent1 2 2 8" xfId="4555"/>
    <cellStyle name="40% - Accent1 2 2 8 2" xfId="12991"/>
    <cellStyle name="40% - Accent1 2 2 8 3" xfId="21432"/>
    <cellStyle name="40% - Accent1 2 2 8 4" xfId="29872"/>
    <cellStyle name="40% - Accent1 2 2 9" xfId="8773"/>
    <cellStyle name="40% - Accent1 2 3" xfId="53"/>
    <cellStyle name="40% - Accent1 2 3 10" xfId="25657"/>
    <cellStyle name="40% - Accent1 2 3 2" xfId="622"/>
    <cellStyle name="40% - Accent1 2 3 2 2" xfId="2893"/>
    <cellStyle name="40% - Accent1 2 3 2 2 2" xfId="7116"/>
    <cellStyle name="40% - Accent1 2 3 2 2 2 2" xfId="15552"/>
    <cellStyle name="40% - Accent1 2 3 2 2 2 3" xfId="23993"/>
    <cellStyle name="40% - Accent1 2 3 2 2 2 4" xfId="32433"/>
    <cellStyle name="40% - Accent1 2 3 2 2 3" xfId="11334"/>
    <cellStyle name="40% - Accent1 2 3 2 2 4" xfId="19776"/>
    <cellStyle name="40% - Accent1 2 3 2 2 5" xfId="28216"/>
    <cellStyle name="40% - Accent1 2 3 2 3" xfId="4971"/>
    <cellStyle name="40% - Accent1 2 3 2 3 2" xfId="13407"/>
    <cellStyle name="40% - Accent1 2 3 2 3 3" xfId="21848"/>
    <cellStyle name="40% - Accent1 2 3 2 3 4" xfId="30288"/>
    <cellStyle name="40% - Accent1 2 3 2 4" xfId="9189"/>
    <cellStyle name="40% - Accent1 2 3 2 5" xfId="17631"/>
    <cellStyle name="40% - Accent1 2 3 2 6" xfId="26071"/>
    <cellStyle name="40% - Accent1 2 3 3" xfId="1075"/>
    <cellStyle name="40% - Accent1 2 3 3 2" xfId="3306"/>
    <cellStyle name="40% - Accent1 2 3 3 2 2" xfId="7529"/>
    <cellStyle name="40% - Accent1 2 3 3 2 2 2" xfId="15965"/>
    <cellStyle name="40% - Accent1 2 3 3 2 2 3" xfId="24406"/>
    <cellStyle name="40% - Accent1 2 3 3 2 2 4" xfId="32846"/>
    <cellStyle name="40% - Accent1 2 3 3 2 3" xfId="11747"/>
    <cellStyle name="40% - Accent1 2 3 3 2 4" xfId="20189"/>
    <cellStyle name="40% - Accent1 2 3 3 2 5" xfId="28629"/>
    <cellStyle name="40% - Accent1 2 3 3 3" xfId="5384"/>
    <cellStyle name="40% - Accent1 2 3 3 3 2" xfId="13820"/>
    <cellStyle name="40% - Accent1 2 3 3 3 3" xfId="22261"/>
    <cellStyle name="40% - Accent1 2 3 3 3 4" xfId="30701"/>
    <cellStyle name="40% - Accent1 2 3 3 4" xfId="9602"/>
    <cellStyle name="40% - Accent1 2 3 3 5" xfId="18044"/>
    <cellStyle name="40% - Accent1 2 3 3 6" xfId="26484"/>
    <cellStyle name="40% - Accent1 2 3 4" xfId="1489"/>
    <cellStyle name="40% - Accent1 2 3 4 2" xfId="3719"/>
    <cellStyle name="40% - Accent1 2 3 4 2 2" xfId="7942"/>
    <cellStyle name="40% - Accent1 2 3 4 2 2 2" xfId="16378"/>
    <cellStyle name="40% - Accent1 2 3 4 2 2 3" xfId="24819"/>
    <cellStyle name="40% - Accent1 2 3 4 2 2 4" xfId="33259"/>
    <cellStyle name="40% - Accent1 2 3 4 2 3" xfId="12160"/>
    <cellStyle name="40% - Accent1 2 3 4 2 4" xfId="20602"/>
    <cellStyle name="40% - Accent1 2 3 4 2 5" xfId="29042"/>
    <cellStyle name="40% - Accent1 2 3 4 3" xfId="5797"/>
    <cellStyle name="40% - Accent1 2 3 4 3 2" xfId="14233"/>
    <cellStyle name="40% - Accent1 2 3 4 3 3" xfId="22674"/>
    <cellStyle name="40% - Accent1 2 3 4 3 4" xfId="31114"/>
    <cellStyle name="40% - Accent1 2 3 4 4" xfId="10015"/>
    <cellStyle name="40% - Accent1 2 3 4 5" xfId="18457"/>
    <cellStyle name="40% - Accent1 2 3 4 6" xfId="26897"/>
    <cellStyle name="40% - Accent1 2 3 5" xfId="1903"/>
    <cellStyle name="40% - Accent1 2 3 5 2" xfId="4132"/>
    <cellStyle name="40% - Accent1 2 3 5 2 2" xfId="8355"/>
    <cellStyle name="40% - Accent1 2 3 5 2 2 2" xfId="16791"/>
    <cellStyle name="40% - Accent1 2 3 5 2 2 3" xfId="25232"/>
    <cellStyle name="40% - Accent1 2 3 5 2 2 4" xfId="33672"/>
    <cellStyle name="40% - Accent1 2 3 5 2 3" xfId="12573"/>
    <cellStyle name="40% - Accent1 2 3 5 2 4" xfId="21015"/>
    <cellStyle name="40% - Accent1 2 3 5 2 5" xfId="29455"/>
    <cellStyle name="40% - Accent1 2 3 5 3" xfId="6210"/>
    <cellStyle name="40% - Accent1 2 3 5 3 2" xfId="14646"/>
    <cellStyle name="40% - Accent1 2 3 5 3 3" xfId="23087"/>
    <cellStyle name="40% - Accent1 2 3 5 3 4" xfId="31527"/>
    <cellStyle name="40% - Accent1 2 3 5 4" xfId="10428"/>
    <cellStyle name="40% - Accent1 2 3 5 5" xfId="18870"/>
    <cellStyle name="40% - Accent1 2 3 5 6" xfId="27310"/>
    <cellStyle name="40% - Accent1 2 3 6" xfId="2316"/>
    <cellStyle name="40% - Accent1 2 3 6 2" xfId="6623"/>
    <cellStyle name="40% - Accent1 2 3 6 2 2" xfId="15059"/>
    <cellStyle name="40% - Accent1 2 3 6 2 3" xfId="23500"/>
    <cellStyle name="40% - Accent1 2 3 6 2 4" xfId="31940"/>
    <cellStyle name="40% - Accent1 2 3 6 3" xfId="10841"/>
    <cellStyle name="40% - Accent1 2 3 6 4" xfId="19283"/>
    <cellStyle name="40% - Accent1 2 3 6 5" xfId="27723"/>
    <cellStyle name="40% - Accent1 2 3 7" xfId="4557"/>
    <cellStyle name="40% - Accent1 2 3 7 2" xfId="12993"/>
    <cellStyle name="40% - Accent1 2 3 7 3" xfId="21434"/>
    <cellStyle name="40% - Accent1 2 3 7 4" xfId="29874"/>
    <cellStyle name="40% - Accent1 2 3 8" xfId="8775"/>
    <cellStyle name="40% - Accent1 2 3 9" xfId="17217"/>
    <cellStyle name="40% - Accent1 2 4" xfId="619"/>
    <cellStyle name="40% - Accent1 2 4 2" xfId="2890"/>
    <cellStyle name="40% - Accent1 2 4 2 2" xfId="7113"/>
    <cellStyle name="40% - Accent1 2 4 2 2 2" xfId="15549"/>
    <cellStyle name="40% - Accent1 2 4 2 2 3" xfId="23990"/>
    <cellStyle name="40% - Accent1 2 4 2 2 4" xfId="32430"/>
    <cellStyle name="40% - Accent1 2 4 2 3" xfId="11331"/>
    <cellStyle name="40% - Accent1 2 4 2 4" xfId="19773"/>
    <cellStyle name="40% - Accent1 2 4 2 5" xfId="28213"/>
    <cellStyle name="40% - Accent1 2 4 3" xfId="4968"/>
    <cellStyle name="40% - Accent1 2 4 3 2" xfId="13404"/>
    <cellStyle name="40% - Accent1 2 4 3 3" xfId="21845"/>
    <cellStyle name="40% - Accent1 2 4 3 4" xfId="30285"/>
    <cellStyle name="40% - Accent1 2 4 4" xfId="9186"/>
    <cellStyle name="40% - Accent1 2 4 5" xfId="17628"/>
    <cellStyle name="40% - Accent1 2 4 6" xfId="26068"/>
    <cellStyle name="40% - Accent1 2 5" xfId="1072"/>
    <cellStyle name="40% - Accent1 2 5 2" xfId="3303"/>
    <cellStyle name="40% - Accent1 2 5 2 2" xfId="7526"/>
    <cellStyle name="40% - Accent1 2 5 2 2 2" xfId="15962"/>
    <cellStyle name="40% - Accent1 2 5 2 2 3" xfId="24403"/>
    <cellStyle name="40% - Accent1 2 5 2 2 4" xfId="32843"/>
    <cellStyle name="40% - Accent1 2 5 2 3" xfId="11744"/>
    <cellStyle name="40% - Accent1 2 5 2 4" xfId="20186"/>
    <cellStyle name="40% - Accent1 2 5 2 5" xfId="28626"/>
    <cellStyle name="40% - Accent1 2 5 3" xfId="5381"/>
    <cellStyle name="40% - Accent1 2 5 3 2" xfId="13817"/>
    <cellStyle name="40% - Accent1 2 5 3 3" xfId="22258"/>
    <cellStyle name="40% - Accent1 2 5 3 4" xfId="30698"/>
    <cellStyle name="40% - Accent1 2 5 4" xfId="9599"/>
    <cellStyle name="40% - Accent1 2 5 5" xfId="18041"/>
    <cellStyle name="40% - Accent1 2 5 6" xfId="26481"/>
    <cellStyle name="40% - Accent1 2 6" xfId="1486"/>
    <cellStyle name="40% - Accent1 2 6 2" xfId="3716"/>
    <cellStyle name="40% - Accent1 2 6 2 2" xfId="7939"/>
    <cellStyle name="40% - Accent1 2 6 2 2 2" xfId="16375"/>
    <cellStyle name="40% - Accent1 2 6 2 2 3" xfId="24816"/>
    <cellStyle name="40% - Accent1 2 6 2 2 4" xfId="33256"/>
    <cellStyle name="40% - Accent1 2 6 2 3" xfId="12157"/>
    <cellStyle name="40% - Accent1 2 6 2 4" xfId="20599"/>
    <cellStyle name="40% - Accent1 2 6 2 5" xfId="29039"/>
    <cellStyle name="40% - Accent1 2 6 3" xfId="5794"/>
    <cellStyle name="40% - Accent1 2 6 3 2" xfId="14230"/>
    <cellStyle name="40% - Accent1 2 6 3 3" xfId="22671"/>
    <cellStyle name="40% - Accent1 2 6 3 4" xfId="31111"/>
    <cellStyle name="40% - Accent1 2 6 4" xfId="10012"/>
    <cellStyle name="40% - Accent1 2 6 5" xfId="18454"/>
    <cellStyle name="40% - Accent1 2 6 6" xfId="26894"/>
    <cellStyle name="40% - Accent1 2 7" xfId="1900"/>
    <cellStyle name="40% - Accent1 2 7 2" xfId="4129"/>
    <cellStyle name="40% - Accent1 2 7 2 2" xfId="8352"/>
    <cellStyle name="40% - Accent1 2 7 2 2 2" xfId="16788"/>
    <cellStyle name="40% - Accent1 2 7 2 2 3" xfId="25229"/>
    <cellStyle name="40% - Accent1 2 7 2 2 4" xfId="33669"/>
    <cellStyle name="40% - Accent1 2 7 2 3" xfId="12570"/>
    <cellStyle name="40% - Accent1 2 7 2 4" xfId="21012"/>
    <cellStyle name="40% - Accent1 2 7 2 5" xfId="29452"/>
    <cellStyle name="40% - Accent1 2 7 3" xfId="6207"/>
    <cellStyle name="40% - Accent1 2 7 3 2" xfId="14643"/>
    <cellStyle name="40% - Accent1 2 7 3 3" xfId="23084"/>
    <cellStyle name="40% - Accent1 2 7 3 4" xfId="31524"/>
    <cellStyle name="40% - Accent1 2 7 4" xfId="10425"/>
    <cellStyle name="40% - Accent1 2 7 5" xfId="18867"/>
    <cellStyle name="40% - Accent1 2 7 6" xfId="27307"/>
    <cellStyle name="40% - Accent1 2 8" xfId="2313"/>
    <cellStyle name="40% - Accent1 2 8 2" xfId="6620"/>
    <cellStyle name="40% - Accent1 2 8 2 2" xfId="15056"/>
    <cellStyle name="40% - Accent1 2 8 2 3" xfId="23497"/>
    <cellStyle name="40% - Accent1 2 8 2 4" xfId="31937"/>
    <cellStyle name="40% - Accent1 2 8 3" xfId="10838"/>
    <cellStyle name="40% - Accent1 2 8 4" xfId="19280"/>
    <cellStyle name="40% - Accent1 2 8 5" xfId="27720"/>
    <cellStyle name="40% - Accent1 2 9" xfId="4554"/>
    <cellStyle name="40% - Accent1 2 9 2" xfId="12990"/>
    <cellStyle name="40% - Accent1 2 9 3" xfId="21431"/>
    <cellStyle name="40% - Accent1 2 9 4" xfId="29871"/>
    <cellStyle name="40% - Accent1 3" xfId="54"/>
    <cellStyle name="40% - Accent1 3 10" xfId="17218"/>
    <cellStyle name="40% - Accent1 3 11" xfId="25658"/>
    <cellStyle name="40% - Accent1 3 2" xfId="55"/>
    <cellStyle name="40% - Accent1 3 2 10" xfId="25659"/>
    <cellStyle name="40% - Accent1 3 2 2" xfId="624"/>
    <cellStyle name="40% - Accent1 3 2 2 2" xfId="2895"/>
    <cellStyle name="40% - Accent1 3 2 2 2 2" xfId="7118"/>
    <cellStyle name="40% - Accent1 3 2 2 2 2 2" xfId="15554"/>
    <cellStyle name="40% - Accent1 3 2 2 2 2 3" xfId="23995"/>
    <cellStyle name="40% - Accent1 3 2 2 2 2 4" xfId="32435"/>
    <cellStyle name="40% - Accent1 3 2 2 2 3" xfId="11336"/>
    <cellStyle name="40% - Accent1 3 2 2 2 4" xfId="19778"/>
    <cellStyle name="40% - Accent1 3 2 2 2 5" xfId="28218"/>
    <cellStyle name="40% - Accent1 3 2 2 3" xfId="4973"/>
    <cellStyle name="40% - Accent1 3 2 2 3 2" xfId="13409"/>
    <cellStyle name="40% - Accent1 3 2 2 3 3" xfId="21850"/>
    <cellStyle name="40% - Accent1 3 2 2 3 4" xfId="30290"/>
    <cellStyle name="40% - Accent1 3 2 2 4" xfId="9191"/>
    <cellStyle name="40% - Accent1 3 2 2 5" xfId="17633"/>
    <cellStyle name="40% - Accent1 3 2 2 6" xfId="26073"/>
    <cellStyle name="40% - Accent1 3 2 3" xfId="1077"/>
    <cellStyle name="40% - Accent1 3 2 3 2" xfId="3308"/>
    <cellStyle name="40% - Accent1 3 2 3 2 2" xfId="7531"/>
    <cellStyle name="40% - Accent1 3 2 3 2 2 2" xfId="15967"/>
    <cellStyle name="40% - Accent1 3 2 3 2 2 3" xfId="24408"/>
    <cellStyle name="40% - Accent1 3 2 3 2 2 4" xfId="32848"/>
    <cellStyle name="40% - Accent1 3 2 3 2 3" xfId="11749"/>
    <cellStyle name="40% - Accent1 3 2 3 2 4" xfId="20191"/>
    <cellStyle name="40% - Accent1 3 2 3 2 5" xfId="28631"/>
    <cellStyle name="40% - Accent1 3 2 3 3" xfId="5386"/>
    <cellStyle name="40% - Accent1 3 2 3 3 2" xfId="13822"/>
    <cellStyle name="40% - Accent1 3 2 3 3 3" xfId="22263"/>
    <cellStyle name="40% - Accent1 3 2 3 3 4" xfId="30703"/>
    <cellStyle name="40% - Accent1 3 2 3 4" xfId="9604"/>
    <cellStyle name="40% - Accent1 3 2 3 5" xfId="18046"/>
    <cellStyle name="40% - Accent1 3 2 3 6" xfId="26486"/>
    <cellStyle name="40% - Accent1 3 2 4" xfId="1491"/>
    <cellStyle name="40% - Accent1 3 2 4 2" xfId="3721"/>
    <cellStyle name="40% - Accent1 3 2 4 2 2" xfId="7944"/>
    <cellStyle name="40% - Accent1 3 2 4 2 2 2" xfId="16380"/>
    <cellStyle name="40% - Accent1 3 2 4 2 2 3" xfId="24821"/>
    <cellStyle name="40% - Accent1 3 2 4 2 2 4" xfId="33261"/>
    <cellStyle name="40% - Accent1 3 2 4 2 3" xfId="12162"/>
    <cellStyle name="40% - Accent1 3 2 4 2 4" xfId="20604"/>
    <cellStyle name="40% - Accent1 3 2 4 2 5" xfId="29044"/>
    <cellStyle name="40% - Accent1 3 2 4 3" xfId="5799"/>
    <cellStyle name="40% - Accent1 3 2 4 3 2" xfId="14235"/>
    <cellStyle name="40% - Accent1 3 2 4 3 3" xfId="22676"/>
    <cellStyle name="40% - Accent1 3 2 4 3 4" xfId="31116"/>
    <cellStyle name="40% - Accent1 3 2 4 4" xfId="10017"/>
    <cellStyle name="40% - Accent1 3 2 4 5" xfId="18459"/>
    <cellStyle name="40% - Accent1 3 2 4 6" xfId="26899"/>
    <cellStyle name="40% - Accent1 3 2 5" xfId="1905"/>
    <cellStyle name="40% - Accent1 3 2 5 2" xfId="4134"/>
    <cellStyle name="40% - Accent1 3 2 5 2 2" xfId="8357"/>
    <cellStyle name="40% - Accent1 3 2 5 2 2 2" xfId="16793"/>
    <cellStyle name="40% - Accent1 3 2 5 2 2 3" xfId="25234"/>
    <cellStyle name="40% - Accent1 3 2 5 2 2 4" xfId="33674"/>
    <cellStyle name="40% - Accent1 3 2 5 2 3" xfId="12575"/>
    <cellStyle name="40% - Accent1 3 2 5 2 4" xfId="21017"/>
    <cellStyle name="40% - Accent1 3 2 5 2 5" xfId="29457"/>
    <cellStyle name="40% - Accent1 3 2 5 3" xfId="6212"/>
    <cellStyle name="40% - Accent1 3 2 5 3 2" xfId="14648"/>
    <cellStyle name="40% - Accent1 3 2 5 3 3" xfId="23089"/>
    <cellStyle name="40% - Accent1 3 2 5 3 4" xfId="31529"/>
    <cellStyle name="40% - Accent1 3 2 5 4" xfId="10430"/>
    <cellStyle name="40% - Accent1 3 2 5 5" xfId="18872"/>
    <cellStyle name="40% - Accent1 3 2 5 6" xfId="27312"/>
    <cellStyle name="40% - Accent1 3 2 6" xfId="2318"/>
    <cellStyle name="40% - Accent1 3 2 6 2" xfId="6625"/>
    <cellStyle name="40% - Accent1 3 2 6 2 2" xfId="15061"/>
    <cellStyle name="40% - Accent1 3 2 6 2 3" xfId="23502"/>
    <cellStyle name="40% - Accent1 3 2 6 2 4" xfId="31942"/>
    <cellStyle name="40% - Accent1 3 2 6 3" xfId="10843"/>
    <cellStyle name="40% - Accent1 3 2 6 4" xfId="19285"/>
    <cellStyle name="40% - Accent1 3 2 6 5" xfId="27725"/>
    <cellStyle name="40% - Accent1 3 2 7" xfId="4559"/>
    <cellStyle name="40% - Accent1 3 2 7 2" xfId="12995"/>
    <cellStyle name="40% - Accent1 3 2 7 3" xfId="21436"/>
    <cellStyle name="40% - Accent1 3 2 7 4" xfId="29876"/>
    <cellStyle name="40% - Accent1 3 2 8" xfId="8777"/>
    <cellStyle name="40% - Accent1 3 2 9" xfId="17219"/>
    <cellStyle name="40% - Accent1 3 3" xfId="623"/>
    <cellStyle name="40% - Accent1 3 3 2" xfId="2894"/>
    <cellStyle name="40% - Accent1 3 3 2 2" xfId="7117"/>
    <cellStyle name="40% - Accent1 3 3 2 2 2" xfId="15553"/>
    <cellStyle name="40% - Accent1 3 3 2 2 3" xfId="23994"/>
    <cellStyle name="40% - Accent1 3 3 2 2 4" xfId="32434"/>
    <cellStyle name="40% - Accent1 3 3 2 3" xfId="11335"/>
    <cellStyle name="40% - Accent1 3 3 2 4" xfId="19777"/>
    <cellStyle name="40% - Accent1 3 3 2 5" xfId="28217"/>
    <cellStyle name="40% - Accent1 3 3 3" xfId="4972"/>
    <cellStyle name="40% - Accent1 3 3 3 2" xfId="13408"/>
    <cellStyle name="40% - Accent1 3 3 3 3" xfId="21849"/>
    <cellStyle name="40% - Accent1 3 3 3 4" xfId="30289"/>
    <cellStyle name="40% - Accent1 3 3 4" xfId="9190"/>
    <cellStyle name="40% - Accent1 3 3 5" xfId="17632"/>
    <cellStyle name="40% - Accent1 3 3 6" xfId="26072"/>
    <cellStyle name="40% - Accent1 3 4" xfId="1076"/>
    <cellStyle name="40% - Accent1 3 4 2" xfId="3307"/>
    <cellStyle name="40% - Accent1 3 4 2 2" xfId="7530"/>
    <cellStyle name="40% - Accent1 3 4 2 2 2" xfId="15966"/>
    <cellStyle name="40% - Accent1 3 4 2 2 3" xfId="24407"/>
    <cellStyle name="40% - Accent1 3 4 2 2 4" xfId="32847"/>
    <cellStyle name="40% - Accent1 3 4 2 3" xfId="11748"/>
    <cellStyle name="40% - Accent1 3 4 2 4" xfId="20190"/>
    <cellStyle name="40% - Accent1 3 4 2 5" xfId="28630"/>
    <cellStyle name="40% - Accent1 3 4 3" xfId="5385"/>
    <cellStyle name="40% - Accent1 3 4 3 2" xfId="13821"/>
    <cellStyle name="40% - Accent1 3 4 3 3" xfId="22262"/>
    <cellStyle name="40% - Accent1 3 4 3 4" xfId="30702"/>
    <cellStyle name="40% - Accent1 3 4 4" xfId="9603"/>
    <cellStyle name="40% - Accent1 3 4 5" xfId="18045"/>
    <cellStyle name="40% - Accent1 3 4 6" xfId="26485"/>
    <cellStyle name="40% - Accent1 3 5" xfId="1490"/>
    <cellStyle name="40% - Accent1 3 5 2" xfId="3720"/>
    <cellStyle name="40% - Accent1 3 5 2 2" xfId="7943"/>
    <cellStyle name="40% - Accent1 3 5 2 2 2" xfId="16379"/>
    <cellStyle name="40% - Accent1 3 5 2 2 3" xfId="24820"/>
    <cellStyle name="40% - Accent1 3 5 2 2 4" xfId="33260"/>
    <cellStyle name="40% - Accent1 3 5 2 3" xfId="12161"/>
    <cellStyle name="40% - Accent1 3 5 2 4" xfId="20603"/>
    <cellStyle name="40% - Accent1 3 5 2 5" xfId="29043"/>
    <cellStyle name="40% - Accent1 3 5 3" xfId="5798"/>
    <cellStyle name="40% - Accent1 3 5 3 2" xfId="14234"/>
    <cellStyle name="40% - Accent1 3 5 3 3" xfId="22675"/>
    <cellStyle name="40% - Accent1 3 5 3 4" xfId="31115"/>
    <cellStyle name="40% - Accent1 3 5 4" xfId="10016"/>
    <cellStyle name="40% - Accent1 3 5 5" xfId="18458"/>
    <cellStyle name="40% - Accent1 3 5 6" xfId="26898"/>
    <cellStyle name="40% - Accent1 3 6" xfId="1904"/>
    <cellStyle name="40% - Accent1 3 6 2" xfId="4133"/>
    <cellStyle name="40% - Accent1 3 6 2 2" xfId="8356"/>
    <cellStyle name="40% - Accent1 3 6 2 2 2" xfId="16792"/>
    <cellStyle name="40% - Accent1 3 6 2 2 3" xfId="25233"/>
    <cellStyle name="40% - Accent1 3 6 2 2 4" xfId="33673"/>
    <cellStyle name="40% - Accent1 3 6 2 3" xfId="12574"/>
    <cellStyle name="40% - Accent1 3 6 2 4" xfId="21016"/>
    <cellStyle name="40% - Accent1 3 6 2 5" xfId="29456"/>
    <cellStyle name="40% - Accent1 3 6 3" xfId="6211"/>
    <cellStyle name="40% - Accent1 3 6 3 2" xfId="14647"/>
    <cellStyle name="40% - Accent1 3 6 3 3" xfId="23088"/>
    <cellStyle name="40% - Accent1 3 6 3 4" xfId="31528"/>
    <cellStyle name="40% - Accent1 3 6 4" xfId="10429"/>
    <cellStyle name="40% - Accent1 3 6 5" xfId="18871"/>
    <cellStyle name="40% - Accent1 3 6 6" xfId="27311"/>
    <cellStyle name="40% - Accent1 3 7" xfId="2317"/>
    <cellStyle name="40% - Accent1 3 7 2" xfId="6624"/>
    <cellStyle name="40% - Accent1 3 7 2 2" xfId="15060"/>
    <cellStyle name="40% - Accent1 3 7 2 3" xfId="23501"/>
    <cellStyle name="40% - Accent1 3 7 2 4" xfId="31941"/>
    <cellStyle name="40% - Accent1 3 7 3" xfId="10842"/>
    <cellStyle name="40% - Accent1 3 7 4" xfId="19284"/>
    <cellStyle name="40% - Accent1 3 7 5" xfId="27724"/>
    <cellStyle name="40% - Accent1 3 8" xfId="4558"/>
    <cellStyle name="40% - Accent1 3 8 2" xfId="12994"/>
    <cellStyle name="40% - Accent1 3 8 3" xfId="21435"/>
    <cellStyle name="40% - Accent1 3 8 4" xfId="29875"/>
    <cellStyle name="40% - Accent1 3 9" xfId="8776"/>
    <cellStyle name="40% - Accent1 4" xfId="56"/>
    <cellStyle name="40% - Accent1 4 10" xfId="25660"/>
    <cellStyle name="40% - Accent1 4 2" xfId="625"/>
    <cellStyle name="40% - Accent1 4 2 2" xfId="2896"/>
    <cellStyle name="40% - Accent1 4 2 2 2" xfId="7119"/>
    <cellStyle name="40% - Accent1 4 2 2 2 2" xfId="15555"/>
    <cellStyle name="40% - Accent1 4 2 2 2 3" xfId="23996"/>
    <cellStyle name="40% - Accent1 4 2 2 2 4" xfId="32436"/>
    <cellStyle name="40% - Accent1 4 2 2 3" xfId="11337"/>
    <cellStyle name="40% - Accent1 4 2 2 4" xfId="19779"/>
    <cellStyle name="40% - Accent1 4 2 2 5" xfId="28219"/>
    <cellStyle name="40% - Accent1 4 2 3" xfId="4974"/>
    <cellStyle name="40% - Accent1 4 2 3 2" xfId="13410"/>
    <cellStyle name="40% - Accent1 4 2 3 3" xfId="21851"/>
    <cellStyle name="40% - Accent1 4 2 3 4" xfId="30291"/>
    <cellStyle name="40% - Accent1 4 2 4" xfId="9192"/>
    <cellStyle name="40% - Accent1 4 2 5" xfId="17634"/>
    <cellStyle name="40% - Accent1 4 2 6" xfId="26074"/>
    <cellStyle name="40% - Accent1 4 3" xfId="1078"/>
    <cellStyle name="40% - Accent1 4 3 2" xfId="3309"/>
    <cellStyle name="40% - Accent1 4 3 2 2" xfId="7532"/>
    <cellStyle name="40% - Accent1 4 3 2 2 2" xfId="15968"/>
    <cellStyle name="40% - Accent1 4 3 2 2 3" xfId="24409"/>
    <cellStyle name="40% - Accent1 4 3 2 2 4" xfId="32849"/>
    <cellStyle name="40% - Accent1 4 3 2 3" xfId="11750"/>
    <cellStyle name="40% - Accent1 4 3 2 4" xfId="20192"/>
    <cellStyle name="40% - Accent1 4 3 2 5" xfId="28632"/>
    <cellStyle name="40% - Accent1 4 3 3" xfId="5387"/>
    <cellStyle name="40% - Accent1 4 3 3 2" xfId="13823"/>
    <cellStyle name="40% - Accent1 4 3 3 3" xfId="22264"/>
    <cellStyle name="40% - Accent1 4 3 3 4" xfId="30704"/>
    <cellStyle name="40% - Accent1 4 3 4" xfId="9605"/>
    <cellStyle name="40% - Accent1 4 3 5" xfId="18047"/>
    <cellStyle name="40% - Accent1 4 3 6" xfId="26487"/>
    <cellStyle name="40% - Accent1 4 4" xfId="1492"/>
    <cellStyle name="40% - Accent1 4 4 2" xfId="3722"/>
    <cellStyle name="40% - Accent1 4 4 2 2" xfId="7945"/>
    <cellStyle name="40% - Accent1 4 4 2 2 2" xfId="16381"/>
    <cellStyle name="40% - Accent1 4 4 2 2 3" xfId="24822"/>
    <cellStyle name="40% - Accent1 4 4 2 2 4" xfId="33262"/>
    <cellStyle name="40% - Accent1 4 4 2 3" xfId="12163"/>
    <cellStyle name="40% - Accent1 4 4 2 4" xfId="20605"/>
    <cellStyle name="40% - Accent1 4 4 2 5" xfId="29045"/>
    <cellStyle name="40% - Accent1 4 4 3" xfId="5800"/>
    <cellStyle name="40% - Accent1 4 4 3 2" xfId="14236"/>
    <cellStyle name="40% - Accent1 4 4 3 3" xfId="22677"/>
    <cellStyle name="40% - Accent1 4 4 3 4" xfId="31117"/>
    <cellStyle name="40% - Accent1 4 4 4" xfId="10018"/>
    <cellStyle name="40% - Accent1 4 4 5" xfId="18460"/>
    <cellStyle name="40% - Accent1 4 4 6" xfId="26900"/>
    <cellStyle name="40% - Accent1 4 5" xfId="1906"/>
    <cellStyle name="40% - Accent1 4 5 2" xfId="4135"/>
    <cellStyle name="40% - Accent1 4 5 2 2" xfId="8358"/>
    <cellStyle name="40% - Accent1 4 5 2 2 2" xfId="16794"/>
    <cellStyle name="40% - Accent1 4 5 2 2 3" xfId="25235"/>
    <cellStyle name="40% - Accent1 4 5 2 2 4" xfId="33675"/>
    <cellStyle name="40% - Accent1 4 5 2 3" xfId="12576"/>
    <cellStyle name="40% - Accent1 4 5 2 4" xfId="21018"/>
    <cellStyle name="40% - Accent1 4 5 2 5" xfId="29458"/>
    <cellStyle name="40% - Accent1 4 5 3" xfId="6213"/>
    <cellStyle name="40% - Accent1 4 5 3 2" xfId="14649"/>
    <cellStyle name="40% - Accent1 4 5 3 3" xfId="23090"/>
    <cellStyle name="40% - Accent1 4 5 3 4" xfId="31530"/>
    <cellStyle name="40% - Accent1 4 5 4" xfId="10431"/>
    <cellStyle name="40% - Accent1 4 5 5" xfId="18873"/>
    <cellStyle name="40% - Accent1 4 5 6" xfId="27313"/>
    <cellStyle name="40% - Accent1 4 6" xfId="2319"/>
    <cellStyle name="40% - Accent1 4 6 2" xfId="6626"/>
    <cellStyle name="40% - Accent1 4 6 2 2" xfId="15062"/>
    <cellStyle name="40% - Accent1 4 6 2 3" xfId="23503"/>
    <cellStyle name="40% - Accent1 4 6 2 4" xfId="31943"/>
    <cellStyle name="40% - Accent1 4 6 3" xfId="10844"/>
    <cellStyle name="40% - Accent1 4 6 4" xfId="19286"/>
    <cellStyle name="40% - Accent1 4 6 5" xfId="27726"/>
    <cellStyle name="40% - Accent1 4 7" xfId="4560"/>
    <cellStyle name="40% - Accent1 4 7 2" xfId="12996"/>
    <cellStyle name="40% - Accent1 4 7 3" xfId="21437"/>
    <cellStyle name="40% - Accent1 4 7 4" xfId="29877"/>
    <cellStyle name="40% - Accent1 4 8" xfId="8778"/>
    <cellStyle name="40% - Accent1 4 9" xfId="17220"/>
    <cellStyle name="40% - Accent1 5" xfId="618"/>
    <cellStyle name="40% - Accent1 5 2" xfId="2889"/>
    <cellStyle name="40% - Accent1 5 2 2" xfId="7112"/>
    <cellStyle name="40% - Accent1 5 2 2 2" xfId="15548"/>
    <cellStyle name="40% - Accent1 5 2 2 3" xfId="23989"/>
    <cellStyle name="40% - Accent1 5 2 2 4" xfId="32429"/>
    <cellStyle name="40% - Accent1 5 2 3" xfId="11330"/>
    <cellStyle name="40% - Accent1 5 2 4" xfId="19772"/>
    <cellStyle name="40% - Accent1 5 2 5" xfId="28212"/>
    <cellStyle name="40% - Accent1 5 3" xfId="4967"/>
    <cellStyle name="40% - Accent1 5 3 2" xfId="13403"/>
    <cellStyle name="40% - Accent1 5 3 3" xfId="21844"/>
    <cellStyle name="40% - Accent1 5 3 4" xfId="30284"/>
    <cellStyle name="40% - Accent1 5 4" xfId="9185"/>
    <cellStyle name="40% - Accent1 5 5" xfId="17627"/>
    <cellStyle name="40% - Accent1 5 6" xfId="26067"/>
    <cellStyle name="40% - Accent1 6" xfId="1071"/>
    <cellStyle name="40% - Accent1 6 2" xfId="3302"/>
    <cellStyle name="40% - Accent1 6 2 2" xfId="7525"/>
    <cellStyle name="40% - Accent1 6 2 2 2" xfId="15961"/>
    <cellStyle name="40% - Accent1 6 2 2 3" xfId="24402"/>
    <cellStyle name="40% - Accent1 6 2 2 4" xfId="32842"/>
    <cellStyle name="40% - Accent1 6 2 3" xfId="11743"/>
    <cellStyle name="40% - Accent1 6 2 4" xfId="20185"/>
    <cellStyle name="40% - Accent1 6 2 5" xfId="28625"/>
    <cellStyle name="40% - Accent1 6 3" xfId="5380"/>
    <cellStyle name="40% - Accent1 6 3 2" xfId="13816"/>
    <cellStyle name="40% - Accent1 6 3 3" xfId="22257"/>
    <cellStyle name="40% - Accent1 6 3 4" xfId="30697"/>
    <cellStyle name="40% - Accent1 6 4" xfId="9598"/>
    <cellStyle name="40% - Accent1 6 5" xfId="18040"/>
    <cellStyle name="40% - Accent1 6 6" xfId="26480"/>
    <cellStyle name="40% - Accent1 7" xfId="1485"/>
    <cellStyle name="40% - Accent1 7 2" xfId="3715"/>
    <cellStyle name="40% - Accent1 7 2 2" xfId="7938"/>
    <cellStyle name="40% - Accent1 7 2 2 2" xfId="16374"/>
    <cellStyle name="40% - Accent1 7 2 2 3" xfId="24815"/>
    <cellStyle name="40% - Accent1 7 2 2 4" xfId="33255"/>
    <cellStyle name="40% - Accent1 7 2 3" xfId="12156"/>
    <cellStyle name="40% - Accent1 7 2 4" xfId="20598"/>
    <cellStyle name="40% - Accent1 7 2 5" xfId="29038"/>
    <cellStyle name="40% - Accent1 7 3" xfId="5793"/>
    <cellStyle name="40% - Accent1 7 3 2" xfId="14229"/>
    <cellStyle name="40% - Accent1 7 3 3" xfId="22670"/>
    <cellStyle name="40% - Accent1 7 3 4" xfId="31110"/>
    <cellStyle name="40% - Accent1 7 4" xfId="10011"/>
    <cellStyle name="40% - Accent1 7 5" xfId="18453"/>
    <cellStyle name="40% - Accent1 7 6" xfId="26893"/>
    <cellStyle name="40% - Accent1 8" xfId="1899"/>
    <cellStyle name="40% - Accent1 8 2" xfId="4128"/>
    <cellStyle name="40% - Accent1 8 2 2" xfId="8351"/>
    <cellStyle name="40% - Accent1 8 2 2 2" xfId="16787"/>
    <cellStyle name="40% - Accent1 8 2 2 3" xfId="25228"/>
    <cellStyle name="40% - Accent1 8 2 2 4" xfId="33668"/>
    <cellStyle name="40% - Accent1 8 2 3" xfId="12569"/>
    <cellStyle name="40% - Accent1 8 2 4" xfId="21011"/>
    <cellStyle name="40% - Accent1 8 2 5" xfId="29451"/>
    <cellStyle name="40% - Accent1 8 3" xfId="6206"/>
    <cellStyle name="40% - Accent1 8 3 2" xfId="14642"/>
    <cellStyle name="40% - Accent1 8 3 3" xfId="23083"/>
    <cellStyle name="40% - Accent1 8 3 4" xfId="31523"/>
    <cellStyle name="40% - Accent1 8 4" xfId="10424"/>
    <cellStyle name="40% - Accent1 8 5" xfId="18866"/>
    <cellStyle name="40% - Accent1 8 6" xfId="27306"/>
    <cellStyle name="40% - Accent1 9" xfId="2312"/>
    <cellStyle name="40% - Accent1 9 2" xfId="6619"/>
    <cellStyle name="40% - Accent1 9 2 2" xfId="15055"/>
    <cellStyle name="40% - Accent1 9 2 3" xfId="23496"/>
    <cellStyle name="40% - Accent1 9 2 4" xfId="31936"/>
    <cellStyle name="40% - Accent1 9 3" xfId="10837"/>
    <cellStyle name="40% - Accent1 9 4" xfId="19279"/>
    <cellStyle name="40% - Accent1 9 5" xfId="27719"/>
    <cellStyle name="40% - Accent2" xfId="57" builtinId="35" customBuiltin="1"/>
    <cellStyle name="40% - Accent2 10" xfId="4561"/>
    <cellStyle name="40% - Accent2 10 2" xfId="12997"/>
    <cellStyle name="40% - Accent2 10 3" xfId="21438"/>
    <cellStyle name="40% - Accent2 10 4" xfId="29878"/>
    <cellStyle name="40% - Accent2 11" xfId="8779"/>
    <cellStyle name="40% - Accent2 12" xfId="17221"/>
    <cellStyle name="40% - Accent2 13" xfId="25661"/>
    <cellStyle name="40% - Accent2 2" xfId="58"/>
    <cellStyle name="40% - Accent2 2 10" xfId="8780"/>
    <cellStyle name="40% - Accent2 2 11" xfId="17222"/>
    <cellStyle name="40% - Accent2 2 12" xfId="25662"/>
    <cellStyle name="40% - Accent2 2 2" xfId="59"/>
    <cellStyle name="40% - Accent2 2 2 10" xfId="17223"/>
    <cellStyle name="40% - Accent2 2 2 11" xfId="25663"/>
    <cellStyle name="40% - Accent2 2 2 2" xfId="60"/>
    <cellStyle name="40% - Accent2 2 2 2 10" xfId="25664"/>
    <cellStyle name="40% - Accent2 2 2 2 2" xfId="629"/>
    <cellStyle name="40% - Accent2 2 2 2 2 2" xfId="2900"/>
    <cellStyle name="40% - Accent2 2 2 2 2 2 2" xfId="7123"/>
    <cellStyle name="40% - Accent2 2 2 2 2 2 2 2" xfId="15559"/>
    <cellStyle name="40% - Accent2 2 2 2 2 2 2 3" xfId="24000"/>
    <cellStyle name="40% - Accent2 2 2 2 2 2 2 4" xfId="32440"/>
    <cellStyle name="40% - Accent2 2 2 2 2 2 3" xfId="11341"/>
    <cellStyle name="40% - Accent2 2 2 2 2 2 4" xfId="19783"/>
    <cellStyle name="40% - Accent2 2 2 2 2 2 5" xfId="28223"/>
    <cellStyle name="40% - Accent2 2 2 2 2 3" xfId="4978"/>
    <cellStyle name="40% - Accent2 2 2 2 2 3 2" xfId="13414"/>
    <cellStyle name="40% - Accent2 2 2 2 2 3 3" xfId="21855"/>
    <cellStyle name="40% - Accent2 2 2 2 2 3 4" xfId="30295"/>
    <cellStyle name="40% - Accent2 2 2 2 2 4" xfId="9196"/>
    <cellStyle name="40% - Accent2 2 2 2 2 5" xfId="17638"/>
    <cellStyle name="40% - Accent2 2 2 2 2 6" xfId="26078"/>
    <cellStyle name="40% - Accent2 2 2 2 3" xfId="1082"/>
    <cellStyle name="40% - Accent2 2 2 2 3 2" xfId="3313"/>
    <cellStyle name="40% - Accent2 2 2 2 3 2 2" xfId="7536"/>
    <cellStyle name="40% - Accent2 2 2 2 3 2 2 2" xfId="15972"/>
    <cellStyle name="40% - Accent2 2 2 2 3 2 2 3" xfId="24413"/>
    <cellStyle name="40% - Accent2 2 2 2 3 2 2 4" xfId="32853"/>
    <cellStyle name="40% - Accent2 2 2 2 3 2 3" xfId="11754"/>
    <cellStyle name="40% - Accent2 2 2 2 3 2 4" xfId="20196"/>
    <cellStyle name="40% - Accent2 2 2 2 3 2 5" xfId="28636"/>
    <cellStyle name="40% - Accent2 2 2 2 3 3" xfId="5391"/>
    <cellStyle name="40% - Accent2 2 2 2 3 3 2" xfId="13827"/>
    <cellStyle name="40% - Accent2 2 2 2 3 3 3" xfId="22268"/>
    <cellStyle name="40% - Accent2 2 2 2 3 3 4" xfId="30708"/>
    <cellStyle name="40% - Accent2 2 2 2 3 4" xfId="9609"/>
    <cellStyle name="40% - Accent2 2 2 2 3 5" xfId="18051"/>
    <cellStyle name="40% - Accent2 2 2 2 3 6" xfId="26491"/>
    <cellStyle name="40% - Accent2 2 2 2 4" xfId="1496"/>
    <cellStyle name="40% - Accent2 2 2 2 4 2" xfId="3726"/>
    <cellStyle name="40% - Accent2 2 2 2 4 2 2" xfId="7949"/>
    <cellStyle name="40% - Accent2 2 2 2 4 2 2 2" xfId="16385"/>
    <cellStyle name="40% - Accent2 2 2 2 4 2 2 3" xfId="24826"/>
    <cellStyle name="40% - Accent2 2 2 2 4 2 2 4" xfId="33266"/>
    <cellStyle name="40% - Accent2 2 2 2 4 2 3" xfId="12167"/>
    <cellStyle name="40% - Accent2 2 2 2 4 2 4" xfId="20609"/>
    <cellStyle name="40% - Accent2 2 2 2 4 2 5" xfId="29049"/>
    <cellStyle name="40% - Accent2 2 2 2 4 3" xfId="5804"/>
    <cellStyle name="40% - Accent2 2 2 2 4 3 2" xfId="14240"/>
    <cellStyle name="40% - Accent2 2 2 2 4 3 3" xfId="22681"/>
    <cellStyle name="40% - Accent2 2 2 2 4 3 4" xfId="31121"/>
    <cellStyle name="40% - Accent2 2 2 2 4 4" xfId="10022"/>
    <cellStyle name="40% - Accent2 2 2 2 4 5" xfId="18464"/>
    <cellStyle name="40% - Accent2 2 2 2 4 6" xfId="26904"/>
    <cellStyle name="40% - Accent2 2 2 2 5" xfId="1910"/>
    <cellStyle name="40% - Accent2 2 2 2 5 2" xfId="4139"/>
    <cellStyle name="40% - Accent2 2 2 2 5 2 2" xfId="8362"/>
    <cellStyle name="40% - Accent2 2 2 2 5 2 2 2" xfId="16798"/>
    <cellStyle name="40% - Accent2 2 2 2 5 2 2 3" xfId="25239"/>
    <cellStyle name="40% - Accent2 2 2 2 5 2 2 4" xfId="33679"/>
    <cellStyle name="40% - Accent2 2 2 2 5 2 3" xfId="12580"/>
    <cellStyle name="40% - Accent2 2 2 2 5 2 4" xfId="21022"/>
    <cellStyle name="40% - Accent2 2 2 2 5 2 5" xfId="29462"/>
    <cellStyle name="40% - Accent2 2 2 2 5 3" xfId="6217"/>
    <cellStyle name="40% - Accent2 2 2 2 5 3 2" xfId="14653"/>
    <cellStyle name="40% - Accent2 2 2 2 5 3 3" xfId="23094"/>
    <cellStyle name="40% - Accent2 2 2 2 5 3 4" xfId="31534"/>
    <cellStyle name="40% - Accent2 2 2 2 5 4" xfId="10435"/>
    <cellStyle name="40% - Accent2 2 2 2 5 5" xfId="18877"/>
    <cellStyle name="40% - Accent2 2 2 2 5 6" xfId="27317"/>
    <cellStyle name="40% - Accent2 2 2 2 6" xfId="2323"/>
    <cellStyle name="40% - Accent2 2 2 2 6 2" xfId="6630"/>
    <cellStyle name="40% - Accent2 2 2 2 6 2 2" xfId="15066"/>
    <cellStyle name="40% - Accent2 2 2 2 6 2 3" xfId="23507"/>
    <cellStyle name="40% - Accent2 2 2 2 6 2 4" xfId="31947"/>
    <cellStyle name="40% - Accent2 2 2 2 6 3" xfId="10848"/>
    <cellStyle name="40% - Accent2 2 2 2 6 4" xfId="19290"/>
    <cellStyle name="40% - Accent2 2 2 2 6 5" xfId="27730"/>
    <cellStyle name="40% - Accent2 2 2 2 7" xfId="4564"/>
    <cellStyle name="40% - Accent2 2 2 2 7 2" xfId="13000"/>
    <cellStyle name="40% - Accent2 2 2 2 7 3" xfId="21441"/>
    <cellStyle name="40% - Accent2 2 2 2 7 4" xfId="29881"/>
    <cellStyle name="40% - Accent2 2 2 2 8" xfId="8782"/>
    <cellStyle name="40% - Accent2 2 2 2 9" xfId="17224"/>
    <cellStyle name="40% - Accent2 2 2 3" xfId="628"/>
    <cellStyle name="40% - Accent2 2 2 3 2" xfId="2899"/>
    <cellStyle name="40% - Accent2 2 2 3 2 2" xfId="7122"/>
    <cellStyle name="40% - Accent2 2 2 3 2 2 2" xfId="15558"/>
    <cellStyle name="40% - Accent2 2 2 3 2 2 3" xfId="23999"/>
    <cellStyle name="40% - Accent2 2 2 3 2 2 4" xfId="32439"/>
    <cellStyle name="40% - Accent2 2 2 3 2 3" xfId="11340"/>
    <cellStyle name="40% - Accent2 2 2 3 2 4" xfId="19782"/>
    <cellStyle name="40% - Accent2 2 2 3 2 5" xfId="28222"/>
    <cellStyle name="40% - Accent2 2 2 3 3" xfId="4977"/>
    <cellStyle name="40% - Accent2 2 2 3 3 2" xfId="13413"/>
    <cellStyle name="40% - Accent2 2 2 3 3 3" xfId="21854"/>
    <cellStyle name="40% - Accent2 2 2 3 3 4" xfId="30294"/>
    <cellStyle name="40% - Accent2 2 2 3 4" xfId="9195"/>
    <cellStyle name="40% - Accent2 2 2 3 5" xfId="17637"/>
    <cellStyle name="40% - Accent2 2 2 3 6" xfId="26077"/>
    <cellStyle name="40% - Accent2 2 2 4" xfId="1081"/>
    <cellStyle name="40% - Accent2 2 2 4 2" xfId="3312"/>
    <cellStyle name="40% - Accent2 2 2 4 2 2" xfId="7535"/>
    <cellStyle name="40% - Accent2 2 2 4 2 2 2" xfId="15971"/>
    <cellStyle name="40% - Accent2 2 2 4 2 2 3" xfId="24412"/>
    <cellStyle name="40% - Accent2 2 2 4 2 2 4" xfId="32852"/>
    <cellStyle name="40% - Accent2 2 2 4 2 3" xfId="11753"/>
    <cellStyle name="40% - Accent2 2 2 4 2 4" xfId="20195"/>
    <cellStyle name="40% - Accent2 2 2 4 2 5" xfId="28635"/>
    <cellStyle name="40% - Accent2 2 2 4 3" xfId="5390"/>
    <cellStyle name="40% - Accent2 2 2 4 3 2" xfId="13826"/>
    <cellStyle name="40% - Accent2 2 2 4 3 3" xfId="22267"/>
    <cellStyle name="40% - Accent2 2 2 4 3 4" xfId="30707"/>
    <cellStyle name="40% - Accent2 2 2 4 4" xfId="9608"/>
    <cellStyle name="40% - Accent2 2 2 4 5" xfId="18050"/>
    <cellStyle name="40% - Accent2 2 2 4 6" xfId="26490"/>
    <cellStyle name="40% - Accent2 2 2 5" xfId="1495"/>
    <cellStyle name="40% - Accent2 2 2 5 2" xfId="3725"/>
    <cellStyle name="40% - Accent2 2 2 5 2 2" xfId="7948"/>
    <cellStyle name="40% - Accent2 2 2 5 2 2 2" xfId="16384"/>
    <cellStyle name="40% - Accent2 2 2 5 2 2 3" xfId="24825"/>
    <cellStyle name="40% - Accent2 2 2 5 2 2 4" xfId="33265"/>
    <cellStyle name="40% - Accent2 2 2 5 2 3" xfId="12166"/>
    <cellStyle name="40% - Accent2 2 2 5 2 4" xfId="20608"/>
    <cellStyle name="40% - Accent2 2 2 5 2 5" xfId="29048"/>
    <cellStyle name="40% - Accent2 2 2 5 3" xfId="5803"/>
    <cellStyle name="40% - Accent2 2 2 5 3 2" xfId="14239"/>
    <cellStyle name="40% - Accent2 2 2 5 3 3" xfId="22680"/>
    <cellStyle name="40% - Accent2 2 2 5 3 4" xfId="31120"/>
    <cellStyle name="40% - Accent2 2 2 5 4" xfId="10021"/>
    <cellStyle name="40% - Accent2 2 2 5 5" xfId="18463"/>
    <cellStyle name="40% - Accent2 2 2 5 6" xfId="26903"/>
    <cellStyle name="40% - Accent2 2 2 6" xfId="1909"/>
    <cellStyle name="40% - Accent2 2 2 6 2" xfId="4138"/>
    <cellStyle name="40% - Accent2 2 2 6 2 2" xfId="8361"/>
    <cellStyle name="40% - Accent2 2 2 6 2 2 2" xfId="16797"/>
    <cellStyle name="40% - Accent2 2 2 6 2 2 3" xfId="25238"/>
    <cellStyle name="40% - Accent2 2 2 6 2 2 4" xfId="33678"/>
    <cellStyle name="40% - Accent2 2 2 6 2 3" xfId="12579"/>
    <cellStyle name="40% - Accent2 2 2 6 2 4" xfId="21021"/>
    <cellStyle name="40% - Accent2 2 2 6 2 5" xfId="29461"/>
    <cellStyle name="40% - Accent2 2 2 6 3" xfId="6216"/>
    <cellStyle name="40% - Accent2 2 2 6 3 2" xfId="14652"/>
    <cellStyle name="40% - Accent2 2 2 6 3 3" xfId="23093"/>
    <cellStyle name="40% - Accent2 2 2 6 3 4" xfId="31533"/>
    <cellStyle name="40% - Accent2 2 2 6 4" xfId="10434"/>
    <cellStyle name="40% - Accent2 2 2 6 5" xfId="18876"/>
    <cellStyle name="40% - Accent2 2 2 6 6" xfId="27316"/>
    <cellStyle name="40% - Accent2 2 2 7" xfId="2322"/>
    <cellStyle name="40% - Accent2 2 2 7 2" xfId="6629"/>
    <cellStyle name="40% - Accent2 2 2 7 2 2" xfId="15065"/>
    <cellStyle name="40% - Accent2 2 2 7 2 3" xfId="23506"/>
    <cellStyle name="40% - Accent2 2 2 7 2 4" xfId="31946"/>
    <cellStyle name="40% - Accent2 2 2 7 3" xfId="10847"/>
    <cellStyle name="40% - Accent2 2 2 7 4" xfId="19289"/>
    <cellStyle name="40% - Accent2 2 2 7 5" xfId="27729"/>
    <cellStyle name="40% - Accent2 2 2 8" xfId="4563"/>
    <cellStyle name="40% - Accent2 2 2 8 2" xfId="12999"/>
    <cellStyle name="40% - Accent2 2 2 8 3" xfId="21440"/>
    <cellStyle name="40% - Accent2 2 2 8 4" xfId="29880"/>
    <cellStyle name="40% - Accent2 2 2 9" xfId="8781"/>
    <cellStyle name="40% - Accent2 2 3" xfId="61"/>
    <cellStyle name="40% - Accent2 2 3 10" xfId="25665"/>
    <cellStyle name="40% - Accent2 2 3 2" xfId="630"/>
    <cellStyle name="40% - Accent2 2 3 2 2" xfId="2901"/>
    <cellStyle name="40% - Accent2 2 3 2 2 2" xfId="7124"/>
    <cellStyle name="40% - Accent2 2 3 2 2 2 2" xfId="15560"/>
    <cellStyle name="40% - Accent2 2 3 2 2 2 3" xfId="24001"/>
    <cellStyle name="40% - Accent2 2 3 2 2 2 4" xfId="32441"/>
    <cellStyle name="40% - Accent2 2 3 2 2 3" xfId="11342"/>
    <cellStyle name="40% - Accent2 2 3 2 2 4" xfId="19784"/>
    <cellStyle name="40% - Accent2 2 3 2 2 5" xfId="28224"/>
    <cellStyle name="40% - Accent2 2 3 2 3" xfId="4979"/>
    <cellStyle name="40% - Accent2 2 3 2 3 2" xfId="13415"/>
    <cellStyle name="40% - Accent2 2 3 2 3 3" xfId="21856"/>
    <cellStyle name="40% - Accent2 2 3 2 3 4" xfId="30296"/>
    <cellStyle name="40% - Accent2 2 3 2 4" xfId="9197"/>
    <cellStyle name="40% - Accent2 2 3 2 5" xfId="17639"/>
    <cellStyle name="40% - Accent2 2 3 2 6" xfId="26079"/>
    <cellStyle name="40% - Accent2 2 3 3" xfId="1083"/>
    <cellStyle name="40% - Accent2 2 3 3 2" xfId="3314"/>
    <cellStyle name="40% - Accent2 2 3 3 2 2" xfId="7537"/>
    <cellStyle name="40% - Accent2 2 3 3 2 2 2" xfId="15973"/>
    <cellStyle name="40% - Accent2 2 3 3 2 2 3" xfId="24414"/>
    <cellStyle name="40% - Accent2 2 3 3 2 2 4" xfId="32854"/>
    <cellStyle name="40% - Accent2 2 3 3 2 3" xfId="11755"/>
    <cellStyle name="40% - Accent2 2 3 3 2 4" xfId="20197"/>
    <cellStyle name="40% - Accent2 2 3 3 2 5" xfId="28637"/>
    <cellStyle name="40% - Accent2 2 3 3 3" xfId="5392"/>
    <cellStyle name="40% - Accent2 2 3 3 3 2" xfId="13828"/>
    <cellStyle name="40% - Accent2 2 3 3 3 3" xfId="22269"/>
    <cellStyle name="40% - Accent2 2 3 3 3 4" xfId="30709"/>
    <cellStyle name="40% - Accent2 2 3 3 4" xfId="9610"/>
    <cellStyle name="40% - Accent2 2 3 3 5" xfId="18052"/>
    <cellStyle name="40% - Accent2 2 3 3 6" xfId="26492"/>
    <cellStyle name="40% - Accent2 2 3 4" xfId="1497"/>
    <cellStyle name="40% - Accent2 2 3 4 2" xfId="3727"/>
    <cellStyle name="40% - Accent2 2 3 4 2 2" xfId="7950"/>
    <cellStyle name="40% - Accent2 2 3 4 2 2 2" xfId="16386"/>
    <cellStyle name="40% - Accent2 2 3 4 2 2 3" xfId="24827"/>
    <cellStyle name="40% - Accent2 2 3 4 2 2 4" xfId="33267"/>
    <cellStyle name="40% - Accent2 2 3 4 2 3" xfId="12168"/>
    <cellStyle name="40% - Accent2 2 3 4 2 4" xfId="20610"/>
    <cellStyle name="40% - Accent2 2 3 4 2 5" xfId="29050"/>
    <cellStyle name="40% - Accent2 2 3 4 3" xfId="5805"/>
    <cellStyle name="40% - Accent2 2 3 4 3 2" xfId="14241"/>
    <cellStyle name="40% - Accent2 2 3 4 3 3" xfId="22682"/>
    <cellStyle name="40% - Accent2 2 3 4 3 4" xfId="31122"/>
    <cellStyle name="40% - Accent2 2 3 4 4" xfId="10023"/>
    <cellStyle name="40% - Accent2 2 3 4 5" xfId="18465"/>
    <cellStyle name="40% - Accent2 2 3 4 6" xfId="26905"/>
    <cellStyle name="40% - Accent2 2 3 5" xfId="1911"/>
    <cellStyle name="40% - Accent2 2 3 5 2" xfId="4140"/>
    <cellStyle name="40% - Accent2 2 3 5 2 2" xfId="8363"/>
    <cellStyle name="40% - Accent2 2 3 5 2 2 2" xfId="16799"/>
    <cellStyle name="40% - Accent2 2 3 5 2 2 3" xfId="25240"/>
    <cellStyle name="40% - Accent2 2 3 5 2 2 4" xfId="33680"/>
    <cellStyle name="40% - Accent2 2 3 5 2 3" xfId="12581"/>
    <cellStyle name="40% - Accent2 2 3 5 2 4" xfId="21023"/>
    <cellStyle name="40% - Accent2 2 3 5 2 5" xfId="29463"/>
    <cellStyle name="40% - Accent2 2 3 5 3" xfId="6218"/>
    <cellStyle name="40% - Accent2 2 3 5 3 2" xfId="14654"/>
    <cellStyle name="40% - Accent2 2 3 5 3 3" xfId="23095"/>
    <cellStyle name="40% - Accent2 2 3 5 3 4" xfId="31535"/>
    <cellStyle name="40% - Accent2 2 3 5 4" xfId="10436"/>
    <cellStyle name="40% - Accent2 2 3 5 5" xfId="18878"/>
    <cellStyle name="40% - Accent2 2 3 5 6" xfId="27318"/>
    <cellStyle name="40% - Accent2 2 3 6" xfId="2324"/>
    <cellStyle name="40% - Accent2 2 3 6 2" xfId="6631"/>
    <cellStyle name="40% - Accent2 2 3 6 2 2" xfId="15067"/>
    <cellStyle name="40% - Accent2 2 3 6 2 3" xfId="23508"/>
    <cellStyle name="40% - Accent2 2 3 6 2 4" xfId="31948"/>
    <cellStyle name="40% - Accent2 2 3 6 3" xfId="10849"/>
    <cellStyle name="40% - Accent2 2 3 6 4" xfId="19291"/>
    <cellStyle name="40% - Accent2 2 3 6 5" xfId="27731"/>
    <cellStyle name="40% - Accent2 2 3 7" xfId="4565"/>
    <cellStyle name="40% - Accent2 2 3 7 2" xfId="13001"/>
    <cellStyle name="40% - Accent2 2 3 7 3" xfId="21442"/>
    <cellStyle name="40% - Accent2 2 3 7 4" xfId="29882"/>
    <cellStyle name="40% - Accent2 2 3 8" xfId="8783"/>
    <cellStyle name="40% - Accent2 2 3 9" xfId="17225"/>
    <cellStyle name="40% - Accent2 2 4" xfId="627"/>
    <cellStyle name="40% - Accent2 2 4 2" xfId="2898"/>
    <cellStyle name="40% - Accent2 2 4 2 2" xfId="7121"/>
    <cellStyle name="40% - Accent2 2 4 2 2 2" xfId="15557"/>
    <cellStyle name="40% - Accent2 2 4 2 2 3" xfId="23998"/>
    <cellStyle name="40% - Accent2 2 4 2 2 4" xfId="32438"/>
    <cellStyle name="40% - Accent2 2 4 2 3" xfId="11339"/>
    <cellStyle name="40% - Accent2 2 4 2 4" xfId="19781"/>
    <cellStyle name="40% - Accent2 2 4 2 5" xfId="28221"/>
    <cellStyle name="40% - Accent2 2 4 3" xfId="4976"/>
    <cellStyle name="40% - Accent2 2 4 3 2" xfId="13412"/>
    <cellStyle name="40% - Accent2 2 4 3 3" xfId="21853"/>
    <cellStyle name="40% - Accent2 2 4 3 4" xfId="30293"/>
    <cellStyle name="40% - Accent2 2 4 4" xfId="9194"/>
    <cellStyle name="40% - Accent2 2 4 5" xfId="17636"/>
    <cellStyle name="40% - Accent2 2 4 6" xfId="26076"/>
    <cellStyle name="40% - Accent2 2 5" xfId="1080"/>
    <cellStyle name="40% - Accent2 2 5 2" xfId="3311"/>
    <cellStyle name="40% - Accent2 2 5 2 2" xfId="7534"/>
    <cellStyle name="40% - Accent2 2 5 2 2 2" xfId="15970"/>
    <cellStyle name="40% - Accent2 2 5 2 2 3" xfId="24411"/>
    <cellStyle name="40% - Accent2 2 5 2 2 4" xfId="32851"/>
    <cellStyle name="40% - Accent2 2 5 2 3" xfId="11752"/>
    <cellStyle name="40% - Accent2 2 5 2 4" xfId="20194"/>
    <cellStyle name="40% - Accent2 2 5 2 5" xfId="28634"/>
    <cellStyle name="40% - Accent2 2 5 3" xfId="5389"/>
    <cellStyle name="40% - Accent2 2 5 3 2" xfId="13825"/>
    <cellStyle name="40% - Accent2 2 5 3 3" xfId="22266"/>
    <cellStyle name="40% - Accent2 2 5 3 4" xfId="30706"/>
    <cellStyle name="40% - Accent2 2 5 4" xfId="9607"/>
    <cellStyle name="40% - Accent2 2 5 5" xfId="18049"/>
    <cellStyle name="40% - Accent2 2 5 6" xfId="26489"/>
    <cellStyle name="40% - Accent2 2 6" xfId="1494"/>
    <cellStyle name="40% - Accent2 2 6 2" xfId="3724"/>
    <cellStyle name="40% - Accent2 2 6 2 2" xfId="7947"/>
    <cellStyle name="40% - Accent2 2 6 2 2 2" xfId="16383"/>
    <cellStyle name="40% - Accent2 2 6 2 2 3" xfId="24824"/>
    <cellStyle name="40% - Accent2 2 6 2 2 4" xfId="33264"/>
    <cellStyle name="40% - Accent2 2 6 2 3" xfId="12165"/>
    <cellStyle name="40% - Accent2 2 6 2 4" xfId="20607"/>
    <cellStyle name="40% - Accent2 2 6 2 5" xfId="29047"/>
    <cellStyle name="40% - Accent2 2 6 3" xfId="5802"/>
    <cellStyle name="40% - Accent2 2 6 3 2" xfId="14238"/>
    <cellStyle name="40% - Accent2 2 6 3 3" xfId="22679"/>
    <cellStyle name="40% - Accent2 2 6 3 4" xfId="31119"/>
    <cellStyle name="40% - Accent2 2 6 4" xfId="10020"/>
    <cellStyle name="40% - Accent2 2 6 5" xfId="18462"/>
    <cellStyle name="40% - Accent2 2 6 6" xfId="26902"/>
    <cellStyle name="40% - Accent2 2 7" xfId="1908"/>
    <cellStyle name="40% - Accent2 2 7 2" xfId="4137"/>
    <cellStyle name="40% - Accent2 2 7 2 2" xfId="8360"/>
    <cellStyle name="40% - Accent2 2 7 2 2 2" xfId="16796"/>
    <cellStyle name="40% - Accent2 2 7 2 2 3" xfId="25237"/>
    <cellStyle name="40% - Accent2 2 7 2 2 4" xfId="33677"/>
    <cellStyle name="40% - Accent2 2 7 2 3" xfId="12578"/>
    <cellStyle name="40% - Accent2 2 7 2 4" xfId="21020"/>
    <cellStyle name="40% - Accent2 2 7 2 5" xfId="29460"/>
    <cellStyle name="40% - Accent2 2 7 3" xfId="6215"/>
    <cellStyle name="40% - Accent2 2 7 3 2" xfId="14651"/>
    <cellStyle name="40% - Accent2 2 7 3 3" xfId="23092"/>
    <cellStyle name="40% - Accent2 2 7 3 4" xfId="31532"/>
    <cellStyle name="40% - Accent2 2 7 4" xfId="10433"/>
    <cellStyle name="40% - Accent2 2 7 5" xfId="18875"/>
    <cellStyle name="40% - Accent2 2 7 6" xfId="27315"/>
    <cellStyle name="40% - Accent2 2 8" xfId="2321"/>
    <cellStyle name="40% - Accent2 2 8 2" xfId="6628"/>
    <cellStyle name="40% - Accent2 2 8 2 2" xfId="15064"/>
    <cellStyle name="40% - Accent2 2 8 2 3" xfId="23505"/>
    <cellStyle name="40% - Accent2 2 8 2 4" xfId="31945"/>
    <cellStyle name="40% - Accent2 2 8 3" xfId="10846"/>
    <cellStyle name="40% - Accent2 2 8 4" xfId="19288"/>
    <cellStyle name="40% - Accent2 2 8 5" xfId="27728"/>
    <cellStyle name="40% - Accent2 2 9" xfId="4562"/>
    <cellStyle name="40% - Accent2 2 9 2" xfId="12998"/>
    <cellStyle name="40% - Accent2 2 9 3" xfId="21439"/>
    <cellStyle name="40% - Accent2 2 9 4" xfId="29879"/>
    <cellStyle name="40% - Accent2 3" xfId="62"/>
    <cellStyle name="40% - Accent2 3 10" xfId="17226"/>
    <cellStyle name="40% - Accent2 3 11" xfId="25666"/>
    <cellStyle name="40% - Accent2 3 2" xfId="63"/>
    <cellStyle name="40% - Accent2 3 2 10" xfId="25667"/>
    <cellStyle name="40% - Accent2 3 2 2" xfId="632"/>
    <cellStyle name="40% - Accent2 3 2 2 2" xfId="2903"/>
    <cellStyle name="40% - Accent2 3 2 2 2 2" xfId="7126"/>
    <cellStyle name="40% - Accent2 3 2 2 2 2 2" xfId="15562"/>
    <cellStyle name="40% - Accent2 3 2 2 2 2 3" xfId="24003"/>
    <cellStyle name="40% - Accent2 3 2 2 2 2 4" xfId="32443"/>
    <cellStyle name="40% - Accent2 3 2 2 2 3" xfId="11344"/>
    <cellStyle name="40% - Accent2 3 2 2 2 4" xfId="19786"/>
    <cellStyle name="40% - Accent2 3 2 2 2 5" xfId="28226"/>
    <cellStyle name="40% - Accent2 3 2 2 3" xfId="4981"/>
    <cellStyle name="40% - Accent2 3 2 2 3 2" xfId="13417"/>
    <cellStyle name="40% - Accent2 3 2 2 3 3" xfId="21858"/>
    <cellStyle name="40% - Accent2 3 2 2 3 4" xfId="30298"/>
    <cellStyle name="40% - Accent2 3 2 2 4" xfId="9199"/>
    <cellStyle name="40% - Accent2 3 2 2 5" xfId="17641"/>
    <cellStyle name="40% - Accent2 3 2 2 6" xfId="26081"/>
    <cellStyle name="40% - Accent2 3 2 3" xfId="1085"/>
    <cellStyle name="40% - Accent2 3 2 3 2" xfId="3316"/>
    <cellStyle name="40% - Accent2 3 2 3 2 2" xfId="7539"/>
    <cellStyle name="40% - Accent2 3 2 3 2 2 2" xfId="15975"/>
    <cellStyle name="40% - Accent2 3 2 3 2 2 3" xfId="24416"/>
    <cellStyle name="40% - Accent2 3 2 3 2 2 4" xfId="32856"/>
    <cellStyle name="40% - Accent2 3 2 3 2 3" xfId="11757"/>
    <cellStyle name="40% - Accent2 3 2 3 2 4" xfId="20199"/>
    <cellStyle name="40% - Accent2 3 2 3 2 5" xfId="28639"/>
    <cellStyle name="40% - Accent2 3 2 3 3" xfId="5394"/>
    <cellStyle name="40% - Accent2 3 2 3 3 2" xfId="13830"/>
    <cellStyle name="40% - Accent2 3 2 3 3 3" xfId="22271"/>
    <cellStyle name="40% - Accent2 3 2 3 3 4" xfId="30711"/>
    <cellStyle name="40% - Accent2 3 2 3 4" xfId="9612"/>
    <cellStyle name="40% - Accent2 3 2 3 5" xfId="18054"/>
    <cellStyle name="40% - Accent2 3 2 3 6" xfId="26494"/>
    <cellStyle name="40% - Accent2 3 2 4" xfId="1499"/>
    <cellStyle name="40% - Accent2 3 2 4 2" xfId="3729"/>
    <cellStyle name="40% - Accent2 3 2 4 2 2" xfId="7952"/>
    <cellStyle name="40% - Accent2 3 2 4 2 2 2" xfId="16388"/>
    <cellStyle name="40% - Accent2 3 2 4 2 2 3" xfId="24829"/>
    <cellStyle name="40% - Accent2 3 2 4 2 2 4" xfId="33269"/>
    <cellStyle name="40% - Accent2 3 2 4 2 3" xfId="12170"/>
    <cellStyle name="40% - Accent2 3 2 4 2 4" xfId="20612"/>
    <cellStyle name="40% - Accent2 3 2 4 2 5" xfId="29052"/>
    <cellStyle name="40% - Accent2 3 2 4 3" xfId="5807"/>
    <cellStyle name="40% - Accent2 3 2 4 3 2" xfId="14243"/>
    <cellStyle name="40% - Accent2 3 2 4 3 3" xfId="22684"/>
    <cellStyle name="40% - Accent2 3 2 4 3 4" xfId="31124"/>
    <cellStyle name="40% - Accent2 3 2 4 4" xfId="10025"/>
    <cellStyle name="40% - Accent2 3 2 4 5" xfId="18467"/>
    <cellStyle name="40% - Accent2 3 2 4 6" xfId="26907"/>
    <cellStyle name="40% - Accent2 3 2 5" xfId="1913"/>
    <cellStyle name="40% - Accent2 3 2 5 2" xfId="4142"/>
    <cellStyle name="40% - Accent2 3 2 5 2 2" xfId="8365"/>
    <cellStyle name="40% - Accent2 3 2 5 2 2 2" xfId="16801"/>
    <cellStyle name="40% - Accent2 3 2 5 2 2 3" xfId="25242"/>
    <cellStyle name="40% - Accent2 3 2 5 2 2 4" xfId="33682"/>
    <cellStyle name="40% - Accent2 3 2 5 2 3" xfId="12583"/>
    <cellStyle name="40% - Accent2 3 2 5 2 4" xfId="21025"/>
    <cellStyle name="40% - Accent2 3 2 5 2 5" xfId="29465"/>
    <cellStyle name="40% - Accent2 3 2 5 3" xfId="6220"/>
    <cellStyle name="40% - Accent2 3 2 5 3 2" xfId="14656"/>
    <cellStyle name="40% - Accent2 3 2 5 3 3" xfId="23097"/>
    <cellStyle name="40% - Accent2 3 2 5 3 4" xfId="31537"/>
    <cellStyle name="40% - Accent2 3 2 5 4" xfId="10438"/>
    <cellStyle name="40% - Accent2 3 2 5 5" xfId="18880"/>
    <cellStyle name="40% - Accent2 3 2 5 6" xfId="27320"/>
    <cellStyle name="40% - Accent2 3 2 6" xfId="2326"/>
    <cellStyle name="40% - Accent2 3 2 6 2" xfId="6633"/>
    <cellStyle name="40% - Accent2 3 2 6 2 2" xfId="15069"/>
    <cellStyle name="40% - Accent2 3 2 6 2 3" xfId="23510"/>
    <cellStyle name="40% - Accent2 3 2 6 2 4" xfId="31950"/>
    <cellStyle name="40% - Accent2 3 2 6 3" xfId="10851"/>
    <cellStyle name="40% - Accent2 3 2 6 4" xfId="19293"/>
    <cellStyle name="40% - Accent2 3 2 6 5" xfId="27733"/>
    <cellStyle name="40% - Accent2 3 2 7" xfId="4567"/>
    <cellStyle name="40% - Accent2 3 2 7 2" xfId="13003"/>
    <cellStyle name="40% - Accent2 3 2 7 3" xfId="21444"/>
    <cellStyle name="40% - Accent2 3 2 7 4" xfId="29884"/>
    <cellStyle name="40% - Accent2 3 2 8" xfId="8785"/>
    <cellStyle name="40% - Accent2 3 2 9" xfId="17227"/>
    <cellStyle name="40% - Accent2 3 3" xfId="631"/>
    <cellStyle name="40% - Accent2 3 3 2" xfId="2902"/>
    <cellStyle name="40% - Accent2 3 3 2 2" xfId="7125"/>
    <cellStyle name="40% - Accent2 3 3 2 2 2" xfId="15561"/>
    <cellStyle name="40% - Accent2 3 3 2 2 3" xfId="24002"/>
    <cellStyle name="40% - Accent2 3 3 2 2 4" xfId="32442"/>
    <cellStyle name="40% - Accent2 3 3 2 3" xfId="11343"/>
    <cellStyle name="40% - Accent2 3 3 2 4" xfId="19785"/>
    <cellStyle name="40% - Accent2 3 3 2 5" xfId="28225"/>
    <cellStyle name="40% - Accent2 3 3 3" xfId="4980"/>
    <cellStyle name="40% - Accent2 3 3 3 2" xfId="13416"/>
    <cellStyle name="40% - Accent2 3 3 3 3" xfId="21857"/>
    <cellStyle name="40% - Accent2 3 3 3 4" xfId="30297"/>
    <cellStyle name="40% - Accent2 3 3 4" xfId="9198"/>
    <cellStyle name="40% - Accent2 3 3 5" xfId="17640"/>
    <cellStyle name="40% - Accent2 3 3 6" xfId="26080"/>
    <cellStyle name="40% - Accent2 3 4" xfId="1084"/>
    <cellStyle name="40% - Accent2 3 4 2" xfId="3315"/>
    <cellStyle name="40% - Accent2 3 4 2 2" xfId="7538"/>
    <cellStyle name="40% - Accent2 3 4 2 2 2" xfId="15974"/>
    <cellStyle name="40% - Accent2 3 4 2 2 3" xfId="24415"/>
    <cellStyle name="40% - Accent2 3 4 2 2 4" xfId="32855"/>
    <cellStyle name="40% - Accent2 3 4 2 3" xfId="11756"/>
    <cellStyle name="40% - Accent2 3 4 2 4" xfId="20198"/>
    <cellStyle name="40% - Accent2 3 4 2 5" xfId="28638"/>
    <cellStyle name="40% - Accent2 3 4 3" xfId="5393"/>
    <cellStyle name="40% - Accent2 3 4 3 2" xfId="13829"/>
    <cellStyle name="40% - Accent2 3 4 3 3" xfId="22270"/>
    <cellStyle name="40% - Accent2 3 4 3 4" xfId="30710"/>
    <cellStyle name="40% - Accent2 3 4 4" xfId="9611"/>
    <cellStyle name="40% - Accent2 3 4 5" xfId="18053"/>
    <cellStyle name="40% - Accent2 3 4 6" xfId="26493"/>
    <cellStyle name="40% - Accent2 3 5" xfId="1498"/>
    <cellStyle name="40% - Accent2 3 5 2" xfId="3728"/>
    <cellStyle name="40% - Accent2 3 5 2 2" xfId="7951"/>
    <cellStyle name="40% - Accent2 3 5 2 2 2" xfId="16387"/>
    <cellStyle name="40% - Accent2 3 5 2 2 3" xfId="24828"/>
    <cellStyle name="40% - Accent2 3 5 2 2 4" xfId="33268"/>
    <cellStyle name="40% - Accent2 3 5 2 3" xfId="12169"/>
    <cellStyle name="40% - Accent2 3 5 2 4" xfId="20611"/>
    <cellStyle name="40% - Accent2 3 5 2 5" xfId="29051"/>
    <cellStyle name="40% - Accent2 3 5 3" xfId="5806"/>
    <cellStyle name="40% - Accent2 3 5 3 2" xfId="14242"/>
    <cellStyle name="40% - Accent2 3 5 3 3" xfId="22683"/>
    <cellStyle name="40% - Accent2 3 5 3 4" xfId="31123"/>
    <cellStyle name="40% - Accent2 3 5 4" xfId="10024"/>
    <cellStyle name="40% - Accent2 3 5 5" xfId="18466"/>
    <cellStyle name="40% - Accent2 3 5 6" xfId="26906"/>
    <cellStyle name="40% - Accent2 3 6" xfId="1912"/>
    <cellStyle name="40% - Accent2 3 6 2" xfId="4141"/>
    <cellStyle name="40% - Accent2 3 6 2 2" xfId="8364"/>
    <cellStyle name="40% - Accent2 3 6 2 2 2" xfId="16800"/>
    <cellStyle name="40% - Accent2 3 6 2 2 3" xfId="25241"/>
    <cellStyle name="40% - Accent2 3 6 2 2 4" xfId="33681"/>
    <cellStyle name="40% - Accent2 3 6 2 3" xfId="12582"/>
    <cellStyle name="40% - Accent2 3 6 2 4" xfId="21024"/>
    <cellStyle name="40% - Accent2 3 6 2 5" xfId="29464"/>
    <cellStyle name="40% - Accent2 3 6 3" xfId="6219"/>
    <cellStyle name="40% - Accent2 3 6 3 2" xfId="14655"/>
    <cellStyle name="40% - Accent2 3 6 3 3" xfId="23096"/>
    <cellStyle name="40% - Accent2 3 6 3 4" xfId="31536"/>
    <cellStyle name="40% - Accent2 3 6 4" xfId="10437"/>
    <cellStyle name="40% - Accent2 3 6 5" xfId="18879"/>
    <cellStyle name="40% - Accent2 3 6 6" xfId="27319"/>
    <cellStyle name="40% - Accent2 3 7" xfId="2325"/>
    <cellStyle name="40% - Accent2 3 7 2" xfId="6632"/>
    <cellStyle name="40% - Accent2 3 7 2 2" xfId="15068"/>
    <cellStyle name="40% - Accent2 3 7 2 3" xfId="23509"/>
    <cellStyle name="40% - Accent2 3 7 2 4" xfId="31949"/>
    <cellStyle name="40% - Accent2 3 7 3" xfId="10850"/>
    <cellStyle name="40% - Accent2 3 7 4" xfId="19292"/>
    <cellStyle name="40% - Accent2 3 7 5" xfId="27732"/>
    <cellStyle name="40% - Accent2 3 8" xfId="4566"/>
    <cellStyle name="40% - Accent2 3 8 2" xfId="13002"/>
    <cellStyle name="40% - Accent2 3 8 3" xfId="21443"/>
    <cellStyle name="40% - Accent2 3 8 4" xfId="29883"/>
    <cellStyle name="40% - Accent2 3 9" xfId="8784"/>
    <cellStyle name="40% - Accent2 4" xfId="64"/>
    <cellStyle name="40% - Accent2 4 10" xfId="25668"/>
    <cellStyle name="40% - Accent2 4 2" xfId="633"/>
    <cellStyle name="40% - Accent2 4 2 2" xfId="2904"/>
    <cellStyle name="40% - Accent2 4 2 2 2" xfId="7127"/>
    <cellStyle name="40% - Accent2 4 2 2 2 2" xfId="15563"/>
    <cellStyle name="40% - Accent2 4 2 2 2 3" xfId="24004"/>
    <cellStyle name="40% - Accent2 4 2 2 2 4" xfId="32444"/>
    <cellStyle name="40% - Accent2 4 2 2 3" xfId="11345"/>
    <cellStyle name="40% - Accent2 4 2 2 4" xfId="19787"/>
    <cellStyle name="40% - Accent2 4 2 2 5" xfId="28227"/>
    <cellStyle name="40% - Accent2 4 2 3" xfId="4982"/>
    <cellStyle name="40% - Accent2 4 2 3 2" xfId="13418"/>
    <cellStyle name="40% - Accent2 4 2 3 3" xfId="21859"/>
    <cellStyle name="40% - Accent2 4 2 3 4" xfId="30299"/>
    <cellStyle name="40% - Accent2 4 2 4" xfId="9200"/>
    <cellStyle name="40% - Accent2 4 2 5" xfId="17642"/>
    <cellStyle name="40% - Accent2 4 2 6" xfId="26082"/>
    <cellStyle name="40% - Accent2 4 3" xfId="1086"/>
    <cellStyle name="40% - Accent2 4 3 2" xfId="3317"/>
    <cellStyle name="40% - Accent2 4 3 2 2" xfId="7540"/>
    <cellStyle name="40% - Accent2 4 3 2 2 2" xfId="15976"/>
    <cellStyle name="40% - Accent2 4 3 2 2 3" xfId="24417"/>
    <cellStyle name="40% - Accent2 4 3 2 2 4" xfId="32857"/>
    <cellStyle name="40% - Accent2 4 3 2 3" xfId="11758"/>
    <cellStyle name="40% - Accent2 4 3 2 4" xfId="20200"/>
    <cellStyle name="40% - Accent2 4 3 2 5" xfId="28640"/>
    <cellStyle name="40% - Accent2 4 3 3" xfId="5395"/>
    <cellStyle name="40% - Accent2 4 3 3 2" xfId="13831"/>
    <cellStyle name="40% - Accent2 4 3 3 3" xfId="22272"/>
    <cellStyle name="40% - Accent2 4 3 3 4" xfId="30712"/>
    <cellStyle name="40% - Accent2 4 3 4" xfId="9613"/>
    <cellStyle name="40% - Accent2 4 3 5" xfId="18055"/>
    <cellStyle name="40% - Accent2 4 3 6" xfId="26495"/>
    <cellStyle name="40% - Accent2 4 4" xfId="1500"/>
    <cellStyle name="40% - Accent2 4 4 2" xfId="3730"/>
    <cellStyle name="40% - Accent2 4 4 2 2" xfId="7953"/>
    <cellStyle name="40% - Accent2 4 4 2 2 2" xfId="16389"/>
    <cellStyle name="40% - Accent2 4 4 2 2 3" xfId="24830"/>
    <cellStyle name="40% - Accent2 4 4 2 2 4" xfId="33270"/>
    <cellStyle name="40% - Accent2 4 4 2 3" xfId="12171"/>
    <cellStyle name="40% - Accent2 4 4 2 4" xfId="20613"/>
    <cellStyle name="40% - Accent2 4 4 2 5" xfId="29053"/>
    <cellStyle name="40% - Accent2 4 4 3" xfId="5808"/>
    <cellStyle name="40% - Accent2 4 4 3 2" xfId="14244"/>
    <cellStyle name="40% - Accent2 4 4 3 3" xfId="22685"/>
    <cellStyle name="40% - Accent2 4 4 3 4" xfId="31125"/>
    <cellStyle name="40% - Accent2 4 4 4" xfId="10026"/>
    <cellStyle name="40% - Accent2 4 4 5" xfId="18468"/>
    <cellStyle name="40% - Accent2 4 4 6" xfId="26908"/>
    <cellStyle name="40% - Accent2 4 5" xfId="1914"/>
    <cellStyle name="40% - Accent2 4 5 2" xfId="4143"/>
    <cellStyle name="40% - Accent2 4 5 2 2" xfId="8366"/>
    <cellStyle name="40% - Accent2 4 5 2 2 2" xfId="16802"/>
    <cellStyle name="40% - Accent2 4 5 2 2 3" xfId="25243"/>
    <cellStyle name="40% - Accent2 4 5 2 2 4" xfId="33683"/>
    <cellStyle name="40% - Accent2 4 5 2 3" xfId="12584"/>
    <cellStyle name="40% - Accent2 4 5 2 4" xfId="21026"/>
    <cellStyle name="40% - Accent2 4 5 2 5" xfId="29466"/>
    <cellStyle name="40% - Accent2 4 5 3" xfId="6221"/>
    <cellStyle name="40% - Accent2 4 5 3 2" xfId="14657"/>
    <cellStyle name="40% - Accent2 4 5 3 3" xfId="23098"/>
    <cellStyle name="40% - Accent2 4 5 3 4" xfId="31538"/>
    <cellStyle name="40% - Accent2 4 5 4" xfId="10439"/>
    <cellStyle name="40% - Accent2 4 5 5" xfId="18881"/>
    <cellStyle name="40% - Accent2 4 5 6" xfId="27321"/>
    <cellStyle name="40% - Accent2 4 6" xfId="2327"/>
    <cellStyle name="40% - Accent2 4 6 2" xfId="6634"/>
    <cellStyle name="40% - Accent2 4 6 2 2" xfId="15070"/>
    <cellStyle name="40% - Accent2 4 6 2 3" xfId="23511"/>
    <cellStyle name="40% - Accent2 4 6 2 4" xfId="31951"/>
    <cellStyle name="40% - Accent2 4 6 3" xfId="10852"/>
    <cellStyle name="40% - Accent2 4 6 4" xfId="19294"/>
    <cellStyle name="40% - Accent2 4 6 5" xfId="27734"/>
    <cellStyle name="40% - Accent2 4 7" xfId="4568"/>
    <cellStyle name="40% - Accent2 4 7 2" xfId="13004"/>
    <cellStyle name="40% - Accent2 4 7 3" xfId="21445"/>
    <cellStyle name="40% - Accent2 4 7 4" xfId="29885"/>
    <cellStyle name="40% - Accent2 4 8" xfId="8786"/>
    <cellStyle name="40% - Accent2 4 9" xfId="17228"/>
    <cellStyle name="40% - Accent2 5" xfId="626"/>
    <cellStyle name="40% - Accent2 5 2" xfId="2897"/>
    <cellStyle name="40% - Accent2 5 2 2" xfId="7120"/>
    <cellStyle name="40% - Accent2 5 2 2 2" xfId="15556"/>
    <cellStyle name="40% - Accent2 5 2 2 3" xfId="23997"/>
    <cellStyle name="40% - Accent2 5 2 2 4" xfId="32437"/>
    <cellStyle name="40% - Accent2 5 2 3" xfId="11338"/>
    <cellStyle name="40% - Accent2 5 2 4" xfId="19780"/>
    <cellStyle name="40% - Accent2 5 2 5" xfId="28220"/>
    <cellStyle name="40% - Accent2 5 3" xfId="4975"/>
    <cellStyle name="40% - Accent2 5 3 2" xfId="13411"/>
    <cellStyle name="40% - Accent2 5 3 3" xfId="21852"/>
    <cellStyle name="40% - Accent2 5 3 4" xfId="30292"/>
    <cellStyle name="40% - Accent2 5 4" xfId="9193"/>
    <cellStyle name="40% - Accent2 5 5" xfId="17635"/>
    <cellStyle name="40% - Accent2 5 6" xfId="26075"/>
    <cellStyle name="40% - Accent2 6" xfId="1079"/>
    <cellStyle name="40% - Accent2 6 2" xfId="3310"/>
    <cellStyle name="40% - Accent2 6 2 2" xfId="7533"/>
    <cellStyle name="40% - Accent2 6 2 2 2" xfId="15969"/>
    <cellStyle name="40% - Accent2 6 2 2 3" xfId="24410"/>
    <cellStyle name="40% - Accent2 6 2 2 4" xfId="32850"/>
    <cellStyle name="40% - Accent2 6 2 3" xfId="11751"/>
    <cellStyle name="40% - Accent2 6 2 4" xfId="20193"/>
    <cellStyle name="40% - Accent2 6 2 5" xfId="28633"/>
    <cellStyle name="40% - Accent2 6 3" xfId="5388"/>
    <cellStyle name="40% - Accent2 6 3 2" xfId="13824"/>
    <cellStyle name="40% - Accent2 6 3 3" xfId="22265"/>
    <cellStyle name="40% - Accent2 6 3 4" xfId="30705"/>
    <cellStyle name="40% - Accent2 6 4" xfId="9606"/>
    <cellStyle name="40% - Accent2 6 5" xfId="18048"/>
    <cellStyle name="40% - Accent2 6 6" xfId="26488"/>
    <cellStyle name="40% - Accent2 7" xfId="1493"/>
    <cellStyle name="40% - Accent2 7 2" xfId="3723"/>
    <cellStyle name="40% - Accent2 7 2 2" xfId="7946"/>
    <cellStyle name="40% - Accent2 7 2 2 2" xfId="16382"/>
    <cellStyle name="40% - Accent2 7 2 2 3" xfId="24823"/>
    <cellStyle name="40% - Accent2 7 2 2 4" xfId="33263"/>
    <cellStyle name="40% - Accent2 7 2 3" xfId="12164"/>
    <cellStyle name="40% - Accent2 7 2 4" xfId="20606"/>
    <cellStyle name="40% - Accent2 7 2 5" xfId="29046"/>
    <cellStyle name="40% - Accent2 7 3" xfId="5801"/>
    <cellStyle name="40% - Accent2 7 3 2" xfId="14237"/>
    <cellStyle name="40% - Accent2 7 3 3" xfId="22678"/>
    <cellStyle name="40% - Accent2 7 3 4" xfId="31118"/>
    <cellStyle name="40% - Accent2 7 4" xfId="10019"/>
    <cellStyle name="40% - Accent2 7 5" xfId="18461"/>
    <cellStyle name="40% - Accent2 7 6" xfId="26901"/>
    <cellStyle name="40% - Accent2 8" xfId="1907"/>
    <cellStyle name="40% - Accent2 8 2" xfId="4136"/>
    <cellStyle name="40% - Accent2 8 2 2" xfId="8359"/>
    <cellStyle name="40% - Accent2 8 2 2 2" xfId="16795"/>
    <cellStyle name="40% - Accent2 8 2 2 3" xfId="25236"/>
    <cellStyle name="40% - Accent2 8 2 2 4" xfId="33676"/>
    <cellStyle name="40% - Accent2 8 2 3" xfId="12577"/>
    <cellStyle name="40% - Accent2 8 2 4" xfId="21019"/>
    <cellStyle name="40% - Accent2 8 2 5" xfId="29459"/>
    <cellStyle name="40% - Accent2 8 3" xfId="6214"/>
    <cellStyle name="40% - Accent2 8 3 2" xfId="14650"/>
    <cellStyle name="40% - Accent2 8 3 3" xfId="23091"/>
    <cellStyle name="40% - Accent2 8 3 4" xfId="31531"/>
    <cellStyle name="40% - Accent2 8 4" xfId="10432"/>
    <cellStyle name="40% - Accent2 8 5" xfId="18874"/>
    <cellStyle name="40% - Accent2 8 6" xfId="27314"/>
    <cellStyle name="40% - Accent2 9" xfId="2320"/>
    <cellStyle name="40% - Accent2 9 2" xfId="6627"/>
    <cellStyle name="40% - Accent2 9 2 2" xfId="15063"/>
    <cellStyle name="40% - Accent2 9 2 3" xfId="23504"/>
    <cellStyle name="40% - Accent2 9 2 4" xfId="31944"/>
    <cellStyle name="40% - Accent2 9 3" xfId="10845"/>
    <cellStyle name="40% - Accent2 9 4" xfId="19287"/>
    <cellStyle name="40% - Accent2 9 5" xfId="27727"/>
    <cellStyle name="40% - Accent3" xfId="65" builtinId="39" customBuiltin="1"/>
    <cellStyle name="40% - Accent3 10" xfId="4569"/>
    <cellStyle name="40% - Accent3 10 2" xfId="13005"/>
    <cellStyle name="40% - Accent3 10 3" xfId="21446"/>
    <cellStyle name="40% - Accent3 10 4" xfId="29886"/>
    <cellStyle name="40% - Accent3 11" xfId="8787"/>
    <cellStyle name="40% - Accent3 12" xfId="17229"/>
    <cellStyle name="40% - Accent3 13" xfId="25669"/>
    <cellStyle name="40% - Accent3 2" xfId="66"/>
    <cellStyle name="40% - Accent3 2 10" xfId="8788"/>
    <cellStyle name="40% - Accent3 2 11" xfId="17230"/>
    <cellStyle name="40% - Accent3 2 12" xfId="25670"/>
    <cellStyle name="40% - Accent3 2 2" xfId="67"/>
    <cellStyle name="40% - Accent3 2 2 10" xfId="17231"/>
    <cellStyle name="40% - Accent3 2 2 11" xfId="25671"/>
    <cellStyle name="40% - Accent3 2 2 2" xfId="68"/>
    <cellStyle name="40% - Accent3 2 2 2 10" xfId="25672"/>
    <cellStyle name="40% - Accent3 2 2 2 2" xfId="637"/>
    <cellStyle name="40% - Accent3 2 2 2 2 2" xfId="2908"/>
    <cellStyle name="40% - Accent3 2 2 2 2 2 2" xfId="7131"/>
    <cellStyle name="40% - Accent3 2 2 2 2 2 2 2" xfId="15567"/>
    <cellStyle name="40% - Accent3 2 2 2 2 2 2 3" xfId="24008"/>
    <cellStyle name="40% - Accent3 2 2 2 2 2 2 4" xfId="32448"/>
    <cellStyle name="40% - Accent3 2 2 2 2 2 3" xfId="11349"/>
    <cellStyle name="40% - Accent3 2 2 2 2 2 4" xfId="19791"/>
    <cellStyle name="40% - Accent3 2 2 2 2 2 5" xfId="28231"/>
    <cellStyle name="40% - Accent3 2 2 2 2 3" xfId="4986"/>
    <cellStyle name="40% - Accent3 2 2 2 2 3 2" xfId="13422"/>
    <cellStyle name="40% - Accent3 2 2 2 2 3 3" xfId="21863"/>
    <cellStyle name="40% - Accent3 2 2 2 2 3 4" xfId="30303"/>
    <cellStyle name="40% - Accent3 2 2 2 2 4" xfId="9204"/>
    <cellStyle name="40% - Accent3 2 2 2 2 5" xfId="17646"/>
    <cellStyle name="40% - Accent3 2 2 2 2 6" xfId="26086"/>
    <cellStyle name="40% - Accent3 2 2 2 3" xfId="1090"/>
    <cellStyle name="40% - Accent3 2 2 2 3 2" xfId="3321"/>
    <cellStyle name="40% - Accent3 2 2 2 3 2 2" xfId="7544"/>
    <cellStyle name="40% - Accent3 2 2 2 3 2 2 2" xfId="15980"/>
    <cellStyle name="40% - Accent3 2 2 2 3 2 2 3" xfId="24421"/>
    <cellStyle name="40% - Accent3 2 2 2 3 2 2 4" xfId="32861"/>
    <cellStyle name="40% - Accent3 2 2 2 3 2 3" xfId="11762"/>
    <cellStyle name="40% - Accent3 2 2 2 3 2 4" xfId="20204"/>
    <cellStyle name="40% - Accent3 2 2 2 3 2 5" xfId="28644"/>
    <cellStyle name="40% - Accent3 2 2 2 3 3" xfId="5399"/>
    <cellStyle name="40% - Accent3 2 2 2 3 3 2" xfId="13835"/>
    <cellStyle name="40% - Accent3 2 2 2 3 3 3" xfId="22276"/>
    <cellStyle name="40% - Accent3 2 2 2 3 3 4" xfId="30716"/>
    <cellStyle name="40% - Accent3 2 2 2 3 4" xfId="9617"/>
    <cellStyle name="40% - Accent3 2 2 2 3 5" xfId="18059"/>
    <cellStyle name="40% - Accent3 2 2 2 3 6" xfId="26499"/>
    <cellStyle name="40% - Accent3 2 2 2 4" xfId="1504"/>
    <cellStyle name="40% - Accent3 2 2 2 4 2" xfId="3734"/>
    <cellStyle name="40% - Accent3 2 2 2 4 2 2" xfId="7957"/>
    <cellStyle name="40% - Accent3 2 2 2 4 2 2 2" xfId="16393"/>
    <cellStyle name="40% - Accent3 2 2 2 4 2 2 3" xfId="24834"/>
    <cellStyle name="40% - Accent3 2 2 2 4 2 2 4" xfId="33274"/>
    <cellStyle name="40% - Accent3 2 2 2 4 2 3" xfId="12175"/>
    <cellStyle name="40% - Accent3 2 2 2 4 2 4" xfId="20617"/>
    <cellStyle name="40% - Accent3 2 2 2 4 2 5" xfId="29057"/>
    <cellStyle name="40% - Accent3 2 2 2 4 3" xfId="5812"/>
    <cellStyle name="40% - Accent3 2 2 2 4 3 2" xfId="14248"/>
    <cellStyle name="40% - Accent3 2 2 2 4 3 3" xfId="22689"/>
    <cellStyle name="40% - Accent3 2 2 2 4 3 4" xfId="31129"/>
    <cellStyle name="40% - Accent3 2 2 2 4 4" xfId="10030"/>
    <cellStyle name="40% - Accent3 2 2 2 4 5" xfId="18472"/>
    <cellStyle name="40% - Accent3 2 2 2 4 6" xfId="26912"/>
    <cellStyle name="40% - Accent3 2 2 2 5" xfId="1918"/>
    <cellStyle name="40% - Accent3 2 2 2 5 2" xfId="4147"/>
    <cellStyle name="40% - Accent3 2 2 2 5 2 2" xfId="8370"/>
    <cellStyle name="40% - Accent3 2 2 2 5 2 2 2" xfId="16806"/>
    <cellStyle name="40% - Accent3 2 2 2 5 2 2 3" xfId="25247"/>
    <cellStyle name="40% - Accent3 2 2 2 5 2 2 4" xfId="33687"/>
    <cellStyle name="40% - Accent3 2 2 2 5 2 3" xfId="12588"/>
    <cellStyle name="40% - Accent3 2 2 2 5 2 4" xfId="21030"/>
    <cellStyle name="40% - Accent3 2 2 2 5 2 5" xfId="29470"/>
    <cellStyle name="40% - Accent3 2 2 2 5 3" xfId="6225"/>
    <cellStyle name="40% - Accent3 2 2 2 5 3 2" xfId="14661"/>
    <cellStyle name="40% - Accent3 2 2 2 5 3 3" xfId="23102"/>
    <cellStyle name="40% - Accent3 2 2 2 5 3 4" xfId="31542"/>
    <cellStyle name="40% - Accent3 2 2 2 5 4" xfId="10443"/>
    <cellStyle name="40% - Accent3 2 2 2 5 5" xfId="18885"/>
    <cellStyle name="40% - Accent3 2 2 2 5 6" xfId="27325"/>
    <cellStyle name="40% - Accent3 2 2 2 6" xfId="2331"/>
    <cellStyle name="40% - Accent3 2 2 2 6 2" xfId="6638"/>
    <cellStyle name="40% - Accent3 2 2 2 6 2 2" xfId="15074"/>
    <cellStyle name="40% - Accent3 2 2 2 6 2 3" xfId="23515"/>
    <cellStyle name="40% - Accent3 2 2 2 6 2 4" xfId="31955"/>
    <cellStyle name="40% - Accent3 2 2 2 6 3" xfId="10856"/>
    <cellStyle name="40% - Accent3 2 2 2 6 4" xfId="19298"/>
    <cellStyle name="40% - Accent3 2 2 2 6 5" xfId="27738"/>
    <cellStyle name="40% - Accent3 2 2 2 7" xfId="4572"/>
    <cellStyle name="40% - Accent3 2 2 2 7 2" xfId="13008"/>
    <cellStyle name="40% - Accent3 2 2 2 7 3" xfId="21449"/>
    <cellStyle name="40% - Accent3 2 2 2 7 4" xfId="29889"/>
    <cellStyle name="40% - Accent3 2 2 2 8" xfId="8790"/>
    <cellStyle name="40% - Accent3 2 2 2 9" xfId="17232"/>
    <cellStyle name="40% - Accent3 2 2 3" xfId="636"/>
    <cellStyle name="40% - Accent3 2 2 3 2" xfId="2907"/>
    <cellStyle name="40% - Accent3 2 2 3 2 2" xfId="7130"/>
    <cellStyle name="40% - Accent3 2 2 3 2 2 2" xfId="15566"/>
    <cellStyle name="40% - Accent3 2 2 3 2 2 3" xfId="24007"/>
    <cellStyle name="40% - Accent3 2 2 3 2 2 4" xfId="32447"/>
    <cellStyle name="40% - Accent3 2 2 3 2 3" xfId="11348"/>
    <cellStyle name="40% - Accent3 2 2 3 2 4" xfId="19790"/>
    <cellStyle name="40% - Accent3 2 2 3 2 5" xfId="28230"/>
    <cellStyle name="40% - Accent3 2 2 3 3" xfId="4985"/>
    <cellStyle name="40% - Accent3 2 2 3 3 2" xfId="13421"/>
    <cellStyle name="40% - Accent3 2 2 3 3 3" xfId="21862"/>
    <cellStyle name="40% - Accent3 2 2 3 3 4" xfId="30302"/>
    <cellStyle name="40% - Accent3 2 2 3 4" xfId="9203"/>
    <cellStyle name="40% - Accent3 2 2 3 5" xfId="17645"/>
    <cellStyle name="40% - Accent3 2 2 3 6" xfId="26085"/>
    <cellStyle name="40% - Accent3 2 2 4" xfId="1089"/>
    <cellStyle name="40% - Accent3 2 2 4 2" xfId="3320"/>
    <cellStyle name="40% - Accent3 2 2 4 2 2" xfId="7543"/>
    <cellStyle name="40% - Accent3 2 2 4 2 2 2" xfId="15979"/>
    <cellStyle name="40% - Accent3 2 2 4 2 2 3" xfId="24420"/>
    <cellStyle name="40% - Accent3 2 2 4 2 2 4" xfId="32860"/>
    <cellStyle name="40% - Accent3 2 2 4 2 3" xfId="11761"/>
    <cellStyle name="40% - Accent3 2 2 4 2 4" xfId="20203"/>
    <cellStyle name="40% - Accent3 2 2 4 2 5" xfId="28643"/>
    <cellStyle name="40% - Accent3 2 2 4 3" xfId="5398"/>
    <cellStyle name="40% - Accent3 2 2 4 3 2" xfId="13834"/>
    <cellStyle name="40% - Accent3 2 2 4 3 3" xfId="22275"/>
    <cellStyle name="40% - Accent3 2 2 4 3 4" xfId="30715"/>
    <cellStyle name="40% - Accent3 2 2 4 4" xfId="9616"/>
    <cellStyle name="40% - Accent3 2 2 4 5" xfId="18058"/>
    <cellStyle name="40% - Accent3 2 2 4 6" xfId="26498"/>
    <cellStyle name="40% - Accent3 2 2 5" xfId="1503"/>
    <cellStyle name="40% - Accent3 2 2 5 2" xfId="3733"/>
    <cellStyle name="40% - Accent3 2 2 5 2 2" xfId="7956"/>
    <cellStyle name="40% - Accent3 2 2 5 2 2 2" xfId="16392"/>
    <cellStyle name="40% - Accent3 2 2 5 2 2 3" xfId="24833"/>
    <cellStyle name="40% - Accent3 2 2 5 2 2 4" xfId="33273"/>
    <cellStyle name="40% - Accent3 2 2 5 2 3" xfId="12174"/>
    <cellStyle name="40% - Accent3 2 2 5 2 4" xfId="20616"/>
    <cellStyle name="40% - Accent3 2 2 5 2 5" xfId="29056"/>
    <cellStyle name="40% - Accent3 2 2 5 3" xfId="5811"/>
    <cellStyle name="40% - Accent3 2 2 5 3 2" xfId="14247"/>
    <cellStyle name="40% - Accent3 2 2 5 3 3" xfId="22688"/>
    <cellStyle name="40% - Accent3 2 2 5 3 4" xfId="31128"/>
    <cellStyle name="40% - Accent3 2 2 5 4" xfId="10029"/>
    <cellStyle name="40% - Accent3 2 2 5 5" xfId="18471"/>
    <cellStyle name="40% - Accent3 2 2 5 6" xfId="26911"/>
    <cellStyle name="40% - Accent3 2 2 6" xfId="1917"/>
    <cellStyle name="40% - Accent3 2 2 6 2" xfId="4146"/>
    <cellStyle name="40% - Accent3 2 2 6 2 2" xfId="8369"/>
    <cellStyle name="40% - Accent3 2 2 6 2 2 2" xfId="16805"/>
    <cellStyle name="40% - Accent3 2 2 6 2 2 3" xfId="25246"/>
    <cellStyle name="40% - Accent3 2 2 6 2 2 4" xfId="33686"/>
    <cellStyle name="40% - Accent3 2 2 6 2 3" xfId="12587"/>
    <cellStyle name="40% - Accent3 2 2 6 2 4" xfId="21029"/>
    <cellStyle name="40% - Accent3 2 2 6 2 5" xfId="29469"/>
    <cellStyle name="40% - Accent3 2 2 6 3" xfId="6224"/>
    <cellStyle name="40% - Accent3 2 2 6 3 2" xfId="14660"/>
    <cellStyle name="40% - Accent3 2 2 6 3 3" xfId="23101"/>
    <cellStyle name="40% - Accent3 2 2 6 3 4" xfId="31541"/>
    <cellStyle name="40% - Accent3 2 2 6 4" xfId="10442"/>
    <cellStyle name="40% - Accent3 2 2 6 5" xfId="18884"/>
    <cellStyle name="40% - Accent3 2 2 6 6" xfId="27324"/>
    <cellStyle name="40% - Accent3 2 2 7" xfId="2330"/>
    <cellStyle name="40% - Accent3 2 2 7 2" xfId="6637"/>
    <cellStyle name="40% - Accent3 2 2 7 2 2" xfId="15073"/>
    <cellStyle name="40% - Accent3 2 2 7 2 3" xfId="23514"/>
    <cellStyle name="40% - Accent3 2 2 7 2 4" xfId="31954"/>
    <cellStyle name="40% - Accent3 2 2 7 3" xfId="10855"/>
    <cellStyle name="40% - Accent3 2 2 7 4" xfId="19297"/>
    <cellStyle name="40% - Accent3 2 2 7 5" xfId="27737"/>
    <cellStyle name="40% - Accent3 2 2 8" xfId="4571"/>
    <cellStyle name="40% - Accent3 2 2 8 2" xfId="13007"/>
    <cellStyle name="40% - Accent3 2 2 8 3" xfId="21448"/>
    <cellStyle name="40% - Accent3 2 2 8 4" xfId="29888"/>
    <cellStyle name="40% - Accent3 2 2 9" xfId="8789"/>
    <cellStyle name="40% - Accent3 2 3" xfId="69"/>
    <cellStyle name="40% - Accent3 2 3 10" xfId="25673"/>
    <cellStyle name="40% - Accent3 2 3 2" xfId="638"/>
    <cellStyle name="40% - Accent3 2 3 2 2" xfId="2909"/>
    <cellStyle name="40% - Accent3 2 3 2 2 2" xfId="7132"/>
    <cellStyle name="40% - Accent3 2 3 2 2 2 2" xfId="15568"/>
    <cellStyle name="40% - Accent3 2 3 2 2 2 3" xfId="24009"/>
    <cellStyle name="40% - Accent3 2 3 2 2 2 4" xfId="32449"/>
    <cellStyle name="40% - Accent3 2 3 2 2 3" xfId="11350"/>
    <cellStyle name="40% - Accent3 2 3 2 2 4" xfId="19792"/>
    <cellStyle name="40% - Accent3 2 3 2 2 5" xfId="28232"/>
    <cellStyle name="40% - Accent3 2 3 2 3" xfId="4987"/>
    <cellStyle name="40% - Accent3 2 3 2 3 2" xfId="13423"/>
    <cellStyle name="40% - Accent3 2 3 2 3 3" xfId="21864"/>
    <cellStyle name="40% - Accent3 2 3 2 3 4" xfId="30304"/>
    <cellStyle name="40% - Accent3 2 3 2 4" xfId="9205"/>
    <cellStyle name="40% - Accent3 2 3 2 5" xfId="17647"/>
    <cellStyle name="40% - Accent3 2 3 2 6" xfId="26087"/>
    <cellStyle name="40% - Accent3 2 3 3" xfId="1091"/>
    <cellStyle name="40% - Accent3 2 3 3 2" xfId="3322"/>
    <cellStyle name="40% - Accent3 2 3 3 2 2" xfId="7545"/>
    <cellStyle name="40% - Accent3 2 3 3 2 2 2" xfId="15981"/>
    <cellStyle name="40% - Accent3 2 3 3 2 2 3" xfId="24422"/>
    <cellStyle name="40% - Accent3 2 3 3 2 2 4" xfId="32862"/>
    <cellStyle name="40% - Accent3 2 3 3 2 3" xfId="11763"/>
    <cellStyle name="40% - Accent3 2 3 3 2 4" xfId="20205"/>
    <cellStyle name="40% - Accent3 2 3 3 2 5" xfId="28645"/>
    <cellStyle name="40% - Accent3 2 3 3 3" xfId="5400"/>
    <cellStyle name="40% - Accent3 2 3 3 3 2" xfId="13836"/>
    <cellStyle name="40% - Accent3 2 3 3 3 3" xfId="22277"/>
    <cellStyle name="40% - Accent3 2 3 3 3 4" xfId="30717"/>
    <cellStyle name="40% - Accent3 2 3 3 4" xfId="9618"/>
    <cellStyle name="40% - Accent3 2 3 3 5" xfId="18060"/>
    <cellStyle name="40% - Accent3 2 3 3 6" xfId="26500"/>
    <cellStyle name="40% - Accent3 2 3 4" xfId="1505"/>
    <cellStyle name="40% - Accent3 2 3 4 2" xfId="3735"/>
    <cellStyle name="40% - Accent3 2 3 4 2 2" xfId="7958"/>
    <cellStyle name="40% - Accent3 2 3 4 2 2 2" xfId="16394"/>
    <cellStyle name="40% - Accent3 2 3 4 2 2 3" xfId="24835"/>
    <cellStyle name="40% - Accent3 2 3 4 2 2 4" xfId="33275"/>
    <cellStyle name="40% - Accent3 2 3 4 2 3" xfId="12176"/>
    <cellStyle name="40% - Accent3 2 3 4 2 4" xfId="20618"/>
    <cellStyle name="40% - Accent3 2 3 4 2 5" xfId="29058"/>
    <cellStyle name="40% - Accent3 2 3 4 3" xfId="5813"/>
    <cellStyle name="40% - Accent3 2 3 4 3 2" xfId="14249"/>
    <cellStyle name="40% - Accent3 2 3 4 3 3" xfId="22690"/>
    <cellStyle name="40% - Accent3 2 3 4 3 4" xfId="31130"/>
    <cellStyle name="40% - Accent3 2 3 4 4" xfId="10031"/>
    <cellStyle name="40% - Accent3 2 3 4 5" xfId="18473"/>
    <cellStyle name="40% - Accent3 2 3 4 6" xfId="26913"/>
    <cellStyle name="40% - Accent3 2 3 5" xfId="1919"/>
    <cellStyle name="40% - Accent3 2 3 5 2" xfId="4148"/>
    <cellStyle name="40% - Accent3 2 3 5 2 2" xfId="8371"/>
    <cellStyle name="40% - Accent3 2 3 5 2 2 2" xfId="16807"/>
    <cellStyle name="40% - Accent3 2 3 5 2 2 3" xfId="25248"/>
    <cellStyle name="40% - Accent3 2 3 5 2 2 4" xfId="33688"/>
    <cellStyle name="40% - Accent3 2 3 5 2 3" xfId="12589"/>
    <cellStyle name="40% - Accent3 2 3 5 2 4" xfId="21031"/>
    <cellStyle name="40% - Accent3 2 3 5 2 5" xfId="29471"/>
    <cellStyle name="40% - Accent3 2 3 5 3" xfId="6226"/>
    <cellStyle name="40% - Accent3 2 3 5 3 2" xfId="14662"/>
    <cellStyle name="40% - Accent3 2 3 5 3 3" xfId="23103"/>
    <cellStyle name="40% - Accent3 2 3 5 3 4" xfId="31543"/>
    <cellStyle name="40% - Accent3 2 3 5 4" xfId="10444"/>
    <cellStyle name="40% - Accent3 2 3 5 5" xfId="18886"/>
    <cellStyle name="40% - Accent3 2 3 5 6" xfId="27326"/>
    <cellStyle name="40% - Accent3 2 3 6" xfId="2332"/>
    <cellStyle name="40% - Accent3 2 3 6 2" xfId="6639"/>
    <cellStyle name="40% - Accent3 2 3 6 2 2" xfId="15075"/>
    <cellStyle name="40% - Accent3 2 3 6 2 3" xfId="23516"/>
    <cellStyle name="40% - Accent3 2 3 6 2 4" xfId="31956"/>
    <cellStyle name="40% - Accent3 2 3 6 3" xfId="10857"/>
    <cellStyle name="40% - Accent3 2 3 6 4" xfId="19299"/>
    <cellStyle name="40% - Accent3 2 3 6 5" xfId="27739"/>
    <cellStyle name="40% - Accent3 2 3 7" xfId="4573"/>
    <cellStyle name="40% - Accent3 2 3 7 2" xfId="13009"/>
    <cellStyle name="40% - Accent3 2 3 7 3" xfId="21450"/>
    <cellStyle name="40% - Accent3 2 3 7 4" xfId="29890"/>
    <cellStyle name="40% - Accent3 2 3 8" xfId="8791"/>
    <cellStyle name="40% - Accent3 2 3 9" xfId="17233"/>
    <cellStyle name="40% - Accent3 2 4" xfId="635"/>
    <cellStyle name="40% - Accent3 2 4 2" xfId="2906"/>
    <cellStyle name="40% - Accent3 2 4 2 2" xfId="7129"/>
    <cellStyle name="40% - Accent3 2 4 2 2 2" xfId="15565"/>
    <cellStyle name="40% - Accent3 2 4 2 2 3" xfId="24006"/>
    <cellStyle name="40% - Accent3 2 4 2 2 4" xfId="32446"/>
    <cellStyle name="40% - Accent3 2 4 2 3" xfId="11347"/>
    <cellStyle name="40% - Accent3 2 4 2 4" xfId="19789"/>
    <cellStyle name="40% - Accent3 2 4 2 5" xfId="28229"/>
    <cellStyle name="40% - Accent3 2 4 3" xfId="4984"/>
    <cellStyle name="40% - Accent3 2 4 3 2" xfId="13420"/>
    <cellStyle name="40% - Accent3 2 4 3 3" xfId="21861"/>
    <cellStyle name="40% - Accent3 2 4 3 4" xfId="30301"/>
    <cellStyle name="40% - Accent3 2 4 4" xfId="9202"/>
    <cellStyle name="40% - Accent3 2 4 5" xfId="17644"/>
    <cellStyle name="40% - Accent3 2 4 6" xfId="26084"/>
    <cellStyle name="40% - Accent3 2 5" xfId="1088"/>
    <cellStyle name="40% - Accent3 2 5 2" xfId="3319"/>
    <cellStyle name="40% - Accent3 2 5 2 2" xfId="7542"/>
    <cellStyle name="40% - Accent3 2 5 2 2 2" xfId="15978"/>
    <cellStyle name="40% - Accent3 2 5 2 2 3" xfId="24419"/>
    <cellStyle name="40% - Accent3 2 5 2 2 4" xfId="32859"/>
    <cellStyle name="40% - Accent3 2 5 2 3" xfId="11760"/>
    <cellStyle name="40% - Accent3 2 5 2 4" xfId="20202"/>
    <cellStyle name="40% - Accent3 2 5 2 5" xfId="28642"/>
    <cellStyle name="40% - Accent3 2 5 3" xfId="5397"/>
    <cellStyle name="40% - Accent3 2 5 3 2" xfId="13833"/>
    <cellStyle name="40% - Accent3 2 5 3 3" xfId="22274"/>
    <cellStyle name="40% - Accent3 2 5 3 4" xfId="30714"/>
    <cellStyle name="40% - Accent3 2 5 4" xfId="9615"/>
    <cellStyle name="40% - Accent3 2 5 5" xfId="18057"/>
    <cellStyle name="40% - Accent3 2 5 6" xfId="26497"/>
    <cellStyle name="40% - Accent3 2 6" xfId="1502"/>
    <cellStyle name="40% - Accent3 2 6 2" xfId="3732"/>
    <cellStyle name="40% - Accent3 2 6 2 2" xfId="7955"/>
    <cellStyle name="40% - Accent3 2 6 2 2 2" xfId="16391"/>
    <cellStyle name="40% - Accent3 2 6 2 2 3" xfId="24832"/>
    <cellStyle name="40% - Accent3 2 6 2 2 4" xfId="33272"/>
    <cellStyle name="40% - Accent3 2 6 2 3" xfId="12173"/>
    <cellStyle name="40% - Accent3 2 6 2 4" xfId="20615"/>
    <cellStyle name="40% - Accent3 2 6 2 5" xfId="29055"/>
    <cellStyle name="40% - Accent3 2 6 3" xfId="5810"/>
    <cellStyle name="40% - Accent3 2 6 3 2" xfId="14246"/>
    <cellStyle name="40% - Accent3 2 6 3 3" xfId="22687"/>
    <cellStyle name="40% - Accent3 2 6 3 4" xfId="31127"/>
    <cellStyle name="40% - Accent3 2 6 4" xfId="10028"/>
    <cellStyle name="40% - Accent3 2 6 5" xfId="18470"/>
    <cellStyle name="40% - Accent3 2 6 6" xfId="26910"/>
    <cellStyle name="40% - Accent3 2 7" xfId="1916"/>
    <cellStyle name="40% - Accent3 2 7 2" xfId="4145"/>
    <cellStyle name="40% - Accent3 2 7 2 2" xfId="8368"/>
    <cellStyle name="40% - Accent3 2 7 2 2 2" xfId="16804"/>
    <cellStyle name="40% - Accent3 2 7 2 2 3" xfId="25245"/>
    <cellStyle name="40% - Accent3 2 7 2 2 4" xfId="33685"/>
    <cellStyle name="40% - Accent3 2 7 2 3" xfId="12586"/>
    <cellStyle name="40% - Accent3 2 7 2 4" xfId="21028"/>
    <cellStyle name="40% - Accent3 2 7 2 5" xfId="29468"/>
    <cellStyle name="40% - Accent3 2 7 3" xfId="6223"/>
    <cellStyle name="40% - Accent3 2 7 3 2" xfId="14659"/>
    <cellStyle name="40% - Accent3 2 7 3 3" xfId="23100"/>
    <cellStyle name="40% - Accent3 2 7 3 4" xfId="31540"/>
    <cellStyle name="40% - Accent3 2 7 4" xfId="10441"/>
    <cellStyle name="40% - Accent3 2 7 5" xfId="18883"/>
    <cellStyle name="40% - Accent3 2 7 6" xfId="27323"/>
    <cellStyle name="40% - Accent3 2 8" xfId="2329"/>
    <cellStyle name="40% - Accent3 2 8 2" xfId="6636"/>
    <cellStyle name="40% - Accent3 2 8 2 2" xfId="15072"/>
    <cellStyle name="40% - Accent3 2 8 2 3" xfId="23513"/>
    <cellStyle name="40% - Accent3 2 8 2 4" xfId="31953"/>
    <cellStyle name="40% - Accent3 2 8 3" xfId="10854"/>
    <cellStyle name="40% - Accent3 2 8 4" xfId="19296"/>
    <cellStyle name="40% - Accent3 2 8 5" xfId="27736"/>
    <cellStyle name="40% - Accent3 2 9" xfId="4570"/>
    <cellStyle name="40% - Accent3 2 9 2" xfId="13006"/>
    <cellStyle name="40% - Accent3 2 9 3" xfId="21447"/>
    <cellStyle name="40% - Accent3 2 9 4" xfId="29887"/>
    <cellStyle name="40% - Accent3 3" xfId="70"/>
    <cellStyle name="40% - Accent3 3 10" xfId="17234"/>
    <cellStyle name="40% - Accent3 3 11" xfId="25674"/>
    <cellStyle name="40% - Accent3 3 2" xfId="71"/>
    <cellStyle name="40% - Accent3 3 2 10" xfId="25675"/>
    <cellStyle name="40% - Accent3 3 2 2" xfId="640"/>
    <cellStyle name="40% - Accent3 3 2 2 2" xfId="2911"/>
    <cellStyle name="40% - Accent3 3 2 2 2 2" xfId="7134"/>
    <cellStyle name="40% - Accent3 3 2 2 2 2 2" xfId="15570"/>
    <cellStyle name="40% - Accent3 3 2 2 2 2 3" xfId="24011"/>
    <cellStyle name="40% - Accent3 3 2 2 2 2 4" xfId="32451"/>
    <cellStyle name="40% - Accent3 3 2 2 2 3" xfId="11352"/>
    <cellStyle name="40% - Accent3 3 2 2 2 4" xfId="19794"/>
    <cellStyle name="40% - Accent3 3 2 2 2 5" xfId="28234"/>
    <cellStyle name="40% - Accent3 3 2 2 3" xfId="4989"/>
    <cellStyle name="40% - Accent3 3 2 2 3 2" xfId="13425"/>
    <cellStyle name="40% - Accent3 3 2 2 3 3" xfId="21866"/>
    <cellStyle name="40% - Accent3 3 2 2 3 4" xfId="30306"/>
    <cellStyle name="40% - Accent3 3 2 2 4" xfId="9207"/>
    <cellStyle name="40% - Accent3 3 2 2 5" xfId="17649"/>
    <cellStyle name="40% - Accent3 3 2 2 6" xfId="26089"/>
    <cellStyle name="40% - Accent3 3 2 3" xfId="1093"/>
    <cellStyle name="40% - Accent3 3 2 3 2" xfId="3324"/>
    <cellStyle name="40% - Accent3 3 2 3 2 2" xfId="7547"/>
    <cellStyle name="40% - Accent3 3 2 3 2 2 2" xfId="15983"/>
    <cellStyle name="40% - Accent3 3 2 3 2 2 3" xfId="24424"/>
    <cellStyle name="40% - Accent3 3 2 3 2 2 4" xfId="32864"/>
    <cellStyle name="40% - Accent3 3 2 3 2 3" xfId="11765"/>
    <cellStyle name="40% - Accent3 3 2 3 2 4" xfId="20207"/>
    <cellStyle name="40% - Accent3 3 2 3 2 5" xfId="28647"/>
    <cellStyle name="40% - Accent3 3 2 3 3" xfId="5402"/>
    <cellStyle name="40% - Accent3 3 2 3 3 2" xfId="13838"/>
    <cellStyle name="40% - Accent3 3 2 3 3 3" xfId="22279"/>
    <cellStyle name="40% - Accent3 3 2 3 3 4" xfId="30719"/>
    <cellStyle name="40% - Accent3 3 2 3 4" xfId="9620"/>
    <cellStyle name="40% - Accent3 3 2 3 5" xfId="18062"/>
    <cellStyle name="40% - Accent3 3 2 3 6" xfId="26502"/>
    <cellStyle name="40% - Accent3 3 2 4" xfId="1507"/>
    <cellStyle name="40% - Accent3 3 2 4 2" xfId="3737"/>
    <cellStyle name="40% - Accent3 3 2 4 2 2" xfId="7960"/>
    <cellStyle name="40% - Accent3 3 2 4 2 2 2" xfId="16396"/>
    <cellStyle name="40% - Accent3 3 2 4 2 2 3" xfId="24837"/>
    <cellStyle name="40% - Accent3 3 2 4 2 2 4" xfId="33277"/>
    <cellStyle name="40% - Accent3 3 2 4 2 3" xfId="12178"/>
    <cellStyle name="40% - Accent3 3 2 4 2 4" xfId="20620"/>
    <cellStyle name="40% - Accent3 3 2 4 2 5" xfId="29060"/>
    <cellStyle name="40% - Accent3 3 2 4 3" xfId="5815"/>
    <cellStyle name="40% - Accent3 3 2 4 3 2" xfId="14251"/>
    <cellStyle name="40% - Accent3 3 2 4 3 3" xfId="22692"/>
    <cellStyle name="40% - Accent3 3 2 4 3 4" xfId="31132"/>
    <cellStyle name="40% - Accent3 3 2 4 4" xfId="10033"/>
    <cellStyle name="40% - Accent3 3 2 4 5" xfId="18475"/>
    <cellStyle name="40% - Accent3 3 2 4 6" xfId="26915"/>
    <cellStyle name="40% - Accent3 3 2 5" xfId="1921"/>
    <cellStyle name="40% - Accent3 3 2 5 2" xfId="4150"/>
    <cellStyle name="40% - Accent3 3 2 5 2 2" xfId="8373"/>
    <cellStyle name="40% - Accent3 3 2 5 2 2 2" xfId="16809"/>
    <cellStyle name="40% - Accent3 3 2 5 2 2 3" xfId="25250"/>
    <cellStyle name="40% - Accent3 3 2 5 2 2 4" xfId="33690"/>
    <cellStyle name="40% - Accent3 3 2 5 2 3" xfId="12591"/>
    <cellStyle name="40% - Accent3 3 2 5 2 4" xfId="21033"/>
    <cellStyle name="40% - Accent3 3 2 5 2 5" xfId="29473"/>
    <cellStyle name="40% - Accent3 3 2 5 3" xfId="6228"/>
    <cellStyle name="40% - Accent3 3 2 5 3 2" xfId="14664"/>
    <cellStyle name="40% - Accent3 3 2 5 3 3" xfId="23105"/>
    <cellStyle name="40% - Accent3 3 2 5 3 4" xfId="31545"/>
    <cellStyle name="40% - Accent3 3 2 5 4" xfId="10446"/>
    <cellStyle name="40% - Accent3 3 2 5 5" xfId="18888"/>
    <cellStyle name="40% - Accent3 3 2 5 6" xfId="27328"/>
    <cellStyle name="40% - Accent3 3 2 6" xfId="2334"/>
    <cellStyle name="40% - Accent3 3 2 6 2" xfId="6641"/>
    <cellStyle name="40% - Accent3 3 2 6 2 2" xfId="15077"/>
    <cellStyle name="40% - Accent3 3 2 6 2 3" xfId="23518"/>
    <cellStyle name="40% - Accent3 3 2 6 2 4" xfId="31958"/>
    <cellStyle name="40% - Accent3 3 2 6 3" xfId="10859"/>
    <cellStyle name="40% - Accent3 3 2 6 4" xfId="19301"/>
    <cellStyle name="40% - Accent3 3 2 6 5" xfId="27741"/>
    <cellStyle name="40% - Accent3 3 2 7" xfId="4575"/>
    <cellStyle name="40% - Accent3 3 2 7 2" xfId="13011"/>
    <cellStyle name="40% - Accent3 3 2 7 3" xfId="21452"/>
    <cellStyle name="40% - Accent3 3 2 7 4" xfId="29892"/>
    <cellStyle name="40% - Accent3 3 2 8" xfId="8793"/>
    <cellStyle name="40% - Accent3 3 2 9" xfId="17235"/>
    <cellStyle name="40% - Accent3 3 3" xfId="639"/>
    <cellStyle name="40% - Accent3 3 3 2" xfId="2910"/>
    <cellStyle name="40% - Accent3 3 3 2 2" xfId="7133"/>
    <cellStyle name="40% - Accent3 3 3 2 2 2" xfId="15569"/>
    <cellStyle name="40% - Accent3 3 3 2 2 3" xfId="24010"/>
    <cellStyle name="40% - Accent3 3 3 2 2 4" xfId="32450"/>
    <cellStyle name="40% - Accent3 3 3 2 3" xfId="11351"/>
    <cellStyle name="40% - Accent3 3 3 2 4" xfId="19793"/>
    <cellStyle name="40% - Accent3 3 3 2 5" xfId="28233"/>
    <cellStyle name="40% - Accent3 3 3 3" xfId="4988"/>
    <cellStyle name="40% - Accent3 3 3 3 2" xfId="13424"/>
    <cellStyle name="40% - Accent3 3 3 3 3" xfId="21865"/>
    <cellStyle name="40% - Accent3 3 3 3 4" xfId="30305"/>
    <cellStyle name="40% - Accent3 3 3 4" xfId="9206"/>
    <cellStyle name="40% - Accent3 3 3 5" xfId="17648"/>
    <cellStyle name="40% - Accent3 3 3 6" xfId="26088"/>
    <cellStyle name="40% - Accent3 3 4" xfId="1092"/>
    <cellStyle name="40% - Accent3 3 4 2" xfId="3323"/>
    <cellStyle name="40% - Accent3 3 4 2 2" xfId="7546"/>
    <cellStyle name="40% - Accent3 3 4 2 2 2" xfId="15982"/>
    <cellStyle name="40% - Accent3 3 4 2 2 3" xfId="24423"/>
    <cellStyle name="40% - Accent3 3 4 2 2 4" xfId="32863"/>
    <cellStyle name="40% - Accent3 3 4 2 3" xfId="11764"/>
    <cellStyle name="40% - Accent3 3 4 2 4" xfId="20206"/>
    <cellStyle name="40% - Accent3 3 4 2 5" xfId="28646"/>
    <cellStyle name="40% - Accent3 3 4 3" xfId="5401"/>
    <cellStyle name="40% - Accent3 3 4 3 2" xfId="13837"/>
    <cellStyle name="40% - Accent3 3 4 3 3" xfId="22278"/>
    <cellStyle name="40% - Accent3 3 4 3 4" xfId="30718"/>
    <cellStyle name="40% - Accent3 3 4 4" xfId="9619"/>
    <cellStyle name="40% - Accent3 3 4 5" xfId="18061"/>
    <cellStyle name="40% - Accent3 3 4 6" xfId="26501"/>
    <cellStyle name="40% - Accent3 3 5" xfId="1506"/>
    <cellStyle name="40% - Accent3 3 5 2" xfId="3736"/>
    <cellStyle name="40% - Accent3 3 5 2 2" xfId="7959"/>
    <cellStyle name="40% - Accent3 3 5 2 2 2" xfId="16395"/>
    <cellStyle name="40% - Accent3 3 5 2 2 3" xfId="24836"/>
    <cellStyle name="40% - Accent3 3 5 2 2 4" xfId="33276"/>
    <cellStyle name="40% - Accent3 3 5 2 3" xfId="12177"/>
    <cellStyle name="40% - Accent3 3 5 2 4" xfId="20619"/>
    <cellStyle name="40% - Accent3 3 5 2 5" xfId="29059"/>
    <cellStyle name="40% - Accent3 3 5 3" xfId="5814"/>
    <cellStyle name="40% - Accent3 3 5 3 2" xfId="14250"/>
    <cellStyle name="40% - Accent3 3 5 3 3" xfId="22691"/>
    <cellStyle name="40% - Accent3 3 5 3 4" xfId="31131"/>
    <cellStyle name="40% - Accent3 3 5 4" xfId="10032"/>
    <cellStyle name="40% - Accent3 3 5 5" xfId="18474"/>
    <cellStyle name="40% - Accent3 3 5 6" xfId="26914"/>
    <cellStyle name="40% - Accent3 3 6" xfId="1920"/>
    <cellStyle name="40% - Accent3 3 6 2" xfId="4149"/>
    <cellStyle name="40% - Accent3 3 6 2 2" xfId="8372"/>
    <cellStyle name="40% - Accent3 3 6 2 2 2" xfId="16808"/>
    <cellStyle name="40% - Accent3 3 6 2 2 3" xfId="25249"/>
    <cellStyle name="40% - Accent3 3 6 2 2 4" xfId="33689"/>
    <cellStyle name="40% - Accent3 3 6 2 3" xfId="12590"/>
    <cellStyle name="40% - Accent3 3 6 2 4" xfId="21032"/>
    <cellStyle name="40% - Accent3 3 6 2 5" xfId="29472"/>
    <cellStyle name="40% - Accent3 3 6 3" xfId="6227"/>
    <cellStyle name="40% - Accent3 3 6 3 2" xfId="14663"/>
    <cellStyle name="40% - Accent3 3 6 3 3" xfId="23104"/>
    <cellStyle name="40% - Accent3 3 6 3 4" xfId="31544"/>
    <cellStyle name="40% - Accent3 3 6 4" xfId="10445"/>
    <cellStyle name="40% - Accent3 3 6 5" xfId="18887"/>
    <cellStyle name="40% - Accent3 3 6 6" xfId="27327"/>
    <cellStyle name="40% - Accent3 3 7" xfId="2333"/>
    <cellStyle name="40% - Accent3 3 7 2" xfId="6640"/>
    <cellStyle name="40% - Accent3 3 7 2 2" xfId="15076"/>
    <cellStyle name="40% - Accent3 3 7 2 3" xfId="23517"/>
    <cellStyle name="40% - Accent3 3 7 2 4" xfId="31957"/>
    <cellStyle name="40% - Accent3 3 7 3" xfId="10858"/>
    <cellStyle name="40% - Accent3 3 7 4" xfId="19300"/>
    <cellStyle name="40% - Accent3 3 7 5" xfId="27740"/>
    <cellStyle name="40% - Accent3 3 8" xfId="4574"/>
    <cellStyle name="40% - Accent3 3 8 2" xfId="13010"/>
    <cellStyle name="40% - Accent3 3 8 3" xfId="21451"/>
    <cellStyle name="40% - Accent3 3 8 4" xfId="29891"/>
    <cellStyle name="40% - Accent3 3 9" xfId="8792"/>
    <cellStyle name="40% - Accent3 4" xfId="72"/>
    <cellStyle name="40% - Accent3 4 10" xfId="25676"/>
    <cellStyle name="40% - Accent3 4 2" xfId="641"/>
    <cellStyle name="40% - Accent3 4 2 2" xfId="2912"/>
    <cellStyle name="40% - Accent3 4 2 2 2" xfId="7135"/>
    <cellStyle name="40% - Accent3 4 2 2 2 2" xfId="15571"/>
    <cellStyle name="40% - Accent3 4 2 2 2 3" xfId="24012"/>
    <cellStyle name="40% - Accent3 4 2 2 2 4" xfId="32452"/>
    <cellStyle name="40% - Accent3 4 2 2 3" xfId="11353"/>
    <cellStyle name="40% - Accent3 4 2 2 4" xfId="19795"/>
    <cellStyle name="40% - Accent3 4 2 2 5" xfId="28235"/>
    <cellStyle name="40% - Accent3 4 2 3" xfId="4990"/>
    <cellStyle name="40% - Accent3 4 2 3 2" xfId="13426"/>
    <cellStyle name="40% - Accent3 4 2 3 3" xfId="21867"/>
    <cellStyle name="40% - Accent3 4 2 3 4" xfId="30307"/>
    <cellStyle name="40% - Accent3 4 2 4" xfId="9208"/>
    <cellStyle name="40% - Accent3 4 2 5" xfId="17650"/>
    <cellStyle name="40% - Accent3 4 2 6" xfId="26090"/>
    <cellStyle name="40% - Accent3 4 3" xfId="1094"/>
    <cellStyle name="40% - Accent3 4 3 2" xfId="3325"/>
    <cellStyle name="40% - Accent3 4 3 2 2" xfId="7548"/>
    <cellStyle name="40% - Accent3 4 3 2 2 2" xfId="15984"/>
    <cellStyle name="40% - Accent3 4 3 2 2 3" xfId="24425"/>
    <cellStyle name="40% - Accent3 4 3 2 2 4" xfId="32865"/>
    <cellStyle name="40% - Accent3 4 3 2 3" xfId="11766"/>
    <cellStyle name="40% - Accent3 4 3 2 4" xfId="20208"/>
    <cellStyle name="40% - Accent3 4 3 2 5" xfId="28648"/>
    <cellStyle name="40% - Accent3 4 3 3" xfId="5403"/>
    <cellStyle name="40% - Accent3 4 3 3 2" xfId="13839"/>
    <cellStyle name="40% - Accent3 4 3 3 3" xfId="22280"/>
    <cellStyle name="40% - Accent3 4 3 3 4" xfId="30720"/>
    <cellStyle name="40% - Accent3 4 3 4" xfId="9621"/>
    <cellStyle name="40% - Accent3 4 3 5" xfId="18063"/>
    <cellStyle name="40% - Accent3 4 3 6" xfId="26503"/>
    <cellStyle name="40% - Accent3 4 4" xfId="1508"/>
    <cellStyle name="40% - Accent3 4 4 2" xfId="3738"/>
    <cellStyle name="40% - Accent3 4 4 2 2" xfId="7961"/>
    <cellStyle name="40% - Accent3 4 4 2 2 2" xfId="16397"/>
    <cellStyle name="40% - Accent3 4 4 2 2 3" xfId="24838"/>
    <cellStyle name="40% - Accent3 4 4 2 2 4" xfId="33278"/>
    <cellStyle name="40% - Accent3 4 4 2 3" xfId="12179"/>
    <cellStyle name="40% - Accent3 4 4 2 4" xfId="20621"/>
    <cellStyle name="40% - Accent3 4 4 2 5" xfId="29061"/>
    <cellStyle name="40% - Accent3 4 4 3" xfId="5816"/>
    <cellStyle name="40% - Accent3 4 4 3 2" xfId="14252"/>
    <cellStyle name="40% - Accent3 4 4 3 3" xfId="22693"/>
    <cellStyle name="40% - Accent3 4 4 3 4" xfId="31133"/>
    <cellStyle name="40% - Accent3 4 4 4" xfId="10034"/>
    <cellStyle name="40% - Accent3 4 4 5" xfId="18476"/>
    <cellStyle name="40% - Accent3 4 4 6" xfId="26916"/>
    <cellStyle name="40% - Accent3 4 5" xfId="1922"/>
    <cellStyle name="40% - Accent3 4 5 2" xfId="4151"/>
    <cellStyle name="40% - Accent3 4 5 2 2" xfId="8374"/>
    <cellStyle name="40% - Accent3 4 5 2 2 2" xfId="16810"/>
    <cellStyle name="40% - Accent3 4 5 2 2 3" xfId="25251"/>
    <cellStyle name="40% - Accent3 4 5 2 2 4" xfId="33691"/>
    <cellStyle name="40% - Accent3 4 5 2 3" xfId="12592"/>
    <cellStyle name="40% - Accent3 4 5 2 4" xfId="21034"/>
    <cellStyle name="40% - Accent3 4 5 2 5" xfId="29474"/>
    <cellStyle name="40% - Accent3 4 5 3" xfId="6229"/>
    <cellStyle name="40% - Accent3 4 5 3 2" xfId="14665"/>
    <cellStyle name="40% - Accent3 4 5 3 3" xfId="23106"/>
    <cellStyle name="40% - Accent3 4 5 3 4" xfId="31546"/>
    <cellStyle name="40% - Accent3 4 5 4" xfId="10447"/>
    <cellStyle name="40% - Accent3 4 5 5" xfId="18889"/>
    <cellStyle name="40% - Accent3 4 5 6" xfId="27329"/>
    <cellStyle name="40% - Accent3 4 6" xfId="2335"/>
    <cellStyle name="40% - Accent3 4 6 2" xfId="6642"/>
    <cellStyle name="40% - Accent3 4 6 2 2" xfId="15078"/>
    <cellStyle name="40% - Accent3 4 6 2 3" xfId="23519"/>
    <cellStyle name="40% - Accent3 4 6 2 4" xfId="31959"/>
    <cellStyle name="40% - Accent3 4 6 3" xfId="10860"/>
    <cellStyle name="40% - Accent3 4 6 4" xfId="19302"/>
    <cellStyle name="40% - Accent3 4 6 5" xfId="27742"/>
    <cellStyle name="40% - Accent3 4 7" xfId="4576"/>
    <cellStyle name="40% - Accent3 4 7 2" xfId="13012"/>
    <cellStyle name="40% - Accent3 4 7 3" xfId="21453"/>
    <cellStyle name="40% - Accent3 4 7 4" xfId="29893"/>
    <cellStyle name="40% - Accent3 4 8" xfId="8794"/>
    <cellStyle name="40% - Accent3 4 9" xfId="17236"/>
    <cellStyle name="40% - Accent3 5" xfId="634"/>
    <cellStyle name="40% - Accent3 5 2" xfId="2905"/>
    <cellStyle name="40% - Accent3 5 2 2" xfId="7128"/>
    <cellStyle name="40% - Accent3 5 2 2 2" xfId="15564"/>
    <cellStyle name="40% - Accent3 5 2 2 3" xfId="24005"/>
    <cellStyle name="40% - Accent3 5 2 2 4" xfId="32445"/>
    <cellStyle name="40% - Accent3 5 2 3" xfId="11346"/>
    <cellStyle name="40% - Accent3 5 2 4" xfId="19788"/>
    <cellStyle name="40% - Accent3 5 2 5" xfId="28228"/>
    <cellStyle name="40% - Accent3 5 3" xfId="4983"/>
    <cellStyle name="40% - Accent3 5 3 2" xfId="13419"/>
    <cellStyle name="40% - Accent3 5 3 3" xfId="21860"/>
    <cellStyle name="40% - Accent3 5 3 4" xfId="30300"/>
    <cellStyle name="40% - Accent3 5 4" xfId="9201"/>
    <cellStyle name="40% - Accent3 5 5" xfId="17643"/>
    <cellStyle name="40% - Accent3 5 6" xfId="26083"/>
    <cellStyle name="40% - Accent3 6" xfId="1087"/>
    <cellStyle name="40% - Accent3 6 2" xfId="3318"/>
    <cellStyle name="40% - Accent3 6 2 2" xfId="7541"/>
    <cellStyle name="40% - Accent3 6 2 2 2" xfId="15977"/>
    <cellStyle name="40% - Accent3 6 2 2 3" xfId="24418"/>
    <cellStyle name="40% - Accent3 6 2 2 4" xfId="32858"/>
    <cellStyle name="40% - Accent3 6 2 3" xfId="11759"/>
    <cellStyle name="40% - Accent3 6 2 4" xfId="20201"/>
    <cellStyle name="40% - Accent3 6 2 5" xfId="28641"/>
    <cellStyle name="40% - Accent3 6 3" xfId="5396"/>
    <cellStyle name="40% - Accent3 6 3 2" xfId="13832"/>
    <cellStyle name="40% - Accent3 6 3 3" xfId="22273"/>
    <cellStyle name="40% - Accent3 6 3 4" xfId="30713"/>
    <cellStyle name="40% - Accent3 6 4" xfId="9614"/>
    <cellStyle name="40% - Accent3 6 5" xfId="18056"/>
    <cellStyle name="40% - Accent3 6 6" xfId="26496"/>
    <cellStyle name="40% - Accent3 7" xfId="1501"/>
    <cellStyle name="40% - Accent3 7 2" xfId="3731"/>
    <cellStyle name="40% - Accent3 7 2 2" xfId="7954"/>
    <cellStyle name="40% - Accent3 7 2 2 2" xfId="16390"/>
    <cellStyle name="40% - Accent3 7 2 2 3" xfId="24831"/>
    <cellStyle name="40% - Accent3 7 2 2 4" xfId="33271"/>
    <cellStyle name="40% - Accent3 7 2 3" xfId="12172"/>
    <cellStyle name="40% - Accent3 7 2 4" xfId="20614"/>
    <cellStyle name="40% - Accent3 7 2 5" xfId="29054"/>
    <cellStyle name="40% - Accent3 7 3" xfId="5809"/>
    <cellStyle name="40% - Accent3 7 3 2" xfId="14245"/>
    <cellStyle name="40% - Accent3 7 3 3" xfId="22686"/>
    <cellStyle name="40% - Accent3 7 3 4" xfId="31126"/>
    <cellStyle name="40% - Accent3 7 4" xfId="10027"/>
    <cellStyle name="40% - Accent3 7 5" xfId="18469"/>
    <cellStyle name="40% - Accent3 7 6" xfId="26909"/>
    <cellStyle name="40% - Accent3 8" xfId="1915"/>
    <cellStyle name="40% - Accent3 8 2" xfId="4144"/>
    <cellStyle name="40% - Accent3 8 2 2" xfId="8367"/>
    <cellStyle name="40% - Accent3 8 2 2 2" xfId="16803"/>
    <cellStyle name="40% - Accent3 8 2 2 3" xfId="25244"/>
    <cellStyle name="40% - Accent3 8 2 2 4" xfId="33684"/>
    <cellStyle name="40% - Accent3 8 2 3" xfId="12585"/>
    <cellStyle name="40% - Accent3 8 2 4" xfId="21027"/>
    <cellStyle name="40% - Accent3 8 2 5" xfId="29467"/>
    <cellStyle name="40% - Accent3 8 3" xfId="6222"/>
    <cellStyle name="40% - Accent3 8 3 2" xfId="14658"/>
    <cellStyle name="40% - Accent3 8 3 3" xfId="23099"/>
    <cellStyle name="40% - Accent3 8 3 4" xfId="31539"/>
    <cellStyle name="40% - Accent3 8 4" xfId="10440"/>
    <cellStyle name="40% - Accent3 8 5" xfId="18882"/>
    <cellStyle name="40% - Accent3 8 6" xfId="27322"/>
    <cellStyle name="40% - Accent3 9" xfId="2328"/>
    <cellStyle name="40% - Accent3 9 2" xfId="6635"/>
    <cellStyle name="40% - Accent3 9 2 2" xfId="15071"/>
    <cellStyle name="40% - Accent3 9 2 3" xfId="23512"/>
    <cellStyle name="40% - Accent3 9 2 4" xfId="31952"/>
    <cellStyle name="40% - Accent3 9 3" xfId="10853"/>
    <cellStyle name="40% - Accent3 9 4" xfId="19295"/>
    <cellStyle name="40% - Accent3 9 5" xfId="27735"/>
    <cellStyle name="40% - Accent4" xfId="73" builtinId="43" customBuiltin="1"/>
    <cellStyle name="40% - Accent4 10" xfId="4577"/>
    <cellStyle name="40% - Accent4 10 2" xfId="13013"/>
    <cellStyle name="40% - Accent4 10 3" xfId="21454"/>
    <cellStyle name="40% - Accent4 10 4" xfId="29894"/>
    <cellStyle name="40% - Accent4 11" xfId="8795"/>
    <cellStyle name="40% - Accent4 12" xfId="17237"/>
    <cellStyle name="40% - Accent4 13" xfId="25677"/>
    <cellStyle name="40% - Accent4 2" xfId="74"/>
    <cellStyle name="40% - Accent4 2 10" xfId="8796"/>
    <cellStyle name="40% - Accent4 2 11" xfId="17238"/>
    <cellStyle name="40% - Accent4 2 12" xfId="25678"/>
    <cellStyle name="40% - Accent4 2 2" xfId="75"/>
    <cellStyle name="40% - Accent4 2 2 10" xfId="17239"/>
    <cellStyle name="40% - Accent4 2 2 11" xfId="25679"/>
    <cellStyle name="40% - Accent4 2 2 2" xfId="76"/>
    <cellStyle name="40% - Accent4 2 2 2 10" xfId="25680"/>
    <cellStyle name="40% - Accent4 2 2 2 2" xfId="645"/>
    <cellStyle name="40% - Accent4 2 2 2 2 2" xfId="2916"/>
    <cellStyle name="40% - Accent4 2 2 2 2 2 2" xfId="7139"/>
    <cellStyle name="40% - Accent4 2 2 2 2 2 2 2" xfId="15575"/>
    <cellStyle name="40% - Accent4 2 2 2 2 2 2 3" xfId="24016"/>
    <cellStyle name="40% - Accent4 2 2 2 2 2 2 4" xfId="32456"/>
    <cellStyle name="40% - Accent4 2 2 2 2 2 3" xfId="11357"/>
    <cellStyle name="40% - Accent4 2 2 2 2 2 4" xfId="19799"/>
    <cellStyle name="40% - Accent4 2 2 2 2 2 5" xfId="28239"/>
    <cellStyle name="40% - Accent4 2 2 2 2 3" xfId="4994"/>
    <cellStyle name="40% - Accent4 2 2 2 2 3 2" xfId="13430"/>
    <cellStyle name="40% - Accent4 2 2 2 2 3 3" xfId="21871"/>
    <cellStyle name="40% - Accent4 2 2 2 2 3 4" xfId="30311"/>
    <cellStyle name="40% - Accent4 2 2 2 2 4" xfId="9212"/>
    <cellStyle name="40% - Accent4 2 2 2 2 5" xfId="17654"/>
    <cellStyle name="40% - Accent4 2 2 2 2 6" xfId="26094"/>
    <cellStyle name="40% - Accent4 2 2 2 3" xfId="1098"/>
    <cellStyle name="40% - Accent4 2 2 2 3 2" xfId="3329"/>
    <cellStyle name="40% - Accent4 2 2 2 3 2 2" xfId="7552"/>
    <cellStyle name="40% - Accent4 2 2 2 3 2 2 2" xfId="15988"/>
    <cellStyle name="40% - Accent4 2 2 2 3 2 2 3" xfId="24429"/>
    <cellStyle name="40% - Accent4 2 2 2 3 2 2 4" xfId="32869"/>
    <cellStyle name="40% - Accent4 2 2 2 3 2 3" xfId="11770"/>
    <cellStyle name="40% - Accent4 2 2 2 3 2 4" xfId="20212"/>
    <cellStyle name="40% - Accent4 2 2 2 3 2 5" xfId="28652"/>
    <cellStyle name="40% - Accent4 2 2 2 3 3" xfId="5407"/>
    <cellStyle name="40% - Accent4 2 2 2 3 3 2" xfId="13843"/>
    <cellStyle name="40% - Accent4 2 2 2 3 3 3" xfId="22284"/>
    <cellStyle name="40% - Accent4 2 2 2 3 3 4" xfId="30724"/>
    <cellStyle name="40% - Accent4 2 2 2 3 4" xfId="9625"/>
    <cellStyle name="40% - Accent4 2 2 2 3 5" xfId="18067"/>
    <cellStyle name="40% - Accent4 2 2 2 3 6" xfId="26507"/>
    <cellStyle name="40% - Accent4 2 2 2 4" xfId="1512"/>
    <cellStyle name="40% - Accent4 2 2 2 4 2" xfId="3742"/>
    <cellStyle name="40% - Accent4 2 2 2 4 2 2" xfId="7965"/>
    <cellStyle name="40% - Accent4 2 2 2 4 2 2 2" xfId="16401"/>
    <cellStyle name="40% - Accent4 2 2 2 4 2 2 3" xfId="24842"/>
    <cellStyle name="40% - Accent4 2 2 2 4 2 2 4" xfId="33282"/>
    <cellStyle name="40% - Accent4 2 2 2 4 2 3" xfId="12183"/>
    <cellStyle name="40% - Accent4 2 2 2 4 2 4" xfId="20625"/>
    <cellStyle name="40% - Accent4 2 2 2 4 2 5" xfId="29065"/>
    <cellStyle name="40% - Accent4 2 2 2 4 3" xfId="5820"/>
    <cellStyle name="40% - Accent4 2 2 2 4 3 2" xfId="14256"/>
    <cellStyle name="40% - Accent4 2 2 2 4 3 3" xfId="22697"/>
    <cellStyle name="40% - Accent4 2 2 2 4 3 4" xfId="31137"/>
    <cellStyle name="40% - Accent4 2 2 2 4 4" xfId="10038"/>
    <cellStyle name="40% - Accent4 2 2 2 4 5" xfId="18480"/>
    <cellStyle name="40% - Accent4 2 2 2 4 6" xfId="26920"/>
    <cellStyle name="40% - Accent4 2 2 2 5" xfId="1926"/>
    <cellStyle name="40% - Accent4 2 2 2 5 2" xfId="4155"/>
    <cellStyle name="40% - Accent4 2 2 2 5 2 2" xfId="8378"/>
    <cellStyle name="40% - Accent4 2 2 2 5 2 2 2" xfId="16814"/>
    <cellStyle name="40% - Accent4 2 2 2 5 2 2 3" xfId="25255"/>
    <cellStyle name="40% - Accent4 2 2 2 5 2 2 4" xfId="33695"/>
    <cellStyle name="40% - Accent4 2 2 2 5 2 3" xfId="12596"/>
    <cellStyle name="40% - Accent4 2 2 2 5 2 4" xfId="21038"/>
    <cellStyle name="40% - Accent4 2 2 2 5 2 5" xfId="29478"/>
    <cellStyle name="40% - Accent4 2 2 2 5 3" xfId="6233"/>
    <cellStyle name="40% - Accent4 2 2 2 5 3 2" xfId="14669"/>
    <cellStyle name="40% - Accent4 2 2 2 5 3 3" xfId="23110"/>
    <cellStyle name="40% - Accent4 2 2 2 5 3 4" xfId="31550"/>
    <cellStyle name="40% - Accent4 2 2 2 5 4" xfId="10451"/>
    <cellStyle name="40% - Accent4 2 2 2 5 5" xfId="18893"/>
    <cellStyle name="40% - Accent4 2 2 2 5 6" xfId="27333"/>
    <cellStyle name="40% - Accent4 2 2 2 6" xfId="2339"/>
    <cellStyle name="40% - Accent4 2 2 2 6 2" xfId="6646"/>
    <cellStyle name="40% - Accent4 2 2 2 6 2 2" xfId="15082"/>
    <cellStyle name="40% - Accent4 2 2 2 6 2 3" xfId="23523"/>
    <cellStyle name="40% - Accent4 2 2 2 6 2 4" xfId="31963"/>
    <cellStyle name="40% - Accent4 2 2 2 6 3" xfId="10864"/>
    <cellStyle name="40% - Accent4 2 2 2 6 4" xfId="19306"/>
    <cellStyle name="40% - Accent4 2 2 2 6 5" xfId="27746"/>
    <cellStyle name="40% - Accent4 2 2 2 7" xfId="4580"/>
    <cellStyle name="40% - Accent4 2 2 2 7 2" xfId="13016"/>
    <cellStyle name="40% - Accent4 2 2 2 7 3" xfId="21457"/>
    <cellStyle name="40% - Accent4 2 2 2 7 4" xfId="29897"/>
    <cellStyle name="40% - Accent4 2 2 2 8" xfId="8798"/>
    <cellStyle name="40% - Accent4 2 2 2 9" xfId="17240"/>
    <cellStyle name="40% - Accent4 2 2 3" xfId="644"/>
    <cellStyle name="40% - Accent4 2 2 3 2" xfId="2915"/>
    <cellStyle name="40% - Accent4 2 2 3 2 2" xfId="7138"/>
    <cellStyle name="40% - Accent4 2 2 3 2 2 2" xfId="15574"/>
    <cellStyle name="40% - Accent4 2 2 3 2 2 3" xfId="24015"/>
    <cellStyle name="40% - Accent4 2 2 3 2 2 4" xfId="32455"/>
    <cellStyle name="40% - Accent4 2 2 3 2 3" xfId="11356"/>
    <cellStyle name="40% - Accent4 2 2 3 2 4" xfId="19798"/>
    <cellStyle name="40% - Accent4 2 2 3 2 5" xfId="28238"/>
    <cellStyle name="40% - Accent4 2 2 3 3" xfId="4993"/>
    <cellStyle name="40% - Accent4 2 2 3 3 2" xfId="13429"/>
    <cellStyle name="40% - Accent4 2 2 3 3 3" xfId="21870"/>
    <cellStyle name="40% - Accent4 2 2 3 3 4" xfId="30310"/>
    <cellStyle name="40% - Accent4 2 2 3 4" xfId="9211"/>
    <cellStyle name="40% - Accent4 2 2 3 5" xfId="17653"/>
    <cellStyle name="40% - Accent4 2 2 3 6" xfId="26093"/>
    <cellStyle name="40% - Accent4 2 2 4" xfId="1097"/>
    <cellStyle name="40% - Accent4 2 2 4 2" xfId="3328"/>
    <cellStyle name="40% - Accent4 2 2 4 2 2" xfId="7551"/>
    <cellStyle name="40% - Accent4 2 2 4 2 2 2" xfId="15987"/>
    <cellStyle name="40% - Accent4 2 2 4 2 2 3" xfId="24428"/>
    <cellStyle name="40% - Accent4 2 2 4 2 2 4" xfId="32868"/>
    <cellStyle name="40% - Accent4 2 2 4 2 3" xfId="11769"/>
    <cellStyle name="40% - Accent4 2 2 4 2 4" xfId="20211"/>
    <cellStyle name="40% - Accent4 2 2 4 2 5" xfId="28651"/>
    <cellStyle name="40% - Accent4 2 2 4 3" xfId="5406"/>
    <cellStyle name="40% - Accent4 2 2 4 3 2" xfId="13842"/>
    <cellStyle name="40% - Accent4 2 2 4 3 3" xfId="22283"/>
    <cellStyle name="40% - Accent4 2 2 4 3 4" xfId="30723"/>
    <cellStyle name="40% - Accent4 2 2 4 4" xfId="9624"/>
    <cellStyle name="40% - Accent4 2 2 4 5" xfId="18066"/>
    <cellStyle name="40% - Accent4 2 2 4 6" xfId="26506"/>
    <cellStyle name="40% - Accent4 2 2 5" xfId="1511"/>
    <cellStyle name="40% - Accent4 2 2 5 2" xfId="3741"/>
    <cellStyle name="40% - Accent4 2 2 5 2 2" xfId="7964"/>
    <cellStyle name="40% - Accent4 2 2 5 2 2 2" xfId="16400"/>
    <cellStyle name="40% - Accent4 2 2 5 2 2 3" xfId="24841"/>
    <cellStyle name="40% - Accent4 2 2 5 2 2 4" xfId="33281"/>
    <cellStyle name="40% - Accent4 2 2 5 2 3" xfId="12182"/>
    <cellStyle name="40% - Accent4 2 2 5 2 4" xfId="20624"/>
    <cellStyle name="40% - Accent4 2 2 5 2 5" xfId="29064"/>
    <cellStyle name="40% - Accent4 2 2 5 3" xfId="5819"/>
    <cellStyle name="40% - Accent4 2 2 5 3 2" xfId="14255"/>
    <cellStyle name="40% - Accent4 2 2 5 3 3" xfId="22696"/>
    <cellStyle name="40% - Accent4 2 2 5 3 4" xfId="31136"/>
    <cellStyle name="40% - Accent4 2 2 5 4" xfId="10037"/>
    <cellStyle name="40% - Accent4 2 2 5 5" xfId="18479"/>
    <cellStyle name="40% - Accent4 2 2 5 6" xfId="26919"/>
    <cellStyle name="40% - Accent4 2 2 6" xfId="1925"/>
    <cellStyle name="40% - Accent4 2 2 6 2" xfId="4154"/>
    <cellStyle name="40% - Accent4 2 2 6 2 2" xfId="8377"/>
    <cellStyle name="40% - Accent4 2 2 6 2 2 2" xfId="16813"/>
    <cellStyle name="40% - Accent4 2 2 6 2 2 3" xfId="25254"/>
    <cellStyle name="40% - Accent4 2 2 6 2 2 4" xfId="33694"/>
    <cellStyle name="40% - Accent4 2 2 6 2 3" xfId="12595"/>
    <cellStyle name="40% - Accent4 2 2 6 2 4" xfId="21037"/>
    <cellStyle name="40% - Accent4 2 2 6 2 5" xfId="29477"/>
    <cellStyle name="40% - Accent4 2 2 6 3" xfId="6232"/>
    <cellStyle name="40% - Accent4 2 2 6 3 2" xfId="14668"/>
    <cellStyle name="40% - Accent4 2 2 6 3 3" xfId="23109"/>
    <cellStyle name="40% - Accent4 2 2 6 3 4" xfId="31549"/>
    <cellStyle name="40% - Accent4 2 2 6 4" xfId="10450"/>
    <cellStyle name="40% - Accent4 2 2 6 5" xfId="18892"/>
    <cellStyle name="40% - Accent4 2 2 6 6" xfId="27332"/>
    <cellStyle name="40% - Accent4 2 2 7" xfId="2338"/>
    <cellStyle name="40% - Accent4 2 2 7 2" xfId="6645"/>
    <cellStyle name="40% - Accent4 2 2 7 2 2" xfId="15081"/>
    <cellStyle name="40% - Accent4 2 2 7 2 3" xfId="23522"/>
    <cellStyle name="40% - Accent4 2 2 7 2 4" xfId="31962"/>
    <cellStyle name="40% - Accent4 2 2 7 3" xfId="10863"/>
    <cellStyle name="40% - Accent4 2 2 7 4" xfId="19305"/>
    <cellStyle name="40% - Accent4 2 2 7 5" xfId="27745"/>
    <cellStyle name="40% - Accent4 2 2 8" xfId="4579"/>
    <cellStyle name="40% - Accent4 2 2 8 2" xfId="13015"/>
    <cellStyle name="40% - Accent4 2 2 8 3" xfId="21456"/>
    <cellStyle name="40% - Accent4 2 2 8 4" xfId="29896"/>
    <cellStyle name="40% - Accent4 2 2 9" xfId="8797"/>
    <cellStyle name="40% - Accent4 2 3" xfId="77"/>
    <cellStyle name="40% - Accent4 2 3 10" xfId="25681"/>
    <cellStyle name="40% - Accent4 2 3 2" xfId="646"/>
    <cellStyle name="40% - Accent4 2 3 2 2" xfId="2917"/>
    <cellStyle name="40% - Accent4 2 3 2 2 2" xfId="7140"/>
    <cellStyle name="40% - Accent4 2 3 2 2 2 2" xfId="15576"/>
    <cellStyle name="40% - Accent4 2 3 2 2 2 3" xfId="24017"/>
    <cellStyle name="40% - Accent4 2 3 2 2 2 4" xfId="32457"/>
    <cellStyle name="40% - Accent4 2 3 2 2 3" xfId="11358"/>
    <cellStyle name="40% - Accent4 2 3 2 2 4" xfId="19800"/>
    <cellStyle name="40% - Accent4 2 3 2 2 5" xfId="28240"/>
    <cellStyle name="40% - Accent4 2 3 2 3" xfId="4995"/>
    <cellStyle name="40% - Accent4 2 3 2 3 2" xfId="13431"/>
    <cellStyle name="40% - Accent4 2 3 2 3 3" xfId="21872"/>
    <cellStyle name="40% - Accent4 2 3 2 3 4" xfId="30312"/>
    <cellStyle name="40% - Accent4 2 3 2 4" xfId="9213"/>
    <cellStyle name="40% - Accent4 2 3 2 5" xfId="17655"/>
    <cellStyle name="40% - Accent4 2 3 2 6" xfId="26095"/>
    <cellStyle name="40% - Accent4 2 3 3" xfId="1099"/>
    <cellStyle name="40% - Accent4 2 3 3 2" xfId="3330"/>
    <cellStyle name="40% - Accent4 2 3 3 2 2" xfId="7553"/>
    <cellStyle name="40% - Accent4 2 3 3 2 2 2" xfId="15989"/>
    <cellStyle name="40% - Accent4 2 3 3 2 2 3" xfId="24430"/>
    <cellStyle name="40% - Accent4 2 3 3 2 2 4" xfId="32870"/>
    <cellStyle name="40% - Accent4 2 3 3 2 3" xfId="11771"/>
    <cellStyle name="40% - Accent4 2 3 3 2 4" xfId="20213"/>
    <cellStyle name="40% - Accent4 2 3 3 2 5" xfId="28653"/>
    <cellStyle name="40% - Accent4 2 3 3 3" xfId="5408"/>
    <cellStyle name="40% - Accent4 2 3 3 3 2" xfId="13844"/>
    <cellStyle name="40% - Accent4 2 3 3 3 3" xfId="22285"/>
    <cellStyle name="40% - Accent4 2 3 3 3 4" xfId="30725"/>
    <cellStyle name="40% - Accent4 2 3 3 4" xfId="9626"/>
    <cellStyle name="40% - Accent4 2 3 3 5" xfId="18068"/>
    <cellStyle name="40% - Accent4 2 3 3 6" xfId="26508"/>
    <cellStyle name="40% - Accent4 2 3 4" xfId="1513"/>
    <cellStyle name="40% - Accent4 2 3 4 2" xfId="3743"/>
    <cellStyle name="40% - Accent4 2 3 4 2 2" xfId="7966"/>
    <cellStyle name="40% - Accent4 2 3 4 2 2 2" xfId="16402"/>
    <cellStyle name="40% - Accent4 2 3 4 2 2 3" xfId="24843"/>
    <cellStyle name="40% - Accent4 2 3 4 2 2 4" xfId="33283"/>
    <cellStyle name="40% - Accent4 2 3 4 2 3" xfId="12184"/>
    <cellStyle name="40% - Accent4 2 3 4 2 4" xfId="20626"/>
    <cellStyle name="40% - Accent4 2 3 4 2 5" xfId="29066"/>
    <cellStyle name="40% - Accent4 2 3 4 3" xfId="5821"/>
    <cellStyle name="40% - Accent4 2 3 4 3 2" xfId="14257"/>
    <cellStyle name="40% - Accent4 2 3 4 3 3" xfId="22698"/>
    <cellStyle name="40% - Accent4 2 3 4 3 4" xfId="31138"/>
    <cellStyle name="40% - Accent4 2 3 4 4" xfId="10039"/>
    <cellStyle name="40% - Accent4 2 3 4 5" xfId="18481"/>
    <cellStyle name="40% - Accent4 2 3 4 6" xfId="26921"/>
    <cellStyle name="40% - Accent4 2 3 5" xfId="1927"/>
    <cellStyle name="40% - Accent4 2 3 5 2" xfId="4156"/>
    <cellStyle name="40% - Accent4 2 3 5 2 2" xfId="8379"/>
    <cellStyle name="40% - Accent4 2 3 5 2 2 2" xfId="16815"/>
    <cellStyle name="40% - Accent4 2 3 5 2 2 3" xfId="25256"/>
    <cellStyle name="40% - Accent4 2 3 5 2 2 4" xfId="33696"/>
    <cellStyle name="40% - Accent4 2 3 5 2 3" xfId="12597"/>
    <cellStyle name="40% - Accent4 2 3 5 2 4" xfId="21039"/>
    <cellStyle name="40% - Accent4 2 3 5 2 5" xfId="29479"/>
    <cellStyle name="40% - Accent4 2 3 5 3" xfId="6234"/>
    <cellStyle name="40% - Accent4 2 3 5 3 2" xfId="14670"/>
    <cellStyle name="40% - Accent4 2 3 5 3 3" xfId="23111"/>
    <cellStyle name="40% - Accent4 2 3 5 3 4" xfId="31551"/>
    <cellStyle name="40% - Accent4 2 3 5 4" xfId="10452"/>
    <cellStyle name="40% - Accent4 2 3 5 5" xfId="18894"/>
    <cellStyle name="40% - Accent4 2 3 5 6" xfId="27334"/>
    <cellStyle name="40% - Accent4 2 3 6" xfId="2340"/>
    <cellStyle name="40% - Accent4 2 3 6 2" xfId="6647"/>
    <cellStyle name="40% - Accent4 2 3 6 2 2" xfId="15083"/>
    <cellStyle name="40% - Accent4 2 3 6 2 3" xfId="23524"/>
    <cellStyle name="40% - Accent4 2 3 6 2 4" xfId="31964"/>
    <cellStyle name="40% - Accent4 2 3 6 3" xfId="10865"/>
    <cellStyle name="40% - Accent4 2 3 6 4" xfId="19307"/>
    <cellStyle name="40% - Accent4 2 3 6 5" xfId="27747"/>
    <cellStyle name="40% - Accent4 2 3 7" xfId="4581"/>
    <cellStyle name="40% - Accent4 2 3 7 2" xfId="13017"/>
    <cellStyle name="40% - Accent4 2 3 7 3" xfId="21458"/>
    <cellStyle name="40% - Accent4 2 3 7 4" xfId="29898"/>
    <cellStyle name="40% - Accent4 2 3 8" xfId="8799"/>
    <cellStyle name="40% - Accent4 2 3 9" xfId="17241"/>
    <cellStyle name="40% - Accent4 2 4" xfId="643"/>
    <cellStyle name="40% - Accent4 2 4 2" xfId="2914"/>
    <cellStyle name="40% - Accent4 2 4 2 2" xfId="7137"/>
    <cellStyle name="40% - Accent4 2 4 2 2 2" xfId="15573"/>
    <cellStyle name="40% - Accent4 2 4 2 2 3" xfId="24014"/>
    <cellStyle name="40% - Accent4 2 4 2 2 4" xfId="32454"/>
    <cellStyle name="40% - Accent4 2 4 2 3" xfId="11355"/>
    <cellStyle name="40% - Accent4 2 4 2 4" xfId="19797"/>
    <cellStyle name="40% - Accent4 2 4 2 5" xfId="28237"/>
    <cellStyle name="40% - Accent4 2 4 3" xfId="4992"/>
    <cellStyle name="40% - Accent4 2 4 3 2" xfId="13428"/>
    <cellStyle name="40% - Accent4 2 4 3 3" xfId="21869"/>
    <cellStyle name="40% - Accent4 2 4 3 4" xfId="30309"/>
    <cellStyle name="40% - Accent4 2 4 4" xfId="9210"/>
    <cellStyle name="40% - Accent4 2 4 5" xfId="17652"/>
    <cellStyle name="40% - Accent4 2 4 6" xfId="26092"/>
    <cellStyle name="40% - Accent4 2 5" xfId="1096"/>
    <cellStyle name="40% - Accent4 2 5 2" xfId="3327"/>
    <cellStyle name="40% - Accent4 2 5 2 2" xfId="7550"/>
    <cellStyle name="40% - Accent4 2 5 2 2 2" xfId="15986"/>
    <cellStyle name="40% - Accent4 2 5 2 2 3" xfId="24427"/>
    <cellStyle name="40% - Accent4 2 5 2 2 4" xfId="32867"/>
    <cellStyle name="40% - Accent4 2 5 2 3" xfId="11768"/>
    <cellStyle name="40% - Accent4 2 5 2 4" xfId="20210"/>
    <cellStyle name="40% - Accent4 2 5 2 5" xfId="28650"/>
    <cellStyle name="40% - Accent4 2 5 3" xfId="5405"/>
    <cellStyle name="40% - Accent4 2 5 3 2" xfId="13841"/>
    <cellStyle name="40% - Accent4 2 5 3 3" xfId="22282"/>
    <cellStyle name="40% - Accent4 2 5 3 4" xfId="30722"/>
    <cellStyle name="40% - Accent4 2 5 4" xfId="9623"/>
    <cellStyle name="40% - Accent4 2 5 5" xfId="18065"/>
    <cellStyle name="40% - Accent4 2 5 6" xfId="26505"/>
    <cellStyle name="40% - Accent4 2 6" xfId="1510"/>
    <cellStyle name="40% - Accent4 2 6 2" xfId="3740"/>
    <cellStyle name="40% - Accent4 2 6 2 2" xfId="7963"/>
    <cellStyle name="40% - Accent4 2 6 2 2 2" xfId="16399"/>
    <cellStyle name="40% - Accent4 2 6 2 2 3" xfId="24840"/>
    <cellStyle name="40% - Accent4 2 6 2 2 4" xfId="33280"/>
    <cellStyle name="40% - Accent4 2 6 2 3" xfId="12181"/>
    <cellStyle name="40% - Accent4 2 6 2 4" xfId="20623"/>
    <cellStyle name="40% - Accent4 2 6 2 5" xfId="29063"/>
    <cellStyle name="40% - Accent4 2 6 3" xfId="5818"/>
    <cellStyle name="40% - Accent4 2 6 3 2" xfId="14254"/>
    <cellStyle name="40% - Accent4 2 6 3 3" xfId="22695"/>
    <cellStyle name="40% - Accent4 2 6 3 4" xfId="31135"/>
    <cellStyle name="40% - Accent4 2 6 4" xfId="10036"/>
    <cellStyle name="40% - Accent4 2 6 5" xfId="18478"/>
    <cellStyle name="40% - Accent4 2 6 6" xfId="26918"/>
    <cellStyle name="40% - Accent4 2 7" xfId="1924"/>
    <cellStyle name="40% - Accent4 2 7 2" xfId="4153"/>
    <cellStyle name="40% - Accent4 2 7 2 2" xfId="8376"/>
    <cellStyle name="40% - Accent4 2 7 2 2 2" xfId="16812"/>
    <cellStyle name="40% - Accent4 2 7 2 2 3" xfId="25253"/>
    <cellStyle name="40% - Accent4 2 7 2 2 4" xfId="33693"/>
    <cellStyle name="40% - Accent4 2 7 2 3" xfId="12594"/>
    <cellStyle name="40% - Accent4 2 7 2 4" xfId="21036"/>
    <cellStyle name="40% - Accent4 2 7 2 5" xfId="29476"/>
    <cellStyle name="40% - Accent4 2 7 3" xfId="6231"/>
    <cellStyle name="40% - Accent4 2 7 3 2" xfId="14667"/>
    <cellStyle name="40% - Accent4 2 7 3 3" xfId="23108"/>
    <cellStyle name="40% - Accent4 2 7 3 4" xfId="31548"/>
    <cellStyle name="40% - Accent4 2 7 4" xfId="10449"/>
    <cellStyle name="40% - Accent4 2 7 5" xfId="18891"/>
    <cellStyle name="40% - Accent4 2 7 6" xfId="27331"/>
    <cellStyle name="40% - Accent4 2 8" xfId="2337"/>
    <cellStyle name="40% - Accent4 2 8 2" xfId="6644"/>
    <cellStyle name="40% - Accent4 2 8 2 2" xfId="15080"/>
    <cellStyle name="40% - Accent4 2 8 2 3" xfId="23521"/>
    <cellStyle name="40% - Accent4 2 8 2 4" xfId="31961"/>
    <cellStyle name="40% - Accent4 2 8 3" xfId="10862"/>
    <cellStyle name="40% - Accent4 2 8 4" xfId="19304"/>
    <cellStyle name="40% - Accent4 2 8 5" xfId="27744"/>
    <cellStyle name="40% - Accent4 2 9" xfId="4578"/>
    <cellStyle name="40% - Accent4 2 9 2" xfId="13014"/>
    <cellStyle name="40% - Accent4 2 9 3" xfId="21455"/>
    <cellStyle name="40% - Accent4 2 9 4" xfId="29895"/>
    <cellStyle name="40% - Accent4 3" xfId="78"/>
    <cellStyle name="40% - Accent4 3 10" xfId="17242"/>
    <cellStyle name="40% - Accent4 3 11" xfId="25682"/>
    <cellStyle name="40% - Accent4 3 2" xfId="79"/>
    <cellStyle name="40% - Accent4 3 2 10" xfId="25683"/>
    <cellStyle name="40% - Accent4 3 2 2" xfId="648"/>
    <cellStyle name="40% - Accent4 3 2 2 2" xfId="2919"/>
    <cellStyle name="40% - Accent4 3 2 2 2 2" xfId="7142"/>
    <cellStyle name="40% - Accent4 3 2 2 2 2 2" xfId="15578"/>
    <cellStyle name="40% - Accent4 3 2 2 2 2 3" xfId="24019"/>
    <cellStyle name="40% - Accent4 3 2 2 2 2 4" xfId="32459"/>
    <cellStyle name="40% - Accent4 3 2 2 2 3" xfId="11360"/>
    <cellStyle name="40% - Accent4 3 2 2 2 4" xfId="19802"/>
    <cellStyle name="40% - Accent4 3 2 2 2 5" xfId="28242"/>
    <cellStyle name="40% - Accent4 3 2 2 3" xfId="4997"/>
    <cellStyle name="40% - Accent4 3 2 2 3 2" xfId="13433"/>
    <cellStyle name="40% - Accent4 3 2 2 3 3" xfId="21874"/>
    <cellStyle name="40% - Accent4 3 2 2 3 4" xfId="30314"/>
    <cellStyle name="40% - Accent4 3 2 2 4" xfId="9215"/>
    <cellStyle name="40% - Accent4 3 2 2 5" xfId="17657"/>
    <cellStyle name="40% - Accent4 3 2 2 6" xfId="26097"/>
    <cellStyle name="40% - Accent4 3 2 3" xfId="1101"/>
    <cellStyle name="40% - Accent4 3 2 3 2" xfId="3332"/>
    <cellStyle name="40% - Accent4 3 2 3 2 2" xfId="7555"/>
    <cellStyle name="40% - Accent4 3 2 3 2 2 2" xfId="15991"/>
    <cellStyle name="40% - Accent4 3 2 3 2 2 3" xfId="24432"/>
    <cellStyle name="40% - Accent4 3 2 3 2 2 4" xfId="32872"/>
    <cellStyle name="40% - Accent4 3 2 3 2 3" xfId="11773"/>
    <cellStyle name="40% - Accent4 3 2 3 2 4" xfId="20215"/>
    <cellStyle name="40% - Accent4 3 2 3 2 5" xfId="28655"/>
    <cellStyle name="40% - Accent4 3 2 3 3" xfId="5410"/>
    <cellStyle name="40% - Accent4 3 2 3 3 2" xfId="13846"/>
    <cellStyle name="40% - Accent4 3 2 3 3 3" xfId="22287"/>
    <cellStyle name="40% - Accent4 3 2 3 3 4" xfId="30727"/>
    <cellStyle name="40% - Accent4 3 2 3 4" xfId="9628"/>
    <cellStyle name="40% - Accent4 3 2 3 5" xfId="18070"/>
    <cellStyle name="40% - Accent4 3 2 3 6" xfId="26510"/>
    <cellStyle name="40% - Accent4 3 2 4" xfId="1515"/>
    <cellStyle name="40% - Accent4 3 2 4 2" xfId="3745"/>
    <cellStyle name="40% - Accent4 3 2 4 2 2" xfId="7968"/>
    <cellStyle name="40% - Accent4 3 2 4 2 2 2" xfId="16404"/>
    <cellStyle name="40% - Accent4 3 2 4 2 2 3" xfId="24845"/>
    <cellStyle name="40% - Accent4 3 2 4 2 2 4" xfId="33285"/>
    <cellStyle name="40% - Accent4 3 2 4 2 3" xfId="12186"/>
    <cellStyle name="40% - Accent4 3 2 4 2 4" xfId="20628"/>
    <cellStyle name="40% - Accent4 3 2 4 2 5" xfId="29068"/>
    <cellStyle name="40% - Accent4 3 2 4 3" xfId="5823"/>
    <cellStyle name="40% - Accent4 3 2 4 3 2" xfId="14259"/>
    <cellStyle name="40% - Accent4 3 2 4 3 3" xfId="22700"/>
    <cellStyle name="40% - Accent4 3 2 4 3 4" xfId="31140"/>
    <cellStyle name="40% - Accent4 3 2 4 4" xfId="10041"/>
    <cellStyle name="40% - Accent4 3 2 4 5" xfId="18483"/>
    <cellStyle name="40% - Accent4 3 2 4 6" xfId="26923"/>
    <cellStyle name="40% - Accent4 3 2 5" xfId="1929"/>
    <cellStyle name="40% - Accent4 3 2 5 2" xfId="4158"/>
    <cellStyle name="40% - Accent4 3 2 5 2 2" xfId="8381"/>
    <cellStyle name="40% - Accent4 3 2 5 2 2 2" xfId="16817"/>
    <cellStyle name="40% - Accent4 3 2 5 2 2 3" xfId="25258"/>
    <cellStyle name="40% - Accent4 3 2 5 2 2 4" xfId="33698"/>
    <cellStyle name="40% - Accent4 3 2 5 2 3" xfId="12599"/>
    <cellStyle name="40% - Accent4 3 2 5 2 4" xfId="21041"/>
    <cellStyle name="40% - Accent4 3 2 5 2 5" xfId="29481"/>
    <cellStyle name="40% - Accent4 3 2 5 3" xfId="6236"/>
    <cellStyle name="40% - Accent4 3 2 5 3 2" xfId="14672"/>
    <cellStyle name="40% - Accent4 3 2 5 3 3" xfId="23113"/>
    <cellStyle name="40% - Accent4 3 2 5 3 4" xfId="31553"/>
    <cellStyle name="40% - Accent4 3 2 5 4" xfId="10454"/>
    <cellStyle name="40% - Accent4 3 2 5 5" xfId="18896"/>
    <cellStyle name="40% - Accent4 3 2 5 6" xfId="27336"/>
    <cellStyle name="40% - Accent4 3 2 6" xfId="2342"/>
    <cellStyle name="40% - Accent4 3 2 6 2" xfId="6649"/>
    <cellStyle name="40% - Accent4 3 2 6 2 2" xfId="15085"/>
    <cellStyle name="40% - Accent4 3 2 6 2 3" xfId="23526"/>
    <cellStyle name="40% - Accent4 3 2 6 2 4" xfId="31966"/>
    <cellStyle name="40% - Accent4 3 2 6 3" xfId="10867"/>
    <cellStyle name="40% - Accent4 3 2 6 4" xfId="19309"/>
    <cellStyle name="40% - Accent4 3 2 6 5" xfId="27749"/>
    <cellStyle name="40% - Accent4 3 2 7" xfId="4583"/>
    <cellStyle name="40% - Accent4 3 2 7 2" xfId="13019"/>
    <cellStyle name="40% - Accent4 3 2 7 3" xfId="21460"/>
    <cellStyle name="40% - Accent4 3 2 7 4" xfId="29900"/>
    <cellStyle name="40% - Accent4 3 2 8" xfId="8801"/>
    <cellStyle name="40% - Accent4 3 2 9" xfId="17243"/>
    <cellStyle name="40% - Accent4 3 3" xfId="647"/>
    <cellStyle name="40% - Accent4 3 3 2" xfId="2918"/>
    <cellStyle name="40% - Accent4 3 3 2 2" xfId="7141"/>
    <cellStyle name="40% - Accent4 3 3 2 2 2" xfId="15577"/>
    <cellStyle name="40% - Accent4 3 3 2 2 3" xfId="24018"/>
    <cellStyle name="40% - Accent4 3 3 2 2 4" xfId="32458"/>
    <cellStyle name="40% - Accent4 3 3 2 3" xfId="11359"/>
    <cellStyle name="40% - Accent4 3 3 2 4" xfId="19801"/>
    <cellStyle name="40% - Accent4 3 3 2 5" xfId="28241"/>
    <cellStyle name="40% - Accent4 3 3 3" xfId="4996"/>
    <cellStyle name="40% - Accent4 3 3 3 2" xfId="13432"/>
    <cellStyle name="40% - Accent4 3 3 3 3" xfId="21873"/>
    <cellStyle name="40% - Accent4 3 3 3 4" xfId="30313"/>
    <cellStyle name="40% - Accent4 3 3 4" xfId="9214"/>
    <cellStyle name="40% - Accent4 3 3 5" xfId="17656"/>
    <cellStyle name="40% - Accent4 3 3 6" xfId="26096"/>
    <cellStyle name="40% - Accent4 3 4" xfId="1100"/>
    <cellStyle name="40% - Accent4 3 4 2" xfId="3331"/>
    <cellStyle name="40% - Accent4 3 4 2 2" xfId="7554"/>
    <cellStyle name="40% - Accent4 3 4 2 2 2" xfId="15990"/>
    <cellStyle name="40% - Accent4 3 4 2 2 3" xfId="24431"/>
    <cellStyle name="40% - Accent4 3 4 2 2 4" xfId="32871"/>
    <cellStyle name="40% - Accent4 3 4 2 3" xfId="11772"/>
    <cellStyle name="40% - Accent4 3 4 2 4" xfId="20214"/>
    <cellStyle name="40% - Accent4 3 4 2 5" xfId="28654"/>
    <cellStyle name="40% - Accent4 3 4 3" xfId="5409"/>
    <cellStyle name="40% - Accent4 3 4 3 2" xfId="13845"/>
    <cellStyle name="40% - Accent4 3 4 3 3" xfId="22286"/>
    <cellStyle name="40% - Accent4 3 4 3 4" xfId="30726"/>
    <cellStyle name="40% - Accent4 3 4 4" xfId="9627"/>
    <cellStyle name="40% - Accent4 3 4 5" xfId="18069"/>
    <cellStyle name="40% - Accent4 3 4 6" xfId="26509"/>
    <cellStyle name="40% - Accent4 3 5" xfId="1514"/>
    <cellStyle name="40% - Accent4 3 5 2" xfId="3744"/>
    <cellStyle name="40% - Accent4 3 5 2 2" xfId="7967"/>
    <cellStyle name="40% - Accent4 3 5 2 2 2" xfId="16403"/>
    <cellStyle name="40% - Accent4 3 5 2 2 3" xfId="24844"/>
    <cellStyle name="40% - Accent4 3 5 2 2 4" xfId="33284"/>
    <cellStyle name="40% - Accent4 3 5 2 3" xfId="12185"/>
    <cellStyle name="40% - Accent4 3 5 2 4" xfId="20627"/>
    <cellStyle name="40% - Accent4 3 5 2 5" xfId="29067"/>
    <cellStyle name="40% - Accent4 3 5 3" xfId="5822"/>
    <cellStyle name="40% - Accent4 3 5 3 2" xfId="14258"/>
    <cellStyle name="40% - Accent4 3 5 3 3" xfId="22699"/>
    <cellStyle name="40% - Accent4 3 5 3 4" xfId="31139"/>
    <cellStyle name="40% - Accent4 3 5 4" xfId="10040"/>
    <cellStyle name="40% - Accent4 3 5 5" xfId="18482"/>
    <cellStyle name="40% - Accent4 3 5 6" xfId="26922"/>
    <cellStyle name="40% - Accent4 3 6" xfId="1928"/>
    <cellStyle name="40% - Accent4 3 6 2" xfId="4157"/>
    <cellStyle name="40% - Accent4 3 6 2 2" xfId="8380"/>
    <cellStyle name="40% - Accent4 3 6 2 2 2" xfId="16816"/>
    <cellStyle name="40% - Accent4 3 6 2 2 3" xfId="25257"/>
    <cellStyle name="40% - Accent4 3 6 2 2 4" xfId="33697"/>
    <cellStyle name="40% - Accent4 3 6 2 3" xfId="12598"/>
    <cellStyle name="40% - Accent4 3 6 2 4" xfId="21040"/>
    <cellStyle name="40% - Accent4 3 6 2 5" xfId="29480"/>
    <cellStyle name="40% - Accent4 3 6 3" xfId="6235"/>
    <cellStyle name="40% - Accent4 3 6 3 2" xfId="14671"/>
    <cellStyle name="40% - Accent4 3 6 3 3" xfId="23112"/>
    <cellStyle name="40% - Accent4 3 6 3 4" xfId="31552"/>
    <cellStyle name="40% - Accent4 3 6 4" xfId="10453"/>
    <cellStyle name="40% - Accent4 3 6 5" xfId="18895"/>
    <cellStyle name="40% - Accent4 3 6 6" xfId="27335"/>
    <cellStyle name="40% - Accent4 3 7" xfId="2341"/>
    <cellStyle name="40% - Accent4 3 7 2" xfId="6648"/>
    <cellStyle name="40% - Accent4 3 7 2 2" xfId="15084"/>
    <cellStyle name="40% - Accent4 3 7 2 3" xfId="23525"/>
    <cellStyle name="40% - Accent4 3 7 2 4" xfId="31965"/>
    <cellStyle name="40% - Accent4 3 7 3" xfId="10866"/>
    <cellStyle name="40% - Accent4 3 7 4" xfId="19308"/>
    <cellStyle name="40% - Accent4 3 7 5" xfId="27748"/>
    <cellStyle name="40% - Accent4 3 8" xfId="4582"/>
    <cellStyle name="40% - Accent4 3 8 2" xfId="13018"/>
    <cellStyle name="40% - Accent4 3 8 3" xfId="21459"/>
    <cellStyle name="40% - Accent4 3 8 4" xfId="29899"/>
    <cellStyle name="40% - Accent4 3 9" xfId="8800"/>
    <cellStyle name="40% - Accent4 4" xfId="80"/>
    <cellStyle name="40% - Accent4 4 10" xfId="25684"/>
    <cellStyle name="40% - Accent4 4 2" xfId="649"/>
    <cellStyle name="40% - Accent4 4 2 2" xfId="2920"/>
    <cellStyle name="40% - Accent4 4 2 2 2" xfId="7143"/>
    <cellStyle name="40% - Accent4 4 2 2 2 2" xfId="15579"/>
    <cellStyle name="40% - Accent4 4 2 2 2 3" xfId="24020"/>
    <cellStyle name="40% - Accent4 4 2 2 2 4" xfId="32460"/>
    <cellStyle name="40% - Accent4 4 2 2 3" xfId="11361"/>
    <cellStyle name="40% - Accent4 4 2 2 4" xfId="19803"/>
    <cellStyle name="40% - Accent4 4 2 2 5" xfId="28243"/>
    <cellStyle name="40% - Accent4 4 2 3" xfId="4998"/>
    <cellStyle name="40% - Accent4 4 2 3 2" xfId="13434"/>
    <cellStyle name="40% - Accent4 4 2 3 3" xfId="21875"/>
    <cellStyle name="40% - Accent4 4 2 3 4" xfId="30315"/>
    <cellStyle name="40% - Accent4 4 2 4" xfId="9216"/>
    <cellStyle name="40% - Accent4 4 2 5" xfId="17658"/>
    <cellStyle name="40% - Accent4 4 2 6" xfId="26098"/>
    <cellStyle name="40% - Accent4 4 3" xfId="1102"/>
    <cellStyle name="40% - Accent4 4 3 2" xfId="3333"/>
    <cellStyle name="40% - Accent4 4 3 2 2" xfId="7556"/>
    <cellStyle name="40% - Accent4 4 3 2 2 2" xfId="15992"/>
    <cellStyle name="40% - Accent4 4 3 2 2 3" xfId="24433"/>
    <cellStyle name="40% - Accent4 4 3 2 2 4" xfId="32873"/>
    <cellStyle name="40% - Accent4 4 3 2 3" xfId="11774"/>
    <cellStyle name="40% - Accent4 4 3 2 4" xfId="20216"/>
    <cellStyle name="40% - Accent4 4 3 2 5" xfId="28656"/>
    <cellStyle name="40% - Accent4 4 3 3" xfId="5411"/>
    <cellStyle name="40% - Accent4 4 3 3 2" xfId="13847"/>
    <cellStyle name="40% - Accent4 4 3 3 3" xfId="22288"/>
    <cellStyle name="40% - Accent4 4 3 3 4" xfId="30728"/>
    <cellStyle name="40% - Accent4 4 3 4" xfId="9629"/>
    <cellStyle name="40% - Accent4 4 3 5" xfId="18071"/>
    <cellStyle name="40% - Accent4 4 3 6" xfId="26511"/>
    <cellStyle name="40% - Accent4 4 4" xfId="1516"/>
    <cellStyle name="40% - Accent4 4 4 2" xfId="3746"/>
    <cellStyle name="40% - Accent4 4 4 2 2" xfId="7969"/>
    <cellStyle name="40% - Accent4 4 4 2 2 2" xfId="16405"/>
    <cellStyle name="40% - Accent4 4 4 2 2 3" xfId="24846"/>
    <cellStyle name="40% - Accent4 4 4 2 2 4" xfId="33286"/>
    <cellStyle name="40% - Accent4 4 4 2 3" xfId="12187"/>
    <cellStyle name="40% - Accent4 4 4 2 4" xfId="20629"/>
    <cellStyle name="40% - Accent4 4 4 2 5" xfId="29069"/>
    <cellStyle name="40% - Accent4 4 4 3" xfId="5824"/>
    <cellStyle name="40% - Accent4 4 4 3 2" xfId="14260"/>
    <cellStyle name="40% - Accent4 4 4 3 3" xfId="22701"/>
    <cellStyle name="40% - Accent4 4 4 3 4" xfId="31141"/>
    <cellStyle name="40% - Accent4 4 4 4" xfId="10042"/>
    <cellStyle name="40% - Accent4 4 4 5" xfId="18484"/>
    <cellStyle name="40% - Accent4 4 4 6" xfId="26924"/>
    <cellStyle name="40% - Accent4 4 5" xfId="1930"/>
    <cellStyle name="40% - Accent4 4 5 2" xfId="4159"/>
    <cellStyle name="40% - Accent4 4 5 2 2" xfId="8382"/>
    <cellStyle name="40% - Accent4 4 5 2 2 2" xfId="16818"/>
    <cellStyle name="40% - Accent4 4 5 2 2 3" xfId="25259"/>
    <cellStyle name="40% - Accent4 4 5 2 2 4" xfId="33699"/>
    <cellStyle name="40% - Accent4 4 5 2 3" xfId="12600"/>
    <cellStyle name="40% - Accent4 4 5 2 4" xfId="21042"/>
    <cellStyle name="40% - Accent4 4 5 2 5" xfId="29482"/>
    <cellStyle name="40% - Accent4 4 5 3" xfId="6237"/>
    <cellStyle name="40% - Accent4 4 5 3 2" xfId="14673"/>
    <cellStyle name="40% - Accent4 4 5 3 3" xfId="23114"/>
    <cellStyle name="40% - Accent4 4 5 3 4" xfId="31554"/>
    <cellStyle name="40% - Accent4 4 5 4" xfId="10455"/>
    <cellStyle name="40% - Accent4 4 5 5" xfId="18897"/>
    <cellStyle name="40% - Accent4 4 5 6" xfId="27337"/>
    <cellStyle name="40% - Accent4 4 6" xfId="2343"/>
    <cellStyle name="40% - Accent4 4 6 2" xfId="6650"/>
    <cellStyle name="40% - Accent4 4 6 2 2" xfId="15086"/>
    <cellStyle name="40% - Accent4 4 6 2 3" xfId="23527"/>
    <cellStyle name="40% - Accent4 4 6 2 4" xfId="31967"/>
    <cellStyle name="40% - Accent4 4 6 3" xfId="10868"/>
    <cellStyle name="40% - Accent4 4 6 4" xfId="19310"/>
    <cellStyle name="40% - Accent4 4 6 5" xfId="27750"/>
    <cellStyle name="40% - Accent4 4 7" xfId="4584"/>
    <cellStyle name="40% - Accent4 4 7 2" xfId="13020"/>
    <cellStyle name="40% - Accent4 4 7 3" xfId="21461"/>
    <cellStyle name="40% - Accent4 4 7 4" xfId="29901"/>
    <cellStyle name="40% - Accent4 4 8" xfId="8802"/>
    <cellStyle name="40% - Accent4 4 9" xfId="17244"/>
    <cellStyle name="40% - Accent4 5" xfId="642"/>
    <cellStyle name="40% - Accent4 5 2" xfId="2913"/>
    <cellStyle name="40% - Accent4 5 2 2" xfId="7136"/>
    <cellStyle name="40% - Accent4 5 2 2 2" xfId="15572"/>
    <cellStyle name="40% - Accent4 5 2 2 3" xfId="24013"/>
    <cellStyle name="40% - Accent4 5 2 2 4" xfId="32453"/>
    <cellStyle name="40% - Accent4 5 2 3" xfId="11354"/>
    <cellStyle name="40% - Accent4 5 2 4" xfId="19796"/>
    <cellStyle name="40% - Accent4 5 2 5" xfId="28236"/>
    <cellStyle name="40% - Accent4 5 3" xfId="4991"/>
    <cellStyle name="40% - Accent4 5 3 2" xfId="13427"/>
    <cellStyle name="40% - Accent4 5 3 3" xfId="21868"/>
    <cellStyle name="40% - Accent4 5 3 4" xfId="30308"/>
    <cellStyle name="40% - Accent4 5 4" xfId="9209"/>
    <cellStyle name="40% - Accent4 5 5" xfId="17651"/>
    <cellStyle name="40% - Accent4 5 6" xfId="26091"/>
    <cellStyle name="40% - Accent4 6" xfId="1095"/>
    <cellStyle name="40% - Accent4 6 2" xfId="3326"/>
    <cellStyle name="40% - Accent4 6 2 2" xfId="7549"/>
    <cellStyle name="40% - Accent4 6 2 2 2" xfId="15985"/>
    <cellStyle name="40% - Accent4 6 2 2 3" xfId="24426"/>
    <cellStyle name="40% - Accent4 6 2 2 4" xfId="32866"/>
    <cellStyle name="40% - Accent4 6 2 3" xfId="11767"/>
    <cellStyle name="40% - Accent4 6 2 4" xfId="20209"/>
    <cellStyle name="40% - Accent4 6 2 5" xfId="28649"/>
    <cellStyle name="40% - Accent4 6 3" xfId="5404"/>
    <cellStyle name="40% - Accent4 6 3 2" xfId="13840"/>
    <cellStyle name="40% - Accent4 6 3 3" xfId="22281"/>
    <cellStyle name="40% - Accent4 6 3 4" xfId="30721"/>
    <cellStyle name="40% - Accent4 6 4" xfId="9622"/>
    <cellStyle name="40% - Accent4 6 5" xfId="18064"/>
    <cellStyle name="40% - Accent4 6 6" xfId="26504"/>
    <cellStyle name="40% - Accent4 7" xfId="1509"/>
    <cellStyle name="40% - Accent4 7 2" xfId="3739"/>
    <cellStyle name="40% - Accent4 7 2 2" xfId="7962"/>
    <cellStyle name="40% - Accent4 7 2 2 2" xfId="16398"/>
    <cellStyle name="40% - Accent4 7 2 2 3" xfId="24839"/>
    <cellStyle name="40% - Accent4 7 2 2 4" xfId="33279"/>
    <cellStyle name="40% - Accent4 7 2 3" xfId="12180"/>
    <cellStyle name="40% - Accent4 7 2 4" xfId="20622"/>
    <cellStyle name="40% - Accent4 7 2 5" xfId="29062"/>
    <cellStyle name="40% - Accent4 7 3" xfId="5817"/>
    <cellStyle name="40% - Accent4 7 3 2" xfId="14253"/>
    <cellStyle name="40% - Accent4 7 3 3" xfId="22694"/>
    <cellStyle name="40% - Accent4 7 3 4" xfId="31134"/>
    <cellStyle name="40% - Accent4 7 4" xfId="10035"/>
    <cellStyle name="40% - Accent4 7 5" xfId="18477"/>
    <cellStyle name="40% - Accent4 7 6" xfId="26917"/>
    <cellStyle name="40% - Accent4 8" xfId="1923"/>
    <cellStyle name="40% - Accent4 8 2" xfId="4152"/>
    <cellStyle name="40% - Accent4 8 2 2" xfId="8375"/>
    <cellStyle name="40% - Accent4 8 2 2 2" xfId="16811"/>
    <cellStyle name="40% - Accent4 8 2 2 3" xfId="25252"/>
    <cellStyle name="40% - Accent4 8 2 2 4" xfId="33692"/>
    <cellStyle name="40% - Accent4 8 2 3" xfId="12593"/>
    <cellStyle name="40% - Accent4 8 2 4" xfId="21035"/>
    <cellStyle name="40% - Accent4 8 2 5" xfId="29475"/>
    <cellStyle name="40% - Accent4 8 3" xfId="6230"/>
    <cellStyle name="40% - Accent4 8 3 2" xfId="14666"/>
    <cellStyle name="40% - Accent4 8 3 3" xfId="23107"/>
    <cellStyle name="40% - Accent4 8 3 4" xfId="31547"/>
    <cellStyle name="40% - Accent4 8 4" xfId="10448"/>
    <cellStyle name="40% - Accent4 8 5" xfId="18890"/>
    <cellStyle name="40% - Accent4 8 6" xfId="27330"/>
    <cellStyle name="40% - Accent4 9" xfId="2336"/>
    <cellStyle name="40% - Accent4 9 2" xfId="6643"/>
    <cellStyle name="40% - Accent4 9 2 2" xfId="15079"/>
    <cellStyle name="40% - Accent4 9 2 3" xfId="23520"/>
    <cellStyle name="40% - Accent4 9 2 4" xfId="31960"/>
    <cellStyle name="40% - Accent4 9 3" xfId="10861"/>
    <cellStyle name="40% - Accent4 9 4" xfId="19303"/>
    <cellStyle name="40% - Accent4 9 5" xfId="27743"/>
    <cellStyle name="40% - Accent5" xfId="81" builtinId="47" customBuiltin="1"/>
    <cellStyle name="40% - Accent5 10" xfId="4585"/>
    <cellStyle name="40% - Accent5 10 2" xfId="13021"/>
    <cellStyle name="40% - Accent5 10 3" xfId="21462"/>
    <cellStyle name="40% - Accent5 10 4" xfId="29902"/>
    <cellStyle name="40% - Accent5 11" xfId="8803"/>
    <cellStyle name="40% - Accent5 12" xfId="17245"/>
    <cellStyle name="40% - Accent5 13" xfId="25685"/>
    <cellStyle name="40% - Accent5 2" xfId="82"/>
    <cellStyle name="40% - Accent5 2 10" xfId="8804"/>
    <cellStyle name="40% - Accent5 2 11" xfId="17246"/>
    <cellStyle name="40% - Accent5 2 12" xfId="25686"/>
    <cellStyle name="40% - Accent5 2 2" xfId="83"/>
    <cellStyle name="40% - Accent5 2 2 10" xfId="17247"/>
    <cellStyle name="40% - Accent5 2 2 11" xfId="25687"/>
    <cellStyle name="40% - Accent5 2 2 2" xfId="84"/>
    <cellStyle name="40% - Accent5 2 2 2 10" xfId="25688"/>
    <cellStyle name="40% - Accent5 2 2 2 2" xfId="653"/>
    <cellStyle name="40% - Accent5 2 2 2 2 2" xfId="2924"/>
    <cellStyle name="40% - Accent5 2 2 2 2 2 2" xfId="7147"/>
    <cellStyle name="40% - Accent5 2 2 2 2 2 2 2" xfId="15583"/>
    <cellStyle name="40% - Accent5 2 2 2 2 2 2 3" xfId="24024"/>
    <cellStyle name="40% - Accent5 2 2 2 2 2 2 4" xfId="32464"/>
    <cellStyle name="40% - Accent5 2 2 2 2 2 3" xfId="11365"/>
    <cellStyle name="40% - Accent5 2 2 2 2 2 4" xfId="19807"/>
    <cellStyle name="40% - Accent5 2 2 2 2 2 5" xfId="28247"/>
    <cellStyle name="40% - Accent5 2 2 2 2 3" xfId="5002"/>
    <cellStyle name="40% - Accent5 2 2 2 2 3 2" xfId="13438"/>
    <cellStyle name="40% - Accent5 2 2 2 2 3 3" xfId="21879"/>
    <cellStyle name="40% - Accent5 2 2 2 2 3 4" xfId="30319"/>
    <cellStyle name="40% - Accent5 2 2 2 2 4" xfId="9220"/>
    <cellStyle name="40% - Accent5 2 2 2 2 5" xfId="17662"/>
    <cellStyle name="40% - Accent5 2 2 2 2 6" xfId="26102"/>
    <cellStyle name="40% - Accent5 2 2 2 3" xfId="1106"/>
    <cellStyle name="40% - Accent5 2 2 2 3 2" xfId="3337"/>
    <cellStyle name="40% - Accent5 2 2 2 3 2 2" xfId="7560"/>
    <cellStyle name="40% - Accent5 2 2 2 3 2 2 2" xfId="15996"/>
    <cellStyle name="40% - Accent5 2 2 2 3 2 2 3" xfId="24437"/>
    <cellStyle name="40% - Accent5 2 2 2 3 2 2 4" xfId="32877"/>
    <cellStyle name="40% - Accent5 2 2 2 3 2 3" xfId="11778"/>
    <cellStyle name="40% - Accent5 2 2 2 3 2 4" xfId="20220"/>
    <cellStyle name="40% - Accent5 2 2 2 3 2 5" xfId="28660"/>
    <cellStyle name="40% - Accent5 2 2 2 3 3" xfId="5415"/>
    <cellStyle name="40% - Accent5 2 2 2 3 3 2" xfId="13851"/>
    <cellStyle name="40% - Accent5 2 2 2 3 3 3" xfId="22292"/>
    <cellStyle name="40% - Accent5 2 2 2 3 3 4" xfId="30732"/>
    <cellStyle name="40% - Accent5 2 2 2 3 4" xfId="9633"/>
    <cellStyle name="40% - Accent5 2 2 2 3 5" xfId="18075"/>
    <cellStyle name="40% - Accent5 2 2 2 3 6" xfId="26515"/>
    <cellStyle name="40% - Accent5 2 2 2 4" xfId="1520"/>
    <cellStyle name="40% - Accent5 2 2 2 4 2" xfId="3750"/>
    <cellStyle name="40% - Accent5 2 2 2 4 2 2" xfId="7973"/>
    <cellStyle name="40% - Accent5 2 2 2 4 2 2 2" xfId="16409"/>
    <cellStyle name="40% - Accent5 2 2 2 4 2 2 3" xfId="24850"/>
    <cellStyle name="40% - Accent5 2 2 2 4 2 2 4" xfId="33290"/>
    <cellStyle name="40% - Accent5 2 2 2 4 2 3" xfId="12191"/>
    <cellStyle name="40% - Accent5 2 2 2 4 2 4" xfId="20633"/>
    <cellStyle name="40% - Accent5 2 2 2 4 2 5" xfId="29073"/>
    <cellStyle name="40% - Accent5 2 2 2 4 3" xfId="5828"/>
    <cellStyle name="40% - Accent5 2 2 2 4 3 2" xfId="14264"/>
    <cellStyle name="40% - Accent5 2 2 2 4 3 3" xfId="22705"/>
    <cellStyle name="40% - Accent5 2 2 2 4 3 4" xfId="31145"/>
    <cellStyle name="40% - Accent5 2 2 2 4 4" xfId="10046"/>
    <cellStyle name="40% - Accent5 2 2 2 4 5" xfId="18488"/>
    <cellStyle name="40% - Accent5 2 2 2 4 6" xfId="26928"/>
    <cellStyle name="40% - Accent5 2 2 2 5" xfId="1934"/>
    <cellStyle name="40% - Accent5 2 2 2 5 2" xfId="4163"/>
    <cellStyle name="40% - Accent5 2 2 2 5 2 2" xfId="8386"/>
    <cellStyle name="40% - Accent5 2 2 2 5 2 2 2" xfId="16822"/>
    <cellStyle name="40% - Accent5 2 2 2 5 2 2 3" xfId="25263"/>
    <cellStyle name="40% - Accent5 2 2 2 5 2 2 4" xfId="33703"/>
    <cellStyle name="40% - Accent5 2 2 2 5 2 3" xfId="12604"/>
    <cellStyle name="40% - Accent5 2 2 2 5 2 4" xfId="21046"/>
    <cellStyle name="40% - Accent5 2 2 2 5 2 5" xfId="29486"/>
    <cellStyle name="40% - Accent5 2 2 2 5 3" xfId="6241"/>
    <cellStyle name="40% - Accent5 2 2 2 5 3 2" xfId="14677"/>
    <cellStyle name="40% - Accent5 2 2 2 5 3 3" xfId="23118"/>
    <cellStyle name="40% - Accent5 2 2 2 5 3 4" xfId="31558"/>
    <cellStyle name="40% - Accent5 2 2 2 5 4" xfId="10459"/>
    <cellStyle name="40% - Accent5 2 2 2 5 5" xfId="18901"/>
    <cellStyle name="40% - Accent5 2 2 2 5 6" xfId="27341"/>
    <cellStyle name="40% - Accent5 2 2 2 6" xfId="2347"/>
    <cellStyle name="40% - Accent5 2 2 2 6 2" xfId="6654"/>
    <cellStyle name="40% - Accent5 2 2 2 6 2 2" xfId="15090"/>
    <cellStyle name="40% - Accent5 2 2 2 6 2 3" xfId="23531"/>
    <cellStyle name="40% - Accent5 2 2 2 6 2 4" xfId="31971"/>
    <cellStyle name="40% - Accent5 2 2 2 6 3" xfId="10872"/>
    <cellStyle name="40% - Accent5 2 2 2 6 4" xfId="19314"/>
    <cellStyle name="40% - Accent5 2 2 2 6 5" xfId="27754"/>
    <cellStyle name="40% - Accent5 2 2 2 7" xfId="4588"/>
    <cellStyle name="40% - Accent5 2 2 2 7 2" xfId="13024"/>
    <cellStyle name="40% - Accent5 2 2 2 7 3" xfId="21465"/>
    <cellStyle name="40% - Accent5 2 2 2 7 4" xfId="29905"/>
    <cellStyle name="40% - Accent5 2 2 2 8" xfId="8806"/>
    <cellStyle name="40% - Accent5 2 2 2 9" xfId="17248"/>
    <cellStyle name="40% - Accent5 2 2 3" xfId="652"/>
    <cellStyle name="40% - Accent5 2 2 3 2" xfId="2923"/>
    <cellStyle name="40% - Accent5 2 2 3 2 2" xfId="7146"/>
    <cellStyle name="40% - Accent5 2 2 3 2 2 2" xfId="15582"/>
    <cellStyle name="40% - Accent5 2 2 3 2 2 3" xfId="24023"/>
    <cellStyle name="40% - Accent5 2 2 3 2 2 4" xfId="32463"/>
    <cellStyle name="40% - Accent5 2 2 3 2 3" xfId="11364"/>
    <cellStyle name="40% - Accent5 2 2 3 2 4" xfId="19806"/>
    <cellStyle name="40% - Accent5 2 2 3 2 5" xfId="28246"/>
    <cellStyle name="40% - Accent5 2 2 3 3" xfId="5001"/>
    <cellStyle name="40% - Accent5 2 2 3 3 2" xfId="13437"/>
    <cellStyle name="40% - Accent5 2 2 3 3 3" xfId="21878"/>
    <cellStyle name="40% - Accent5 2 2 3 3 4" xfId="30318"/>
    <cellStyle name="40% - Accent5 2 2 3 4" xfId="9219"/>
    <cellStyle name="40% - Accent5 2 2 3 5" xfId="17661"/>
    <cellStyle name="40% - Accent5 2 2 3 6" xfId="26101"/>
    <cellStyle name="40% - Accent5 2 2 4" xfId="1105"/>
    <cellStyle name="40% - Accent5 2 2 4 2" xfId="3336"/>
    <cellStyle name="40% - Accent5 2 2 4 2 2" xfId="7559"/>
    <cellStyle name="40% - Accent5 2 2 4 2 2 2" xfId="15995"/>
    <cellStyle name="40% - Accent5 2 2 4 2 2 3" xfId="24436"/>
    <cellStyle name="40% - Accent5 2 2 4 2 2 4" xfId="32876"/>
    <cellStyle name="40% - Accent5 2 2 4 2 3" xfId="11777"/>
    <cellStyle name="40% - Accent5 2 2 4 2 4" xfId="20219"/>
    <cellStyle name="40% - Accent5 2 2 4 2 5" xfId="28659"/>
    <cellStyle name="40% - Accent5 2 2 4 3" xfId="5414"/>
    <cellStyle name="40% - Accent5 2 2 4 3 2" xfId="13850"/>
    <cellStyle name="40% - Accent5 2 2 4 3 3" xfId="22291"/>
    <cellStyle name="40% - Accent5 2 2 4 3 4" xfId="30731"/>
    <cellStyle name="40% - Accent5 2 2 4 4" xfId="9632"/>
    <cellStyle name="40% - Accent5 2 2 4 5" xfId="18074"/>
    <cellStyle name="40% - Accent5 2 2 4 6" xfId="26514"/>
    <cellStyle name="40% - Accent5 2 2 5" xfId="1519"/>
    <cellStyle name="40% - Accent5 2 2 5 2" xfId="3749"/>
    <cellStyle name="40% - Accent5 2 2 5 2 2" xfId="7972"/>
    <cellStyle name="40% - Accent5 2 2 5 2 2 2" xfId="16408"/>
    <cellStyle name="40% - Accent5 2 2 5 2 2 3" xfId="24849"/>
    <cellStyle name="40% - Accent5 2 2 5 2 2 4" xfId="33289"/>
    <cellStyle name="40% - Accent5 2 2 5 2 3" xfId="12190"/>
    <cellStyle name="40% - Accent5 2 2 5 2 4" xfId="20632"/>
    <cellStyle name="40% - Accent5 2 2 5 2 5" xfId="29072"/>
    <cellStyle name="40% - Accent5 2 2 5 3" xfId="5827"/>
    <cellStyle name="40% - Accent5 2 2 5 3 2" xfId="14263"/>
    <cellStyle name="40% - Accent5 2 2 5 3 3" xfId="22704"/>
    <cellStyle name="40% - Accent5 2 2 5 3 4" xfId="31144"/>
    <cellStyle name="40% - Accent5 2 2 5 4" xfId="10045"/>
    <cellStyle name="40% - Accent5 2 2 5 5" xfId="18487"/>
    <cellStyle name="40% - Accent5 2 2 5 6" xfId="26927"/>
    <cellStyle name="40% - Accent5 2 2 6" xfId="1933"/>
    <cellStyle name="40% - Accent5 2 2 6 2" xfId="4162"/>
    <cellStyle name="40% - Accent5 2 2 6 2 2" xfId="8385"/>
    <cellStyle name="40% - Accent5 2 2 6 2 2 2" xfId="16821"/>
    <cellStyle name="40% - Accent5 2 2 6 2 2 3" xfId="25262"/>
    <cellStyle name="40% - Accent5 2 2 6 2 2 4" xfId="33702"/>
    <cellStyle name="40% - Accent5 2 2 6 2 3" xfId="12603"/>
    <cellStyle name="40% - Accent5 2 2 6 2 4" xfId="21045"/>
    <cellStyle name="40% - Accent5 2 2 6 2 5" xfId="29485"/>
    <cellStyle name="40% - Accent5 2 2 6 3" xfId="6240"/>
    <cellStyle name="40% - Accent5 2 2 6 3 2" xfId="14676"/>
    <cellStyle name="40% - Accent5 2 2 6 3 3" xfId="23117"/>
    <cellStyle name="40% - Accent5 2 2 6 3 4" xfId="31557"/>
    <cellStyle name="40% - Accent5 2 2 6 4" xfId="10458"/>
    <cellStyle name="40% - Accent5 2 2 6 5" xfId="18900"/>
    <cellStyle name="40% - Accent5 2 2 6 6" xfId="27340"/>
    <cellStyle name="40% - Accent5 2 2 7" xfId="2346"/>
    <cellStyle name="40% - Accent5 2 2 7 2" xfId="6653"/>
    <cellStyle name="40% - Accent5 2 2 7 2 2" xfId="15089"/>
    <cellStyle name="40% - Accent5 2 2 7 2 3" xfId="23530"/>
    <cellStyle name="40% - Accent5 2 2 7 2 4" xfId="31970"/>
    <cellStyle name="40% - Accent5 2 2 7 3" xfId="10871"/>
    <cellStyle name="40% - Accent5 2 2 7 4" xfId="19313"/>
    <cellStyle name="40% - Accent5 2 2 7 5" xfId="27753"/>
    <cellStyle name="40% - Accent5 2 2 8" xfId="4587"/>
    <cellStyle name="40% - Accent5 2 2 8 2" xfId="13023"/>
    <cellStyle name="40% - Accent5 2 2 8 3" xfId="21464"/>
    <cellStyle name="40% - Accent5 2 2 8 4" xfId="29904"/>
    <cellStyle name="40% - Accent5 2 2 9" xfId="8805"/>
    <cellStyle name="40% - Accent5 2 3" xfId="85"/>
    <cellStyle name="40% - Accent5 2 3 10" xfId="25689"/>
    <cellStyle name="40% - Accent5 2 3 2" xfId="654"/>
    <cellStyle name="40% - Accent5 2 3 2 2" xfId="2925"/>
    <cellStyle name="40% - Accent5 2 3 2 2 2" xfId="7148"/>
    <cellStyle name="40% - Accent5 2 3 2 2 2 2" xfId="15584"/>
    <cellStyle name="40% - Accent5 2 3 2 2 2 3" xfId="24025"/>
    <cellStyle name="40% - Accent5 2 3 2 2 2 4" xfId="32465"/>
    <cellStyle name="40% - Accent5 2 3 2 2 3" xfId="11366"/>
    <cellStyle name="40% - Accent5 2 3 2 2 4" xfId="19808"/>
    <cellStyle name="40% - Accent5 2 3 2 2 5" xfId="28248"/>
    <cellStyle name="40% - Accent5 2 3 2 3" xfId="5003"/>
    <cellStyle name="40% - Accent5 2 3 2 3 2" xfId="13439"/>
    <cellStyle name="40% - Accent5 2 3 2 3 3" xfId="21880"/>
    <cellStyle name="40% - Accent5 2 3 2 3 4" xfId="30320"/>
    <cellStyle name="40% - Accent5 2 3 2 4" xfId="9221"/>
    <cellStyle name="40% - Accent5 2 3 2 5" xfId="17663"/>
    <cellStyle name="40% - Accent5 2 3 2 6" xfId="26103"/>
    <cellStyle name="40% - Accent5 2 3 3" xfId="1107"/>
    <cellStyle name="40% - Accent5 2 3 3 2" xfId="3338"/>
    <cellStyle name="40% - Accent5 2 3 3 2 2" xfId="7561"/>
    <cellStyle name="40% - Accent5 2 3 3 2 2 2" xfId="15997"/>
    <cellStyle name="40% - Accent5 2 3 3 2 2 3" xfId="24438"/>
    <cellStyle name="40% - Accent5 2 3 3 2 2 4" xfId="32878"/>
    <cellStyle name="40% - Accent5 2 3 3 2 3" xfId="11779"/>
    <cellStyle name="40% - Accent5 2 3 3 2 4" xfId="20221"/>
    <cellStyle name="40% - Accent5 2 3 3 2 5" xfId="28661"/>
    <cellStyle name="40% - Accent5 2 3 3 3" xfId="5416"/>
    <cellStyle name="40% - Accent5 2 3 3 3 2" xfId="13852"/>
    <cellStyle name="40% - Accent5 2 3 3 3 3" xfId="22293"/>
    <cellStyle name="40% - Accent5 2 3 3 3 4" xfId="30733"/>
    <cellStyle name="40% - Accent5 2 3 3 4" xfId="9634"/>
    <cellStyle name="40% - Accent5 2 3 3 5" xfId="18076"/>
    <cellStyle name="40% - Accent5 2 3 3 6" xfId="26516"/>
    <cellStyle name="40% - Accent5 2 3 4" xfId="1521"/>
    <cellStyle name="40% - Accent5 2 3 4 2" xfId="3751"/>
    <cellStyle name="40% - Accent5 2 3 4 2 2" xfId="7974"/>
    <cellStyle name="40% - Accent5 2 3 4 2 2 2" xfId="16410"/>
    <cellStyle name="40% - Accent5 2 3 4 2 2 3" xfId="24851"/>
    <cellStyle name="40% - Accent5 2 3 4 2 2 4" xfId="33291"/>
    <cellStyle name="40% - Accent5 2 3 4 2 3" xfId="12192"/>
    <cellStyle name="40% - Accent5 2 3 4 2 4" xfId="20634"/>
    <cellStyle name="40% - Accent5 2 3 4 2 5" xfId="29074"/>
    <cellStyle name="40% - Accent5 2 3 4 3" xfId="5829"/>
    <cellStyle name="40% - Accent5 2 3 4 3 2" xfId="14265"/>
    <cellStyle name="40% - Accent5 2 3 4 3 3" xfId="22706"/>
    <cellStyle name="40% - Accent5 2 3 4 3 4" xfId="31146"/>
    <cellStyle name="40% - Accent5 2 3 4 4" xfId="10047"/>
    <cellStyle name="40% - Accent5 2 3 4 5" xfId="18489"/>
    <cellStyle name="40% - Accent5 2 3 4 6" xfId="26929"/>
    <cellStyle name="40% - Accent5 2 3 5" xfId="1935"/>
    <cellStyle name="40% - Accent5 2 3 5 2" xfId="4164"/>
    <cellStyle name="40% - Accent5 2 3 5 2 2" xfId="8387"/>
    <cellStyle name="40% - Accent5 2 3 5 2 2 2" xfId="16823"/>
    <cellStyle name="40% - Accent5 2 3 5 2 2 3" xfId="25264"/>
    <cellStyle name="40% - Accent5 2 3 5 2 2 4" xfId="33704"/>
    <cellStyle name="40% - Accent5 2 3 5 2 3" xfId="12605"/>
    <cellStyle name="40% - Accent5 2 3 5 2 4" xfId="21047"/>
    <cellStyle name="40% - Accent5 2 3 5 2 5" xfId="29487"/>
    <cellStyle name="40% - Accent5 2 3 5 3" xfId="6242"/>
    <cellStyle name="40% - Accent5 2 3 5 3 2" xfId="14678"/>
    <cellStyle name="40% - Accent5 2 3 5 3 3" xfId="23119"/>
    <cellStyle name="40% - Accent5 2 3 5 3 4" xfId="31559"/>
    <cellStyle name="40% - Accent5 2 3 5 4" xfId="10460"/>
    <cellStyle name="40% - Accent5 2 3 5 5" xfId="18902"/>
    <cellStyle name="40% - Accent5 2 3 5 6" xfId="27342"/>
    <cellStyle name="40% - Accent5 2 3 6" xfId="2348"/>
    <cellStyle name="40% - Accent5 2 3 6 2" xfId="6655"/>
    <cellStyle name="40% - Accent5 2 3 6 2 2" xfId="15091"/>
    <cellStyle name="40% - Accent5 2 3 6 2 3" xfId="23532"/>
    <cellStyle name="40% - Accent5 2 3 6 2 4" xfId="31972"/>
    <cellStyle name="40% - Accent5 2 3 6 3" xfId="10873"/>
    <cellStyle name="40% - Accent5 2 3 6 4" xfId="19315"/>
    <cellStyle name="40% - Accent5 2 3 6 5" xfId="27755"/>
    <cellStyle name="40% - Accent5 2 3 7" xfId="4589"/>
    <cellStyle name="40% - Accent5 2 3 7 2" xfId="13025"/>
    <cellStyle name="40% - Accent5 2 3 7 3" xfId="21466"/>
    <cellStyle name="40% - Accent5 2 3 7 4" xfId="29906"/>
    <cellStyle name="40% - Accent5 2 3 8" xfId="8807"/>
    <cellStyle name="40% - Accent5 2 3 9" xfId="17249"/>
    <cellStyle name="40% - Accent5 2 4" xfId="651"/>
    <cellStyle name="40% - Accent5 2 4 2" xfId="2922"/>
    <cellStyle name="40% - Accent5 2 4 2 2" xfId="7145"/>
    <cellStyle name="40% - Accent5 2 4 2 2 2" xfId="15581"/>
    <cellStyle name="40% - Accent5 2 4 2 2 3" xfId="24022"/>
    <cellStyle name="40% - Accent5 2 4 2 2 4" xfId="32462"/>
    <cellStyle name="40% - Accent5 2 4 2 3" xfId="11363"/>
    <cellStyle name="40% - Accent5 2 4 2 4" xfId="19805"/>
    <cellStyle name="40% - Accent5 2 4 2 5" xfId="28245"/>
    <cellStyle name="40% - Accent5 2 4 3" xfId="5000"/>
    <cellStyle name="40% - Accent5 2 4 3 2" xfId="13436"/>
    <cellStyle name="40% - Accent5 2 4 3 3" xfId="21877"/>
    <cellStyle name="40% - Accent5 2 4 3 4" xfId="30317"/>
    <cellStyle name="40% - Accent5 2 4 4" xfId="9218"/>
    <cellStyle name="40% - Accent5 2 4 5" xfId="17660"/>
    <cellStyle name="40% - Accent5 2 4 6" xfId="26100"/>
    <cellStyle name="40% - Accent5 2 5" xfId="1104"/>
    <cellStyle name="40% - Accent5 2 5 2" xfId="3335"/>
    <cellStyle name="40% - Accent5 2 5 2 2" xfId="7558"/>
    <cellStyle name="40% - Accent5 2 5 2 2 2" xfId="15994"/>
    <cellStyle name="40% - Accent5 2 5 2 2 3" xfId="24435"/>
    <cellStyle name="40% - Accent5 2 5 2 2 4" xfId="32875"/>
    <cellStyle name="40% - Accent5 2 5 2 3" xfId="11776"/>
    <cellStyle name="40% - Accent5 2 5 2 4" xfId="20218"/>
    <cellStyle name="40% - Accent5 2 5 2 5" xfId="28658"/>
    <cellStyle name="40% - Accent5 2 5 3" xfId="5413"/>
    <cellStyle name="40% - Accent5 2 5 3 2" xfId="13849"/>
    <cellStyle name="40% - Accent5 2 5 3 3" xfId="22290"/>
    <cellStyle name="40% - Accent5 2 5 3 4" xfId="30730"/>
    <cellStyle name="40% - Accent5 2 5 4" xfId="9631"/>
    <cellStyle name="40% - Accent5 2 5 5" xfId="18073"/>
    <cellStyle name="40% - Accent5 2 5 6" xfId="26513"/>
    <cellStyle name="40% - Accent5 2 6" xfId="1518"/>
    <cellStyle name="40% - Accent5 2 6 2" xfId="3748"/>
    <cellStyle name="40% - Accent5 2 6 2 2" xfId="7971"/>
    <cellStyle name="40% - Accent5 2 6 2 2 2" xfId="16407"/>
    <cellStyle name="40% - Accent5 2 6 2 2 3" xfId="24848"/>
    <cellStyle name="40% - Accent5 2 6 2 2 4" xfId="33288"/>
    <cellStyle name="40% - Accent5 2 6 2 3" xfId="12189"/>
    <cellStyle name="40% - Accent5 2 6 2 4" xfId="20631"/>
    <cellStyle name="40% - Accent5 2 6 2 5" xfId="29071"/>
    <cellStyle name="40% - Accent5 2 6 3" xfId="5826"/>
    <cellStyle name="40% - Accent5 2 6 3 2" xfId="14262"/>
    <cellStyle name="40% - Accent5 2 6 3 3" xfId="22703"/>
    <cellStyle name="40% - Accent5 2 6 3 4" xfId="31143"/>
    <cellStyle name="40% - Accent5 2 6 4" xfId="10044"/>
    <cellStyle name="40% - Accent5 2 6 5" xfId="18486"/>
    <cellStyle name="40% - Accent5 2 6 6" xfId="26926"/>
    <cellStyle name="40% - Accent5 2 7" xfId="1932"/>
    <cellStyle name="40% - Accent5 2 7 2" xfId="4161"/>
    <cellStyle name="40% - Accent5 2 7 2 2" xfId="8384"/>
    <cellStyle name="40% - Accent5 2 7 2 2 2" xfId="16820"/>
    <cellStyle name="40% - Accent5 2 7 2 2 3" xfId="25261"/>
    <cellStyle name="40% - Accent5 2 7 2 2 4" xfId="33701"/>
    <cellStyle name="40% - Accent5 2 7 2 3" xfId="12602"/>
    <cellStyle name="40% - Accent5 2 7 2 4" xfId="21044"/>
    <cellStyle name="40% - Accent5 2 7 2 5" xfId="29484"/>
    <cellStyle name="40% - Accent5 2 7 3" xfId="6239"/>
    <cellStyle name="40% - Accent5 2 7 3 2" xfId="14675"/>
    <cellStyle name="40% - Accent5 2 7 3 3" xfId="23116"/>
    <cellStyle name="40% - Accent5 2 7 3 4" xfId="31556"/>
    <cellStyle name="40% - Accent5 2 7 4" xfId="10457"/>
    <cellStyle name="40% - Accent5 2 7 5" xfId="18899"/>
    <cellStyle name="40% - Accent5 2 7 6" xfId="27339"/>
    <cellStyle name="40% - Accent5 2 8" xfId="2345"/>
    <cellStyle name="40% - Accent5 2 8 2" xfId="6652"/>
    <cellStyle name="40% - Accent5 2 8 2 2" xfId="15088"/>
    <cellStyle name="40% - Accent5 2 8 2 3" xfId="23529"/>
    <cellStyle name="40% - Accent5 2 8 2 4" xfId="31969"/>
    <cellStyle name="40% - Accent5 2 8 3" xfId="10870"/>
    <cellStyle name="40% - Accent5 2 8 4" xfId="19312"/>
    <cellStyle name="40% - Accent5 2 8 5" xfId="27752"/>
    <cellStyle name="40% - Accent5 2 9" xfId="4586"/>
    <cellStyle name="40% - Accent5 2 9 2" xfId="13022"/>
    <cellStyle name="40% - Accent5 2 9 3" xfId="21463"/>
    <cellStyle name="40% - Accent5 2 9 4" xfId="29903"/>
    <cellStyle name="40% - Accent5 3" xfId="86"/>
    <cellStyle name="40% - Accent5 3 10" xfId="17250"/>
    <cellStyle name="40% - Accent5 3 11" xfId="25690"/>
    <cellStyle name="40% - Accent5 3 2" xfId="87"/>
    <cellStyle name="40% - Accent5 3 2 10" xfId="25691"/>
    <cellStyle name="40% - Accent5 3 2 2" xfId="656"/>
    <cellStyle name="40% - Accent5 3 2 2 2" xfId="2927"/>
    <cellStyle name="40% - Accent5 3 2 2 2 2" xfId="7150"/>
    <cellStyle name="40% - Accent5 3 2 2 2 2 2" xfId="15586"/>
    <cellStyle name="40% - Accent5 3 2 2 2 2 3" xfId="24027"/>
    <cellStyle name="40% - Accent5 3 2 2 2 2 4" xfId="32467"/>
    <cellStyle name="40% - Accent5 3 2 2 2 3" xfId="11368"/>
    <cellStyle name="40% - Accent5 3 2 2 2 4" xfId="19810"/>
    <cellStyle name="40% - Accent5 3 2 2 2 5" xfId="28250"/>
    <cellStyle name="40% - Accent5 3 2 2 3" xfId="5005"/>
    <cellStyle name="40% - Accent5 3 2 2 3 2" xfId="13441"/>
    <cellStyle name="40% - Accent5 3 2 2 3 3" xfId="21882"/>
    <cellStyle name="40% - Accent5 3 2 2 3 4" xfId="30322"/>
    <cellStyle name="40% - Accent5 3 2 2 4" xfId="9223"/>
    <cellStyle name="40% - Accent5 3 2 2 5" xfId="17665"/>
    <cellStyle name="40% - Accent5 3 2 2 6" xfId="26105"/>
    <cellStyle name="40% - Accent5 3 2 3" xfId="1109"/>
    <cellStyle name="40% - Accent5 3 2 3 2" xfId="3340"/>
    <cellStyle name="40% - Accent5 3 2 3 2 2" xfId="7563"/>
    <cellStyle name="40% - Accent5 3 2 3 2 2 2" xfId="15999"/>
    <cellStyle name="40% - Accent5 3 2 3 2 2 3" xfId="24440"/>
    <cellStyle name="40% - Accent5 3 2 3 2 2 4" xfId="32880"/>
    <cellStyle name="40% - Accent5 3 2 3 2 3" xfId="11781"/>
    <cellStyle name="40% - Accent5 3 2 3 2 4" xfId="20223"/>
    <cellStyle name="40% - Accent5 3 2 3 2 5" xfId="28663"/>
    <cellStyle name="40% - Accent5 3 2 3 3" xfId="5418"/>
    <cellStyle name="40% - Accent5 3 2 3 3 2" xfId="13854"/>
    <cellStyle name="40% - Accent5 3 2 3 3 3" xfId="22295"/>
    <cellStyle name="40% - Accent5 3 2 3 3 4" xfId="30735"/>
    <cellStyle name="40% - Accent5 3 2 3 4" xfId="9636"/>
    <cellStyle name="40% - Accent5 3 2 3 5" xfId="18078"/>
    <cellStyle name="40% - Accent5 3 2 3 6" xfId="26518"/>
    <cellStyle name="40% - Accent5 3 2 4" xfId="1523"/>
    <cellStyle name="40% - Accent5 3 2 4 2" xfId="3753"/>
    <cellStyle name="40% - Accent5 3 2 4 2 2" xfId="7976"/>
    <cellStyle name="40% - Accent5 3 2 4 2 2 2" xfId="16412"/>
    <cellStyle name="40% - Accent5 3 2 4 2 2 3" xfId="24853"/>
    <cellStyle name="40% - Accent5 3 2 4 2 2 4" xfId="33293"/>
    <cellStyle name="40% - Accent5 3 2 4 2 3" xfId="12194"/>
    <cellStyle name="40% - Accent5 3 2 4 2 4" xfId="20636"/>
    <cellStyle name="40% - Accent5 3 2 4 2 5" xfId="29076"/>
    <cellStyle name="40% - Accent5 3 2 4 3" xfId="5831"/>
    <cellStyle name="40% - Accent5 3 2 4 3 2" xfId="14267"/>
    <cellStyle name="40% - Accent5 3 2 4 3 3" xfId="22708"/>
    <cellStyle name="40% - Accent5 3 2 4 3 4" xfId="31148"/>
    <cellStyle name="40% - Accent5 3 2 4 4" xfId="10049"/>
    <cellStyle name="40% - Accent5 3 2 4 5" xfId="18491"/>
    <cellStyle name="40% - Accent5 3 2 4 6" xfId="26931"/>
    <cellStyle name="40% - Accent5 3 2 5" xfId="1937"/>
    <cellStyle name="40% - Accent5 3 2 5 2" xfId="4166"/>
    <cellStyle name="40% - Accent5 3 2 5 2 2" xfId="8389"/>
    <cellStyle name="40% - Accent5 3 2 5 2 2 2" xfId="16825"/>
    <cellStyle name="40% - Accent5 3 2 5 2 2 3" xfId="25266"/>
    <cellStyle name="40% - Accent5 3 2 5 2 2 4" xfId="33706"/>
    <cellStyle name="40% - Accent5 3 2 5 2 3" xfId="12607"/>
    <cellStyle name="40% - Accent5 3 2 5 2 4" xfId="21049"/>
    <cellStyle name="40% - Accent5 3 2 5 2 5" xfId="29489"/>
    <cellStyle name="40% - Accent5 3 2 5 3" xfId="6244"/>
    <cellStyle name="40% - Accent5 3 2 5 3 2" xfId="14680"/>
    <cellStyle name="40% - Accent5 3 2 5 3 3" xfId="23121"/>
    <cellStyle name="40% - Accent5 3 2 5 3 4" xfId="31561"/>
    <cellStyle name="40% - Accent5 3 2 5 4" xfId="10462"/>
    <cellStyle name="40% - Accent5 3 2 5 5" xfId="18904"/>
    <cellStyle name="40% - Accent5 3 2 5 6" xfId="27344"/>
    <cellStyle name="40% - Accent5 3 2 6" xfId="2350"/>
    <cellStyle name="40% - Accent5 3 2 6 2" xfId="6657"/>
    <cellStyle name="40% - Accent5 3 2 6 2 2" xfId="15093"/>
    <cellStyle name="40% - Accent5 3 2 6 2 3" xfId="23534"/>
    <cellStyle name="40% - Accent5 3 2 6 2 4" xfId="31974"/>
    <cellStyle name="40% - Accent5 3 2 6 3" xfId="10875"/>
    <cellStyle name="40% - Accent5 3 2 6 4" xfId="19317"/>
    <cellStyle name="40% - Accent5 3 2 6 5" xfId="27757"/>
    <cellStyle name="40% - Accent5 3 2 7" xfId="4591"/>
    <cellStyle name="40% - Accent5 3 2 7 2" xfId="13027"/>
    <cellStyle name="40% - Accent5 3 2 7 3" xfId="21468"/>
    <cellStyle name="40% - Accent5 3 2 7 4" xfId="29908"/>
    <cellStyle name="40% - Accent5 3 2 8" xfId="8809"/>
    <cellStyle name="40% - Accent5 3 2 9" xfId="17251"/>
    <cellStyle name="40% - Accent5 3 3" xfId="655"/>
    <cellStyle name="40% - Accent5 3 3 2" xfId="2926"/>
    <cellStyle name="40% - Accent5 3 3 2 2" xfId="7149"/>
    <cellStyle name="40% - Accent5 3 3 2 2 2" xfId="15585"/>
    <cellStyle name="40% - Accent5 3 3 2 2 3" xfId="24026"/>
    <cellStyle name="40% - Accent5 3 3 2 2 4" xfId="32466"/>
    <cellStyle name="40% - Accent5 3 3 2 3" xfId="11367"/>
    <cellStyle name="40% - Accent5 3 3 2 4" xfId="19809"/>
    <cellStyle name="40% - Accent5 3 3 2 5" xfId="28249"/>
    <cellStyle name="40% - Accent5 3 3 3" xfId="5004"/>
    <cellStyle name="40% - Accent5 3 3 3 2" xfId="13440"/>
    <cellStyle name="40% - Accent5 3 3 3 3" xfId="21881"/>
    <cellStyle name="40% - Accent5 3 3 3 4" xfId="30321"/>
    <cellStyle name="40% - Accent5 3 3 4" xfId="9222"/>
    <cellStyle name="40% - Accent5 3 3 5" xfId="17664"/>
    <cellStyle name="40% - Accent5 3 3 6" xfId="26104"/>
    <cellStyle name="40% - Accent5 3 4" xfId="1108"/>
    <cellStyle name="40% - Accent5 3 4 2" xfId="3339"/>
    <cellStyle name="40% - Accent5 3 4 2 2" xfId="7562"/>
    <cellStyle name="40% - Accent5 3 4 2 2 2" xfId="15998"/>
    <cellStyle name="40% - Accent5 3 4 2 2 3" xfId="24439"/>
    <cellStyle name="40% - Accent5 3 4 2 2 4" xfId="32879"/>
    <cellStyle name="40% - Accent5 3 4 2 3" xfId="11780"/>
    <cellStyle name="40% - Accent5 3 4 2 4" xfId="20222"/>
    <cellStyle name="40% - Accent5 3 4 2 5" xfId="28662"/>
    <cellStyle name="40% - Accent5 3 4 3" xfId="5417"/>
    <cellStyle name="40% - Accent5 3 4 3 2" xfId="13853"/>
    <cellStyle name="40% - Accent5 3 4 3 3" xfId="22294"/>
    <cellStyle name="40% - Accent5 3 4 3 4" xfId="30734"/>
    <cellStyle name="40% - Accent5 3 4 4" xfId="9635"/>
    <cellStyle name="40% - Accent5 3 4 5" xfId="18077"/>
    <cellStyle name="40% - Accent5 3 4 6" xfId="26517"/>
    <cellStyle name="40% - Accent5 3 5" xfId="1522"/>
    <cellStyle name="40% - Accent5 3 5 2" xfId="3752"/>
    <cellStyle name="40% - Accent5 3 5 2 2" xfId="7975"/>
    <cellStyle name="40% - Accent5 3 5 2 2 2" xfId="16411"/>
    <cellStyle name="40% - Accent5 3 5 2 2 3" xfId="24852"/>
    <cellStyle name="40% - Accent5 3 5 2 2 4" xfId="33292"/>
    <cellStyle name="40% - Accent5 3 5 2 3" xfId="12193"/>
    <cellStyle name="40% - Accent5 3 5 2 4" xfId="20635"/>
    <cellStyle name="40% - Accent5 3 5 2 5" xfId="29075"/>
    <cellStyle name="40% - Accent5 3 5 3" xfId="5830"/>
    <cellStyle name="40% - Accent5 3 5 3 2" xfId="14266"/>
    <cellStyle name="40% - Accent5 3 5 3 3" xfId="22707"/>
    <cellStyle name="40% - Accent5 3 5 3 4" xfId="31147"/>
    <cellStyle name="40% - Accent5 3 5 4" xfId="10048"/>
    <cellStyle name="40% - Accent5 3 5 5" xfId="18490"/>
    <cellStyle name="40% - Accent5 3 5 6" xfId="26930"/>
    <cellStyle name="40% - Accent5 3 6" xfId="1936"/>
    <cellStyle name="40% - Accent5 3 6 2" xfId="4165"/>
    <cellStyle name="40% - Accent5 3 6 2 2" xfId="8388"/>
    <cellStyle name="40% - Accent5 3 6 2 2 2" xfId="16824"/>
    <cellStyle name="40% - Accent5 3 6 2 2 3" xfId="25265"/>
    <cellStyle name="40% - Accent5 3 6 2 2 4" xfId="33705"/>
    <cellStyle name="40% - Accent5 3 6 2 3" xfId="12606"/>
    <cellStyle name="40% - Accent5 3 6 2 4" xfId="21048"/>
    <cellStyle name="40% - Accent5 3 6 2 5" xfId="29488"/>
    <cellStyle name="40% - Accent5 3 6 3" xfId="6243"/>
    <cellStyle name="40% - Accent5 3 6 3 2" xfId="14679"/>
    <cellStyle name="40% - Accent5 3 6 3 3" xfId="23120"/>
    <cellStyle name="40% - Accent5 3 6 3 4" xfId="31560"/>
    <cellStyle name="40% - Accent5 3 6 4" xfId="10461"/>
    <cellStyle name="40% - Accent5 3 6 5" xfId="18903"/>
    <cellStyle name="40% - Accent5 3 6 6" xfId="27343"/>
    <cellStyle name="40% - Accent5 3 7" xfId="2349"/>
    <cellStyle name="40% - Accent5 3 7 2" xfId="6656"/>
    <cellStyle name="40% - Accent5 3 7 2 2" xfId="15092"/>
    <cellStyle name="40% - Accent5 3 7 2 3" xfId="23533"/>
    <cellStyle name="40% - Accent5 3 7 2 4" xfId="31973"/>
    <cellStyle name="40% - Accent5 3 7 3" xfId="10874"/>
    <cellStyle name="40% - Accent5 3 7 4" xfId="19316"/>
    <cellStyle name="40% - Accent5 3 7 5" xfId="27756"/>
    <cellStyle name="40% - Accent5 3 8" xfId="4590"/>
    <cellStyle name="40% - Accent5 3 8 2" xfId="13026"/>
    <cellStyle name="40% - Accent5 3 8 3" xfId="21467"/>
    <cellStyle name="40% - Accent5 3 8 4" xfId="29907"/>
    <cellStyle name="40% - Accent5 3 9" xfId="8808"/>
    <cellStyle name="40% - Accent5 4" xfId="88"/>
    <cellStyle name="40% - Accent5 4 10" xfId="25692"/>
    <cellStyle name="40% - Accent5 4 2" xfId="657"/>
    <cellStyle name="40% - Accent5 4 2 2" xfId="2928"/>
    <cellStyle name="40% - Accent5 4 2 2 2" xfId="7151"/>
    <cellStyle name="40% - Accent5 4 2 2 2 2" xfId="15587"/>
    <cellStyle name="40% - Accent5 4 2 2 2 3" xfId="24028"/>
    <cellStyle name="40% - Accent5 4 2 2 2 4" xfId="32468"/>
    <cellStyle name="40% - Accent5 4 2 2 3" xfId="11369"/>
    <cellStyle name="40% - Accent5 4 2 2 4" xfId="19811"/>
    <cellStyle name="40% - Accent5 4 2 2 5" xfId="28251"/>
    <cellStyle name="40% - Accent5 4 2 3" xfId="5006"/>
    <cellStyle name="40% - Accent5 4 2 3 2" xfId="13442"/>
    <cellStyle name="40% - Accent5 4 2 3 3" xfId="21883"/>
    <cellStyle name="40% - Accent5 4 2 3 4" xfId="30323"/>
    <cellStyle name="40% - Accent5 4 2 4" xfId="9224"/>
    <cellStyle name="40% - Accent5 4 2 5" xfId="17666"/>
    <cellStyle name="40% - Accent5 4 2 6" xfId="26106"/>
    <cellStyle name="40% - Accent5 4 3" xfId="1110"/>
    <cellStyle name="40% - Accent5 4 3 2" xfId="3341"/>
    <cellStyle name="40% - Accent5 4 3 2 2" xfId="7564"/>
    <cellStyle name="40% - Accent5 4 3 2 2 2" xfId="16000"/>
    <cellStyle name="40% - Accent5 4 3 2 2 3" xfId="24441"/>
    <cellStyle name="40% - Accent5 4 3 2 2 4" xfId="32881"/>
    <cellStyle name="40% - Accent5 4 3 2 3" xfId="11782"/>
    <cellStyle name="40% - Accent5 4 3 2 4" xfId="20224"/>
    <cellStyle name="40% - Accent5 4 3 2 5" xfId="28664"/>
    <cellStyle name="40% - Accent5 4 3 3" xfId="5419"/>
    <cellStyle name="40% - Accent5 4 3 3 2" xfId="13855"/>
    <cellStyle name="40% - Accent5 4 3 3 3" xfId="22296"/>
    <cellStyle name="40% - Accent5 4 3 3 4" xfId="30736"/>
    <cellStyle name="40% - Accent5 4 3 4" xfId="9637"/>
    <cellStyle name="40% - Accent5 4 3 5" xfId="18079"/>
    <cellStyle name="40% - Accent5 4 3 6" xfId="26519"/>
    <cellStyle name="40% - Accent5 4 4" xfId="1524"/>
    <cellStyle name="40% - Accent5 4 4 2" xfId="3754"/>
    <cellStyle name="40% - Accent5 4 4 2 2" xfId="7977"/>
    <cellStyle name="40% - Accent5 4 4 2 2 2" xfId="16413"/>
    <cellStyle name="40% - Accent5 4 4 2 2 3" xfId="24854"/>
    <cellStyle name="40% - Accent5 4 4 2 2 4" xfId="33294"/>
    <cellStyle name="40% - Accent5 4 4 2 3" xfId="12195"/>
    <cellStyle name="40% - Accent5 4 4 2 4" xfId="20637"/>
    <cellStyle name="40% - Accent5 4 4 2 5" xfId="29077"/>
    <cellStyle name="40% - Accent5 4 4 3" xfId="5832"/>
    <cellStyle name="40% - Accent5 4 4 3 2" xfId="14268"/>
    <cellStyle name="40% - Accent5 4 4 3 3" xfId="22709"/>
    <cellStyle name="40% - Accent5 4 4 3 4" xfId="31149"/>
    <cellStyle name="40% - Accent5 4 4 4" xfId="10050"/>
    <cellStyle name="40% - Accent5 4 4 5" xfId="18492"/>
    <cellStyle name="40% - Accent5 4 4 6" xfId="26932"/>
    <cellStyle name="40% - Accent5 4 5" xfId="1938"/>
    <cellStyle name="40% - Accent5 4 5 2" xfId="4167"/>
    <cellStyle name="40% - Accent5 4 5 2 2" xfId="8390"/>
    <cellStyle name="40% - Accent5 4 5 2 2 2" xfId="16826"/>
    <cellStyle name="40% - Accent5 4 5 2 2 3" xfId="25267"/>
    <cellStyle name="40% - Accent5 4 5 2 2 4" xfId="33707"/>
    <cellStyle name="40% - Accent5 4 5 2 3" xfId="12608"/>
    <cellStyle name="40% - Accent5 4 5 2 4" xfId="21050"/>
    <cellStyle name="40% - Accent5 4 5 2 5" xfId="29490"/>
    <cellStyle name="40% - Accent5 4 5 3" xfId="6245"/>
    <cellStyle name="40% - Accent5 4 5 3 2" xfId="14681"/>
    <cellStyle name="40% - Accent5 4 5 3 3" xfId="23122"/>
    <cellStyle name="40% - Accent5 4 5 3 4" xfId="31562"/>
    <cellStyle name="40% - Accent5 4 5 4" xfId="10463"/>
    <cellStyle name="40% - Accent5 4 5 5" xfId="18905"/>
    <cellStyle name="40% - Accent5 4 5 6" xfId="27345"/>
    <cellStyle name="40% - Accent5 4 6" xfId="2351"/>
    <cellStyle name="40% - Accent5 4 6 2" xfId="6658"/>
    <cellStyle name="40% - Accent5 4 6 2 2" xfId="15094"/>
    <cellStyle name="40% - Accent5 4 6 2 3" xfId="23535"/>
    <cellStyle name="40% - Accent5 4 6 2 4" xfId="31975"/>
    <cellStyle name="40% - Accent5 4 6 3" xfId="10876"/>
    <cellStyle name="40% - Accent5 4 6 4" xfId="19318"/>
    <cellStyle name="40% - Accent5 4 6 5" xfId="27758"/>
    <cellStyle name="40% - Accent5 4 7" xfId="4592"/>
    <cellStyle name="40% - Accent5 4 7 2" xfId="13028"/>
    <cellStyle name="40% - Accent5 4 7 3" xfId="21469"/>
    <cellStyle name="40% - Accent5 4 7 4" xfId="29909"/>
    <cellStyle name="40% - Accent5 4 8" xfId="8810"/>
    <cellStyle name="40% - Accent5 4 9" xfId="17252"/>
    <cellStyle name="40% - Accent5 5" xfId="650"/>
    <cellStyle name="40% - Accent5 5 2" xfId="2921"/>
    <cellStyle name="40% - Accent5 5 2 2" xfId="7144"/>
    <cellStyle name="40% - Accent5 5 2 2 2" xfId="15580"/>
    <cellStyle name="40% - Accent5 5 2 2 3" xfId="24021"/>
    <cellStyle name="40% - Accent5 5 2 2 4" xfId="32461"/>
    <cellStyle name="40% - Accent5 5 2 3" xfId="11362"/>
    <cellStyle name="40% - Accent5 5 2 4" xfId="19804"/>
    <cellStyle name="40% - Accent5 5 2 5" xfId="28244"/>
    <cellStyle name="40% - Accent5 5 3" xfId="4999"/>
    <cellStyle name="40% - Accent5 5 3 2" xfId="13435"/>
    <cellStyle name="40% - Accent5 5 3 3" xfId="21876"/>
    <cellStyle name="40% - Accent5 5 3 4" xfId="30316"/>
    <cellStyle name="40% - Accent5 5 4" xfId="9217"/>
    <cellStyle name="40% - Accent5 5 5" xfId="17659"/>
    <cellStyle name="40% - Accent5 5 6" xfId="26099"/>
    <cellStyle name="40% - Accent5 6" xfId="1103"/>
    <cellStyle name="40% - Accent5 6 2" xfId="3334"/>
    <cellStyle name="40% - Accent5 6 2 2" xfId="7557"/>
    <cellStyle name="40% - Accent5 6 2 2 2" xfId="15993"/>
    <cellStyle name="40% - Accent5 6 2 2 3" xfId="24434"/>
    <cellStyle name="40% - Accent5 6 2 2 4" xfId="32874"/>
    <cellStyle name="40% - Accent5 6 2 3" xfId="11775"/>
    <cellStyle name="40% - Accent5 6 2 4" xfId="20217"/>
    <cellStyle name="40% - Accent5 6 2 5" xfId="28657"/>
    <cellStyle name="40% - Accent5 6 3" xfId="5412"/>
    <cellStyle name="40% - Accent5 6 3 2" xfId="13848"/>
    <cellStyle name="40% - Accent5 6 3 3" xfId="22289"/>
    <cellStyle name="40% - Accent5 6 3 4" xfId="30729"/>
    <cellStyle name="40% - Accent5 6 4" xfId="9630"/>
    <cellStyle name="40% - Accent5 6 5" xfId="18072"/>
    <cellStyle name="40% - Accent5 6 6" xfId="26512"/>
    <cellStyle name="40% - Accent5 7" xfId="1517"/>
    <cellStyle name="40% - Accent5 7 2" xfId="3747"/>
    <cellStyle name="40% - Accent5 7 2 2" xfId="7970"/>
    <cellStyle name="40% - Accent5 7 2 2 2" xfId="16406"/>
    <cellStyle name="40% - Accent5 7 2 2 3" xfId="24847"/>
    <cellStyle name="40% - Accent5 7 2 2 4" xfId="33287"/>
    <cellStyle name="40% - Accent5 7 2 3" xfId="12188"/>
    <cellStyle name="40% - Accent5 7 2 4" xfId="20630"/>
    <cellStyle name="40% - Accent5 7 2 5" xfId="29070"/>
    <cellStyle name="40% - Accent5 7 3" xfId="5825"/>
    <cellStyle name="40% - Accent5 7 3 2" xfId="14261"/>
    <cellStyle name="40% - Accent5 7 3 3" xfId="22702"/>
    <cellStyle name="40% - Accent5 7 3 4" xfId="31142"/>
    <cellStyle name="40% - Accent5 7 4" xfId="10043"/>
    <cellStyle name="40% - Accent5 7 5" xfId="18485"/>
    <cellStyle name="40% - Accent5 7 6" xfId="26925"/>
    <cellStyle name="40% - Accent5 8" xfId="1931"/>
    <cellStyle name="40% - Accent5 8 2" xfId="4160"/>
    <cellStyle name="40% - Accent5 8 2 2" xfId="8383"/>
    <cellStyle name="40% - Accent5 8 2 2 2" xfId="16819"/>
    <cellStyle name="40% - Accent5 8 2 2 3" xfId="25260"/>
    <cellStyle name="40% - Accent5 8 2 2 4" xfId="33700"/>
    <cellStyle name="40% - Accent5 8 2 3" xfId="12601"/>
    <cellStyle name="40% - Accent5 8 2 4" xfId="21043"/>
    <cellStyle name="40% - Accent5 8 2 5" xfId="29483"/>
    <cellStyle name="40% - Accent5 8 3" xfId="6238"/>
    <cellStyle name="40% - Accent5 8 3 2" xfId="14674"/>
    <cellStyle name="40% - Accent5 8 3 3" xfId="23115"/>
    <cellStyle name="40% - Accent5 8 3 4" xfId="31555"/>
    <cellStyle name="40% - Accent5 8 4" xfId="10456"/>
    <cellStyle name="40% - Accent5 8 5" xfId="18898"/>
    <cellStyle name="40% - Accent5 8 6" xfId="27338"/>
    <cellStyle name="40% - Accent5 9" xfId="2344"/>
    <cellStyle name="40% - Accent5 9 2" xfId="6651"/>
    <cellStyle name="40% - Accent5 9 2 2" xfId="15087"/>
    <cellStyle name="40% - Accent5 9 2 3" xfId="23528"/>
    <cellStyle name="40% - Accent5 9 2 4" xfId="31968"/>
    <cellStyle name="40% - Accent5 9 3" xfId="10869"/>
    <cellStyle name="40% - Accent5 9 4" xfId="19311"/>
    <cellStyle name="40% - Accent5 9 5" xfId="27751"/>
    <cellStyle name="40% - Accent6" xfId="89" builtinId="51" customBuiltin="1"/>
    <cellStyle name="40% - Accent6 10" xfId="4593"/>
    <cellStyle name="40% - Accent6 10 2" xfId="13029"/>
    <cellStyle name="40% - Accent6 10 3" xfId="21470"/>
    <cellStyle name="40% - Accent6 10 4" xfId="29910"/>
    <cellStyle name="40% - Accent6 11" xfId="8811"/>
    <cellStyle name="40% - Accent6 12" xfId="17253"/>
    <cellStyle name="40% - Accent6 13" xfId="25693"/>
    <cellStyle name="40% - Accent6 2" xfId="90"/>
    <cellStyle name="40% - Accent6 2 10" xfId="8812"/>
    <cellStyle name="40% - Accent6 2 11" xfId="17254"/>
    <cellStyle name="40% - Accent6 2 12" xfId="25694"/>
    <cellStyle name="40% - Accent6 2 2" xfId="91"/>
    <cellStyle name="40% - Accent6 2 2 10" xfId="17255"/>
    <cellStyle name="40% - Accent6 2 2 11" xfId="25695"/>
    <cellStyle name="40% - Accent6 2 2 2" xfId="92"/>
    <cellStyle name="40% - Accent6 2 2 2 10" xfId="25696"/>
    <cellStyle name="40% - Accent6 2 2 2 2" xfId="661"/>
    <cellStyle name="40% - Accent6 2 2 2 2 2" xfId="2932"/>
    <cellStyle name="40% - Accent6 2 2 2 2 2 2" xfId="7155"/>
    <cellStyle name="40% - Accent6 2 2 2 2 2 2 2" xfId="15591"/>
    <cellStyle name="40% - Accent6 2 2 2 2 2 2 3" xfId="24032"/>
    <cellStyle name="40% - Accent6 2 2 2 2 2 2 4" xfId="32472"/>
    <cellStyle name="40% - Accent6 2 2 2 2 2 3" xfId="11373"/>
    <cellStyle name="40% - Accent6 2 2 2 2 2 4" xfId="19815"/>
    <cellStyle name="40% - Accent6 2 2 2 2 2 5" xfId="28255"/>
    <cellStyle name="40% - Accent6 2 2 2 2 3" xfId="5010"/>
    <cellStyle name="40% - Accent6 2 2 2 2 3 2" xfId="13446"/>
    <cellStyle name="40% - Accent6 2 2 2 2 3 3" xfId="21887"/>
    <cellStyle name="40% - Accent6 2 2 2 2 3 4" xfId="30327"/>
    <cellStyle name="40% - Accent6 2 2 2 2 4" xfId="9228"/>
    <cellStyle name="40% - Accent6 2 2 2 2 5" xfId="17670"/>
    <cellStyle name="40% - Accent6 2 2 2 2 6" xfId="26110"/>
    <cellStyle name="40% - Accent6 2 2 2 3" xfId="1114"/>
    <cellStyle name="40% - Accent6 2 2 2 3 2" xfId="3345"/>
    <cellStyle name="40% - Accent6 2 2 2 3 2 2" xfId="7568"/>
    <cellStyle name="40% - Accent6 2 2 2 3 2 2 2" xfId="16004"/>
    <cellStyle name="40% - Accent6 2 2 2 3 2 2 3" xfId="24445"/>
    <cellStyle name="40% - Accent6 2 2 2 3 2 2 4" xfId="32885"/>
    <cellStyle name="40% - Accent6 2 2 2 3 2 3" xfId="11786"/>
    <cellStyle name="40% - Accent6 2 2 2 3 2 4" xfId="20228"/>
    <cellStyle name="40% - Accent6 2 2 2 3 2 5" xfId="28668"/>
    <cellStyle name="40% - Accent6 2 2 2 3 3" xfId="5423"/>
    <cellStyle name="40% - Accent6 2 2 2 3 3 2" xfId="13859"/>
    <cellStyle name="40% - Accent6 2 2 2 3 3 3" xfId="22300"/>
    <cellStyle name="40% - Accent6 2 2 2 3 3 4" xfId="30740"/>
    <cellStyle name="40% - Accent6 2 2 2 3 4" xfId="9641"/>
    <cellStyle name="40% - Accent6 2 2 2 3 5" xfId="18083"/>
    <cellStyle name="40% - Accent6 2 2 2 3 6" xfId="26523"/>
    <cellStyle name="40% - Accent6 2 2 2 4" xfId="1528"/>
    <cellStyle name="40% - Accent6 2 2 2 4 2" xfId="3758"/>
    <cellStyle name="40% - Accent6 2 2 2 4 2 2" xfId="7981"/>
    <cellStyle name="40% - Accent6 2 2 2 4 2 2 2" xfId="16417"/>
    <cellStyle name="40% - Accent6 2 2 2 4 2 2 3" xfId="24858"/>
    <cellStyle name="40% - Accent6 2 2 2 4 2 2 4" xfId="33298"/>
    <cellStyle name="40% - Accent6 2 2 2 4 2 3" xfId="12199"/>
    <cellStyle name="40% - Accent6 2 2 2 4 2 4" xfId="20641"/>
    <cellStyle name="40% - Accent6 2 2 2 4 2 5" xfId="29081"/>
    <cellStyle name="40% - Accent6 2 2 2 4 3" xfId="5836"/>
    <cellStyle name="40% - Accent6 2 2 2 4 3 2" xfId="14272"/>
    <cellStyle name="40% - Accent6 2 2 2 4 3 3" xfId="22713"/>
    <cellStyle name="40% - Accent6 2 2 2 4 3 4" xfId="31153"/>
    <cellStyle name="40% - Accent6 2 2 2 4 4" xfId="10054"/>
    <cellStyle name="40% - Accent6 2 2 2 4 5" xfId="18496"/>
    <cellStyle name="40% - Accent6 2 2 2 4 6" xfId="26936"/>
    <cellStyle name="40% - Accent6 2 2 2 5" xfId="1942"/>
    <cellStyle name="40% - Accent6 2 2 2 5 2" xfId="4171"/>
    <cellStyle name="40% - Accent6 2 2 2 5 2 2" xfId="8394"/>
    <cellStyle name="40% - Accent6 2 2 2 5 2 2 2" xfId="16830"/>
    <cellStyle name="40% - Accent6 2 2 2 5 2 2 3" xfId="25271"/>
    <cellStyle name="40% - Accent6 2 2 2 5 2 2 4" xfId="33711"/>
    <cellStyle name="40% - Accent6 2 2 2 5 2 3" xfId="12612"/>
    <cellStyle name="40% - Accent6 2 2 2 5 2 4" xfId="21054"/>
    <cellStyle name="40% - Accent6 2 2 2 5 2 5" xfId="29494"/>
    <cellStyle name="40% - Accent6 2 2 2 5 3" xfId="6249"/>
    <cellStyle name="40% - Accent6 2 2 2 5 3 2" xfId="14685"/>
    <cellStyle name="40% - Accent6 2 2 2 5 3 3" xfId="23126"/>
    <cellStyle name="40% - Accent6 2 2 2 5 3 4" xfId="31566"/>
    <cellStyle name="40% - Accent6 2 2 2 5 4" xfId="10467"/>
    <cellStyle name="40% - Accent6 2 2 2 5 5" xfId="18909"/>
    <cellStyle name="40% - Accent6 2 2 2 5 6" xfId="27349"/>
    <cellStyle name="40% - Accent6 2 2 2 6" xfId="2355"/>
    <cellStyle name="40% - Accent6 2 2 2 6 2" xfId="6662"/>
    <cellStyle name="40% - Accent6 2 2 2 6 2 2" xfId="15098"/>
    <cellStyle name="40% - Accent6 2 2 2 6 2 3" xfId="23539"/>
    <cellStyle name="40% - Accent6 2 2 2 6 2 4" xfId="31979"/>
    <cellStyle name="40% - Accent6 2 2 2 6 3" xfId="10880"/>
    <cellStyle name="40% - Accent6 2 2 2 6 4" xfId="19322"/>
    <cellStyle name="40% - Accent6 2 2 2 6 5" xfId="27762"/>
    <cellStyle name="40% - Accent6 2 2 2 7" xfId="4596"/>
    <cellStyle name="40% - Accent6 2 2 2 7 2" xfId="13032"/>
    <cellStyle name="40% - Accent6 2 2 2 7 3" xfId="21473"/>
    <cellStyle name="40% - Accent6 2 2 2 7 4" xfId="29913"/>
    <cellStyle name="40% - Accent6 2 2 2 8" xfId="8814"/>
    <cellStyle name="40% - Accent6 2 2 2 9" xfId="17256"/>
    <cellStyle name="40% - Accent6 2 2 3" xfId="660"/>
    <cellStyle name="40% - Accent6 2 2 3 2" xfId="2931"/>
    <cellStyle name="40% - Accent6 2 2 3 2 2" xfId="7154"/>
    <cellStyle name="40% - Accent6 2 2 3 2 2 2" xfId="15590"/>
    <cellStyle name="40% - Accent6 2 2 3 2 2 3" xfId="24031"/>
    <cellStyle name="40% - Accent6 2 2 3 2 2 4" xfId="32471"/>
    <cellStyle name="40% - Accent6 2 2 3 2 3" xfId="11372"/>
    <cellStyle name="40% - Accent6 2 2 3 2 4" xfId="19814"/>
    <cellStyle name="40% - Accent6 2 2 3 2 5" xfId="28254"/>
    <cellStyle name="40% - Accent6 2 2 3 3" xfId="5009"/>
    <cellStyle name="40% - Accent6 2 2 3 3 2" xfId="13445"/>
    <cellStyle name="40% - Accent6 2 2 3 3 3" xfId="21886"/>
    <cellStyle name="40% - Accent6 2 2 3 3 4" xfId="30326"/>
    <cellStyle name="40% - Accent6 2 2 3 4" xfId="9227"/>
    <cellStyle name="40% - Accent6 2 2 3 5" xfId="17669"/>
    <cellStyle name="40% - Accent6 2 2 3 6" xfId="26109"/>
    <cellStyle name="40% - Accent6 2 2 4" xfId="1113"/>
    <cellStyle name="40% - Accent6 2 2 4 2" xfId="3344"/>
    <cellStyle name="40% - Accent6 2 2 4 2 2" xfId="7567"/>
    <cellStyle name="40% - Accent6 2 2 4 2 2 2" xfId="16003"/>
    <cellStyle name="40% - Accent6 2 2 4 2 2 3" xfId="24444"/>
    <cellStyle name="40% - Accent6 2 2 4 2 2 4" xfId="32884"/>
    <cellStyle name="40% - Accent6 2 2 4 2 3" xfId="11785"/>
    <cellStyle name="40% - Accent6 2 2 4 2 4" xfId="20227"/>
    <cellStyle name="40% - Accent6 2 2 4 2 5" xfId="28667"/>
    <cellStyle name="40% - Accent6 2 2 4 3" xfId="5422"/>
    <cellStyle name="40% - Accent6 2 2 4 3 2" xfId="13858"/>
    <cellStyle name="40% - Accent6 2 2 4 3 3" xfId="22299"/>
    <cellStyle name="40% - Accent6 2 2 4 3 4" xfId="30739"/>
    <cellStyle name="40% - Accent6 2 2 4 4" xfId="9640"/>
    <cellStyle name="40% - Accent6 2 2 4 5" xfId="18082"/>
    <cellStyle name="40% - Accent6 2 2 4 6" xfId="26522"/>
    <cellStyle name="40% - Accent6 2 2 5" xfId="1527"/>
    <cellStyle name="40% - Accent6 2 2 5 2" xfId="3757"/>
    <cellStyle name="40% - Accent6 2 2 5 2 2" xfId="7980"/>
    <cellStyle name="40% - Accent6 2 2 5 2 2 2" xfId="16416"/>
    <cellStyle name="40% - Accent6 2 2 5 2 2 3" xfId="24857"/>
    <cellStyle name="40% - Accent6 2 2 5 2 2 4" xfId="33297"/>
    <cellStyle name="40% - Accent6 2 2 5 2 3" xfId="12198"/>
    <cellStyle name="40% - Accent6 2 2 5 2 4" xfId="20640"/>
    <cellStyle name="40% - Accent6 2 2 5 2 5" xfId="29080"/>
    <cellStyle name="40% - Accent6 2 2 5 3" xfId="5835"/>
    <cellStyle name="40% - Accent6 2 2 5 3 2" xfId="14271"/>
    <cellStyle name="40% - Accent6 2 2 5 3 3" xfId="22712"/>
    <cellStyle name="40% - Accent6 2 2 5 3 4" xfId="31152"/>
    <cellStyle name="40% - Accent6 2 2 5 4" xfId="10053"/>
    <cellStyle name="40% - Accent6 2 2 5 5" xfId="18495"/>
    <cellStyle name="40% - Accent6 2 2 5 6" xfId="26935"/>
    <cellStyle name="40% - Accent6 2 2 6" xfId="1941"/>
    <cellStyle name="40% - Accent6 2 2 6 2" xfId="4170"/>
    <cellStyle name="40% - Accent6 2 2 6 2 2" xfId="8393"/>
    <cellStyle name="40% - Accent6 2 2 6 2 2 2" xfId="16829"/>
    <cellStyle name="40% - Accent6 2 2 6 2 2 3" xfId="25270"/>
    <cellStyle name="40% - Accent6 2 2 6 2 2 4" xfId="33710"/>
    <cellStyle name="40% - Accent6 2 2 6 2 3" xfId="12611"/>
    <cellStyle name="40% - Accent6 2 2 6 2 4" xfId="21053"/>
    <cellStyle name="40% - Accent6 2 2 6 2 5" xfId="29493"/>
    <cellStyle name="40% - Accent6 2 2 6 3" xfId="6248"/>
    <cellStyle name="40% - Accent6 2 2 6 3 2" xfId="14684"/>
    <cellStyle name="40% - Accent6 2 2 6 3 3" xfId="23125"/>
    <cellStyle name="40% - Accent6 2 2 6 3 4" xfId="31565"/>
    <cellStyle name="40% - Accent6 2 2 6 4" xfId="10466"/>
    <cellStyle name="40% - Accent6 2 2 6 5" xfId="18908"/>
    <cellStyle name="40% - Accent6 2 2 6 6" xfId="27348"/>
    <cellStyle name="40% - Accent6 2 2 7" xfId="2354"/>
    <cellStyle name="40% - Accent6 2 2 7 2" xfId="6661"/>
    <cellStyle name="40% - Accent6 2 2 7 2 2" xfId="15097"/>
    <cellStyle name="40% - Accent6 2 2 7 2 3" xfId="23538"/>
    <cellStyle name="40% - Accent6 2 2 7 2 4" xfId="31978"/>
    <cellStyle name="40% - Accent6 2 2 7 3" xfId="10879"/>
    <cellStyle name="40% - Accent6 2 2 7 4" xfId="19321"/>
    <cellStyle name="40% - Accent6 2 2 7 5" xfId="27761"/>
    <cellStyle name="40% - Accent6 2 2 8" xfId="4595"/>
    <cellStyle name="40% - Accent6 2 2 8 2" xfId="13031"/>
    <cellStyle name="40% - Accent6 2 2 8 3" xfId="21472"/>
    <cellStyle name="40% - Accent6 2 2 8 4" xfId="29912"/>
    <cellStyle name="40% - Accent6 2 2 9" xfId="8813"/>
    <cellStyle name="40% - Accent6 2 3" xfId="93"/>
    <cellStyle name="40% - Accent6 2 3 10" xfId="25697"/>
    <cellStyle name="40% - Accent6 2 3 2" xfId="662"/>
    <cellStyle name="40% - Accent6 2 3 2 2" xfId="2933"/>
    <cellStyle name="40% - Accent6 2 3 2 2 2" xfId="7156"/>
    <cellStyle name="40% - Accent6 2 3 2 2 2 2" xfId="15592"/>
    <cellStyle name="40% - Accent6 2 3 2 2 2 3" xfId="24033"/>
    <cellStyle name="40% - Accent6 2 3 2 2 2 4" xfId="32473"/>
    <cellStyle name="40% - Accent6 2 3 2 2 3" xfId="11374"/>
    <cellStyle name="40% - Accent6 2 3 2 2 4" xfId="19816"/>
    <cellStyle name="40% - Accent6 2 3 2 2 5" xfId="28256"/>
    <cellStyle name="40% - Accent6 2 3 2 3" xfId="5011"/>
    <cellStyle name="40% - Accent6 2 3 2 3 2" xfId="13447"/>
    <cellStyle name="40% - Accent6 2 3 2 3 3" xfId="21888"/>
    <cellStyle name="40% - Accent6 2 3 2 3 4" xfId="30328"/>
    <cellStyle name="40% - Accent6 2 3 2 4" xfId="9229"/>
    <cellStyle name="40% - Accent6 2 3 2 5" xfId="17671"/>
    <cellStyle name="40% - Accent6 2 3 2 6" xfId="26111"/>
    <cellStyle name="40% - Accent6 2 3 3" xfId="1115"/>
    <cellStyle name="40% - Accent6 2 3 3 2" xfId="3346"/>
    <cellStyle name="40% - Accent6 2 3 3 2 2" xfId="7569"/>
    <cellStyle name="40% - Accent6 2 3 3 2 2 2" xfId="16005"/>
    <cellStyle name="40% - Accent6 2 3 3 2 2 3" xfId="24446"/>
    <cellStyle name="40% - Accent6 2 3 3 2 2 4" xfId="32886"/>
    <cellStyle name="40% - Accent6 2 3 3 2 3" xfId="11787"/>
    <cellStyle name="40% - Accent6 2 3 3 2 4" xfId="20229"/>
    <cellStyle name="40% - Accent6 2 3 3 2 5" xfId="28669"/>
    <cellStyle name="40% - Accent6 2 3 3 3" xfId="5424"/>
    <cellStyle name="40% - Accent6 2 3 3 3 2" xfId="13860"/>
    <cellStyle name="40% - Accent6 2 3 3 3 3" xfId="22301"/>
    <cellStyle name="40% - Accent6 2 3 3 3 4" xfId="30741"/>
    <cellStyle name="40% - Accent6 2 3 3 4" xfId="9642"/>
    <cellStyle name="40% - Accent6 2 3 3 5" xfId="18084"/>
    <cellStyle name="40% - Accent6 2 3 3 6" xfId="26524"/>
    <cellStyle name="40% - Accent6 2 3 4" xfId="1529"/>
    <cellStyle name="40% - Accent6 2 3 4 2" xfId="3759"/>
    <cellStyle name="40% - Accent6 2 3 4 2 2" xfId="7982"/>
    <cellStyle name="40% - Accent6 2 3 4 2 2 2" xfId="16418"/>
    <cellStyle name="40% - Accent6 2 3 4 2 2 3" xfId="24859"/>
    <cellStyle name="40% - Accent6 2 3 4 2 2 4" xfId="33299"/>
    <cellStyle name="40% - Accent6 2 3 4 2 3" xfId="12200"/>
    <cellStyle name="40% - Accent6 2 3 4 2 4" xfId="20642"/>
    <cellStyle name="40% - Accent6 2 3 4 2 5" xfId="29082"/>
    <cellStyle name="40% - Accent6 2 3 4 3" xfId="5837"/>
    <cellStyle name="40% - Accent6 2 3 4 3 2" xfId="14273"/>
    <cellStyle name="40% - Accent6 2 3 4 3 3" xfId="22714"/>
    <cellStyle name="40% - Accent6 2 3 4 3 4" xfId="31154"/>
    <cellStyle name="40% - Accent6 2 3 4 4" xfId="10055"/>
    <cellStyle name="40% - Accent6 2 3 4 5" xfId="18497"/>
    <cellStyle name="40% - Accent6 2 3 4 6" xfId="26937"/>
    <cellStyle name="40% - Accent6 2 3 5" xfId="1943"/>
    <cellStyle name="40% - Accent6 2 3 5 2" xfId="4172"/>
    <cellStyle name="40% - Accent6 2 3 5 2 2" xfId="8395"/>
    <cellStyle name="40% - Accent6 2 3 5 2 2 2" xfId="16831"/>
    <cellStyle name="40% - Accent6 2 3 5 2 2 3" xfId="25272"/>
    <cellStyle name="40% - Accent6 2 3 5 2 2 4" xfId="33712"/>
    <cellStyle name="40% - Accent6 2 3 5 2 3" xfId="12613"/>
    <cellStyle name="40% - Accent6 2 3 5 2 4" xfId="21055"/>
    <cellStyle name="40% - Accent6 2 3 5 2 5" xfId="29495"/>
    <cellStyle name="40% - Accent6 2 3 5 3" xfId="6250"/>
    <cellStyle name="40% - Accent6 2 3 5 3 2" xfId="14686"/>
    <cellStyle name="40% - Accent6 2 3 5 3 3" xfId="23127"/>
    <cellStyle name="40% - Accent6 2 3 5 3 4" xfId="31567"/>
    <cellStyle name="40% - Accent6 2 3 5 4" xfId="10468"/>
    <cellStyle name="40% - Accent6 2 3 5 5" xfId="18910"/>
    <cellStyle name="40% - Accent6 2 3 5 6" xfId="27350"/>
    <cellStyle name="40% - Accent6 2 3 6" xfId="2356"/>
    <cellStyle name="40% - Accent6 2 3 6 2" xfId="6663"/>
    <cellStyle name="40% - Accent6 2 3 6 2 2" xfId="15099"/>
    <cellStyle name="40% - Accent6 2 3 6 2 3" xfId="23540"/>
    <cellStyle name="40% - Accent6 2 3 6 2 4" xfId="31980"/>
    <cellStyle name="40% - Accent6 2 3 6 3" xfId="10881"/>
    <cellStyle name="40% - Accent6 2 3 6 4" xfId="19323"/>
    <cellStyle name="40% - Accent6 2 3 6 5" xfId="27763"/>
    <cellStyle name="40% - Accent6 2 3 7" xfId="4597"/>
    <cellStyle name="40% - Accent6 2 3 7 2" xfId="13033"/>
    <cellStyle name="40% - Accent6 2 3 7 3" xfId="21474"/>
    <cellStyle name="40% - Accent6 2 3 7 4" xfId="29914"/>
    <cellStyle name="40% - Accent6 2 3 8" xfId="8815"/>
    <cellStyle name="40% - Accent6 2 3 9" xfId="17257"/>
    <cellStyle name="40% - Accent6 2 4" xfId="659"/>
    <cellStyle name="40% - Accent6 2 4 2" xfId="2930"/>
    <cellStyle name="40% - Accent6 2 4 2 2" xfId="7153"/>
    <cellStyle name="40% - Accent6 2 4 2 2 2" xfId="15589"/>
    <cellStyle name="40% - Accent6 2 4 2 2 3" xfId="24030"/>
    <cellStyle name="40% - Accent6 2 4 2 2 4" xfId="32470"/>
    <cellStyle name="40% - Accent6 2 4 2 3" xfId="11371"/>
    <cellStyle name="40% - Accent6 2 4 2 4" xfId="19813"/>
    <cellStyle name="40% - Accent6 2 4 2 5" xfId="28253"/>
    <cellStyle name="40% - Accent6 2 4 3" xfId="5008"/>
    <cellStyle name="40% - Accent6 2 4 3 2" xfId="13444"/>
    <cellStyle name="40% - Accent6 2 4 3 3" xfId="21885"/>
    <cellStyle name="40% - Accent6 2 4 3 4" xfId="30325"/>
    <cellStyle name="40% - Accent6 2 4 4" xfId="9226"/>
    <cellStyle name="40% - Accent6 2 4 5" xfId="17668"/>
    <cellStyle name="40% - Accent6 2 4 6" xfId="26108"/>
    <cellStyle name="40% - Accent6 2 5" xfId="1112"/>
    <cellStyle name="40% - Accent6 2 5 2" xfId="3343"/>
    <cellStyle name="40% - Accent6 2 5 2 2" xfId="7566"/>
    <cellStyle name="40% - Accent6 2 5 2 2 2" xfId="16002"/>
    <cellStyle name="40% - Accent6 2 5 2 2 3" xfId="24443"/>
    <cellStyle name="40% - Accent6 2 5 2 2 4" xfId="32883"/>
    <cellStyle name="40% - Accent6 2 5 2 3" xfId="11784"/>
    <cellStyle name="40% - Accent6 2 5 2 4" xfId="20226"/>
    <cellStyle name="40% - Accent6 2 5 2 5" xfId="28666"/>
    <cellStyle name="40% - Accent6 2 5 3" xfId="5421"/>
    <cellStyle name="40% - Accent6 2 5 3 2" xfId="13857"/>
    <cellStyle name="40% - Accent6 2 5 3 3" xfId="22298"/>
    <cellStyle name="40% - Accent6 2 5 3 4" xfId="30738"/>
    <cellStyle name="40% - Accent6 2 5 4" xfId="9639"/>
    <cellStyle name="40% - Accent6 2 5 5" xfId="18081"/>
    <cellStyle name="40% - Accent6 2 5 6" xfId="26521"/>
    <cellStyle name="40% - Accent6 2 6" xfId="1526"/>
    <cellStyle name="40% - Accent6 2 6 2" xfId="3756"/>
    <cellStyle name="40% - Accent6 2 6 2 2" xfId="7979"/>
    <cellStyle name="40% - Accent6 2 6 2 2 2" xfId="16415"/>
    <cellStyle name="40% - Accent6 2 6 2 2 3" xfId="24856"/>
    <cellStyle name="40% - Accent6 2 6 2 2 4" xfId="33296"/>
    <cellStyle name="40% - Accent6 2 6 2 3" xfId="12197"/>
    <cellStyle name="40% - Accent6 2 6 2 4" xfId="20639"/>
    <cellStyle name="40% - Accent6 2 6 2 5" xfId="29079"/>
    <cellStyle name="40% - Accent6 2 6 3" xfId="5834"/>
    <cellStyle name="40% - Accent6 2 6 3 2" xfId="14270"/>
    <cellStyle name="40% - Accent6 2 6 3 3" xfId="22711"/>
    <cellStyle name="40% - Accent6 2 6 3 4" xfId="31151"/>
    <cellStyle name="40% - Accent6 2 6 4" xfId="10052"/>
    <cellStyle name="40% - Accent6 2 6 5" xfId="18494"/>
    <cellStyle name="40% - Accent6 2 6 6" xfId="26934"/>
    <cellStyle name="40% - Accent6 2 7" xfId="1940"/>
    <cellStyle name="40% - Accent6 2 7 2" xfId="4169"/>
    <cellStyle name="40% - Accent6 2 7 2 2" xfId="8392"/>
    <cellStyle name="40% - Accent6 2 7 2 2 2" xfId="16828"/>
    <cellStyle name="40% - Accent6 2 7 2 2 3" xfId="25269"/>
    <cellStyle name="40% - Accent6 2 7 2 2 4" xfId="33709"/>
    <cellStyle name="40% - Accent6 2 7 2 3" xfId="12610"/>
    <cellStyle name="40% - Accent6 2 7 2 4" xfId="21052"/>
    <cellStyle name="40% - Accent6 2 7 2 5" xfId="29492"/>
    <cellStyle name="40% - Accent6 2 7 3" xfId="6247"/>
    <cellStyle name="40% - Accent6 2 7 3 2" xfId="14683"/>
    <cellStyle name="40% - Accent6 2 7 3 3" xfId="23124"/>
    <cellStyle name="40% - Accent6 2 7 3 4" xfId="31564"/>
    <cellStyle name="40% - Accent6 2 7 4" xfId="10465"/>
    <cellStyle name="40% - Accent6 2 7 5" xfId="18907"/>
    <cellStyle name="40% - Accent6 2 7 6" xfId="27347"/>
    <cellStyle name="40% - Accent6 2 8" xfId="2353"/>
    <cellStyle name="40% - Accent6 2 8 2" xfId="6660"/>
    <cellStyle name="40% - Accent6 2 8 2 2" xfId="15096"/>
    <cellStyle name="40% - Accent6 2 8 2 3" xfId="23537"/>
    <cellStyle name="40% - Accent6 2 8 2 4" xfId="31977"/>
    <cellStyle name="40% - Accent6 2 8 3" xfId="10878"/>
    <cellStyle name="40% - Accent6 2 8 4" xfId="19320"/>
    <cellStyle name="40% - Accent6 2 8 5" xfId="27760"/>
    <cellStyle name="40% - Accent6 2 9" xfId="4594"/>
    <cellStyle name="40% - Accent6 2 9 2" xfId="13030"/>
    <cellStyle name="40% - Accent6 2 9 3" xfId="21471"/>
    <cellStyle name="40% - Accent6 2 9 4" xfId="29911"/>
    <cellStyle name="40% - Accent6 3" xfId="94"/>
    <cellStyle name="40% - Accent6 3 10" xfId="17258"/>
    <cellStyle name="40% - Accent6 3 11" xfId="25698"/>
    <cellStyle name="40% - Accent6 3 2" xfId="95"/>
    <cellStyle name="40% - Accent6 3 2 10" xfId="25699"/>
    <cellStyle name="40% - Accent6 3 2 2" xfId="664"/>
    <cellStyle name="40% - Accent6 3 2 2 2" xfId="2935"/>
    <cellStyle name="40% - Accent6 3 2 2 2 2" xfId="7158"/>
    <cellStyle name="40% - Accent6 3 2 2 2 2 2" xfId="15594"/>
    <cellStyle name="40% - Accent6 3 2 2 2 2 3" xfId="24035"/>
    <cellStyle name="40% - Accent6 3 2 2 2 2 4" xfId="32475"/>
    <cellStyle name="40% - Accent6 3 2 2 2 3" xfId="11376"/>
    <cellStyle name="40% - Accent6 3 2 2 2 4" xfId="19818"/>
    <cellStyle name="40% - Accent6 3 2 2 2 5" xfId="28258"/>
    <cellStyle name="40% - Accent6 3 2 2 3" xfId="5013"/>
    <cellStyle name="40% - Accent6 3 2 2 3 2" xfId="13449"/>
    <cellStyle name="40% - Accent6 3 2 2 3 3" xfId="21890"/>
    <cellStyle name="40% - Accent6 3 2 2 3 4" xfId="30330"/>
    <cellStyle name="40% - Accent6 3 2 2 4" xfId="9231"/>
    <cellStyle name="40% - Accent6 3 2 2 5" xfId="17673"/>
    <cellStyle name="40% - Accent6 3 2 2 6" xfId="26113"/>
    <cellStyle name="40% - Accent6 3 2 3" xfId="1117"/>
    <cellStyle name="40% - Accent6 3 2 3 2" xfId="3348"/>
    <cellStyle name="40% - Accent6 3 2 3 2 2" xfId="7571"/>
    <cellStyle name="40% - Accent6 3 2 3 2 2 2" xfId="16007"/>
    <cellStyle name="40% - Accent6 3 2 3 2 2 3" xfId="24448"/>
    <cellStyle name="40% - Accent6 3 2 3 2 2 4" xfId="32888"/>
    <cellStyle name="40% - Accent6 3 2 3 2 3" xfId="11789"/>
    <cellStyle name="40% - Accent6 3 2 3 2 4" xfId="20231"/>
    <cellStyle name="40% - Accent6 3 2 3 2 5" xfId="28671"/>
    <cellStyle name="40% - Accent6 3 2 3 3" xfId="5426"/>
    <cellStyle name="40% - Accent6 3 2 3 3 2" xfId="13862"/>
    <cellStyle name="40% - Accent6 3 2 3 3 3" xfId="22303"/>
    <cellStyle name="40% - Accent6 3 2 3 3 4" xfId="30743"/>
    <cellStyle name="40% - Accent6 3 2 3 4" xfId="9644"/>
    <cellStyle name="40% - Accent6 3 2 3 5" xfId="18086"/>
    <cellStyle name="40% - Accent6 3 2 3 6" xfId="26526"/>
    <cellStyle name="40% - Accent6 3 2 4" xfId="1531"/>
    <cellStyle name="40% - Accent6 3 2 4 2" xfId="3761"/>
    <cellStyle name="40% - Accent6 3 2 4 2 2" xfId="7984"/>
    <cellStyle name="40% - Accent6 3 2 4 2 2 2" xfId="16420"/>
    <cellStyle name="40% - Accent6 3 2 4 2 2 3" xfId="24861"/>
    <cellStyle name="40% - Accent6 3 2 4 2 2 4" xfId="33301"/>
    <cellStyle name="40% - Accent6 3 2 4 2 3" xfId="12202"/>
    <cellStyle name="40% - Accent6 3 2 4 2 4" xfId="20644"/>
    <cellStyle name="40% - Accent6 3 2 4 2 5" xfId="29084"/>
    <cellStyle name="40% - Accent6 3 2 4 3" xfId="5839"/>
    <cellStyle name="40% - Accent6 3 2 4 3 2" xfId="14275"/>
    <cellStyle name="40% - Accent6 3 2 4 3 3" xfId="22716"/>
    <cellStyle name="40% - Accent6 3 2 4 3 4" xfId="31156"/>
    <cellStyle name="40% - Accent6 3 2 4 4" xfId="10057"/>
    <cellStyle name="40% - Accent6 3 2 4 5" xfId="18499"/>
    <cellStyle name="40% - Accent6 3 2 4 6" xfId="26939"/>
    <cellStyle name="40% - Accent6 3 2 5" xfId="1945"/>
    <cellStyle name="40% - Accent6 3 2 5 2" xfId="4174"/>
    <cellStyle name="40% - Accent6 3 2 5 2 2" xfId="8397"/>
    <cellStyle name="40% - Accent6 3 2 5 2 2 2" xfId="16833"/>
    <cellStyle name="40% - Accent6 3 2 5 2 2 3" xfId="25274"/>
    <cellStyle name="40% - Accent6 3 2 5 2 2 4" xfId="33714"/>
    <cellStyle name="40% - Accent6 3 2 5 2 3" xfId="12615"/>
    <cellStyle name="40% - Accent6 3 2 5 2 4" xfId="21057"/>
    <cellStyle name="40% - Accent6 3 2 5 2 5" xfId="29497"/>
    <cellStyle name="40% - Accent6 3 2 5 3" xfId="6252"/>
    <cellStyle name="40% - Accent6 3 2 5 3 2" xfId="14688"/>
    <cellStyle name="40% - Accent6 3 2 5 3 3" xfId="23129"/>
    <cellStyle name="40% - Accent6 3 2 5 3 4" xfId="31569"/>
    <cellStyle name="40% - Accent6 3 2 5 4" xfId="10470"/>
    <cellStyle name="40% - Accent6 3 2 5 5" xfId="18912"/>
    <cellStyle name="40% - Accent6 3 2 5 6" xfId="27352"/>
    <cellStyle name="40% - Accent6 3 2 6" xfId="2358"/>
    <cellStyle name="40% - Accent6 3 2 6 2" xfId="6665"/>
    <cellStyle name="40% - Accent6 3 2 6 2 2" xfId="15101"/>
    <cellStyle name="40% - Accent6 3 2 6 2 3" xfId="23542"/>
    <cellStyle name="40% - Accent6 3 2 6 2 4" xfId="31982"/>
    <cellStyle name="40% - Accent6 3 2 6 3" xfId="10883"/>
    <cellStyle name="40% - Accent6 3 2 6 4" xfId="19325"/>
    <cellStyle name="40% - Accent6 3 2 6 5" xfId="27765"/>
    <cellStyle name="40% - Accent6 3 2 7" xfId="4599"/>
    <cellStyle name="40% - Accent6 3 2 7 2" xfId="13035"/>
    <cellStyle name="40% - Accent6 3 2 7 3" xfId="21476"/>
    <cellStyle name="40% - Accent6 3 2 7 4" xfId="29916"/>
    <cellStyle name="40% - Accent6 3 2 8" xfId="8817"/>
    <cellStyle name="40% - Accent6 3 2 9" xfId="17259"/>
    <cellStyle name="40% - Accent6 3 3" xfId="663"/>
    <cellStyle name="40% - Accent6 3 3 2" xfId="2934"/>
    <cellStyle name="40% - Accent6 3 3 2 2" xfId="7157"/>
    <cellStyle name="40% - Accent6 3 3 2 2 2" xfId="15593"/>
    <cellStyle name="40% - Accent6 3 3 2 2 3" xfId="24034"/>
    <cellStyle name="40% - Accent6 3 3 2 2 4" xfId="32474"/>
    <cellStyle name="40% - Accent6 3 3 2 3" xfId="11375"/>
    <cellStyle name="40% - Accent6 3 3 2 4" xfId="19817"/>
    <cellStyle name="40% - Accent6 3 3 2 5" xfId="28257"/>
    <cellStyle name="40% - Accent6 3 3 3" xfId="5012"/>
    <cellStyle name="40% - Accent6 3 3 3 2" xfId="13448"/>
    <cellStyle name="40% - Accent6 3 3 3 3" xfId="21889"/>
    <cellStyle name="40% - Accent6 3 3 3 4" xfId="30329"/>
    <cellStyle name="40% - Accent6 3 3 4" xfId="9230"/>
    <cellStyle name="40% - Accent6 3 3 5" xfId="17672"/>
    <cellStyle name="40% - Accent6 3 3 6" xfId="26112"/>
    <cellStyle name="40% - Accent6 3 4" xfId="1116"/>
    <cellStyle name="40% - Accent6 3 4 2" xfId="3347"/>
    <cellStyle name="40% - Accent6 3 4 2 2" xfId="7570"/>
    <cellStyle name="40% - Accent6 3 4 2 2 2" xfId="16006"/>
    <cellStyle name="40% - Accent6 3 4 2 2 3" xfId="24447"/>
    <cellStyle name="40% - Accent6 3 4 2 2 4" xfId="32887"/>
    <cellStyle name="40% - Accent6 3 4 2 3" xfId="11788"/>
    <cellStyle name="40% - Accent6 3 4 2 4" xfId="20230"/>
    <cellStyle name="40% - Accent6 3 4 2 5" xfId="28670"/>
    <cellStyle name="40% - Accent6 3 4 3" xfId="5425"/>
    <cellStyle name="40% - Accent6 3 4 3 2" xfId="13861"/>
    <cellStyle name="40% - Accent6 3 4 3 3" xfId="22302"/>
    <cellStyle name="40% - Accent6 3 4 3 4" xfId="30742"/>
    <cellStyle name="40% - Accent6 3 4 4" xfId="9643"/>
    <cellStyle name="40% - Accent6 3 4 5" xfId="18085"/>
    <cellStyle name="40% - Accent6 3 4 6" xfId="26525"/>
    <cellStyle name="40% - Accent6 3 5" xfId="1530"/>
    <cellStyle name="40% - Accent6 3 5 2" xfId="3760"/>
    <cellStyle name="40% - Accent6 3 5 2 2" xfId="7983"/>
    <cellStyle name="40% - Accent6 3 5 2 2 2" xfId="16419"/>
    <cellStyle name="40% - Accent6 3 5 2 2 3" xfId="24860"/>
    <cellStyle name="40% - Accent6 3 5 2 2 4" xfId="33300"/>
    <cellStyle name="40% - Accent6 3 5 2 3" xfId="12201"/>
    <cellStyle name="40% - Accent6 3 5 2 4" xfId="20643"/>
    <cellStyle name="40% - Accent6 3 5 2 5" xfId="29083"/>
    <cellStyle name="40% - Accent6 3 5 3" xfId="5838"/>
    <cellStyle name="40% - Accent6 3 5 3 2" xfId="14274"/>
    <cellStyle name="40% - Accent6 3 5 3 3" xfId="22715"/>
    <cellStyle name="40% - Accent6 3 5 3 4" xfId="31155"/>
    <cellStyle name="40% - Accent6 3 5 4" xfId="10056"/>
    <cellStyle name="40% - Accent6 3 5 5" xfId="18498"/>
    <cellStyle name="40% - Accent6 3 5 6" xfId="26938"/>
    <cellStyle name="40% - Accent6 3 6" xfId="1944"/>
    <cellStyle name="40% - Accent6 3 6 2" xfId="4173"/>
    <cellStyle name="40% - Accent6 3 6 2 2" xfId="8396"/>
    <cellStyle name="40% - Accent6 3 6 2 2 2" xfId="16832"/>
    <cellStyle name="40% - Accent6 3 6 2 2 3" xfId="25273"/>
    <cellStyle name="40% - Accent6 3 6 2 2 4" xfId="33713"/>
    <cellStyle name="40% - Accent6 3 6 2 3" xfId="12614"/>
    <cellStyle name="40% - Accent6 3 6 2 4" xfId="21056"/>
    <cellStyle name="40% - Accent6 3 6 2 5" xfId="29496"/>
    <cellStyle name="40% - Accent6 3 6 3" xfId="6251"/>
    <cellStyle name="40% - Accent6 3 6 3 2" xfId="14687"/>
    <cellStyle name="40% - Accent6 3 6 3 3" xfId="23128"/>
    <cellStyle name="40% - Accent6 3 6 3 4" xfId="31568"/>
    <cellStyle name="40% - Accent6 3 6 4" xfId="10469"/>
    <cellStyle name="40% - Accent6 3 6 5" xfId="18911"/>
    <cellStyle name="40% - Accent6 3 6 6" xfId="27351"/>
    <cellStyle name="40% - Accent6 3 7" xfId="2357"/>
    <cellStyle name="40% - Accent6 3 7 2" xfId="6664"/>
    <cellStyle name="40% - Accent6 3 7 2 2" xfId="15100"/>
    <cellStyle name="40% - Accent6 3 7 2 3" xfId="23541"/>
    <cellStyle name="40% - Accent6 3 7 2 4" xfId="31981"/>
    <cellStyle name="40% - Accent6 3 7 3" xfId="10882"/>
    <cellStyle name="40% - Accent6 3 7 4" xfId="19324"/>
    <cellStyle name="40% - Accent6 3 7 5" xfId="27764"/>
    <cellStyle name="40% - Accent6 3 8" xfId="4598"/>
    <cellStyle name="40% - Accent6 3 8 2" xfId="13034"/>
    <cellStyle name="40% - Accent6 3 8 3" xfId="21475"/>
    <cellStyle name="40% - Accent6 3 8 4" xfId="29915"/>
    <cellStyle name="40% - Accent6 3 9" xfId="8816"/>
    <cellStyle name="40% - Accent6 4" xfId="96"/>
    <cellStyle name="40% - Accent6 4 10" xfId="25700"/>
    <cellStyle name="40% - Accent6 4 2" xfId="665"/>
    <cellStyle name="40% - Accent6 4 2 2" xfId="2936"/>
    <cellStyle name="40% - Accent6 4 2 2 2" xfId="7159"/>
    <cellStyle name="40% - Accent6 4 2 2 2 2" xfId="15595"/>
    <cellStyle name="40% - Accent6 4 2 2 2 3" xfId="24036"/>
    <cellStyle name="40% - Accent6 4 2 2 2 4" xfId="32476"/>
    <cellStyle name="40% - Accent6 4 2 2 3" xfId="11377"/>
    <cellStyle name="40% - Accent6 4 2 2 4" xfId="19819"/>
    <cellStyle name="40% - Accent6 4 2 2 5" xfId="28259"/>
    <cellStyle name="40% - Accent6 4 2 3" xfId="5014"/>
    <cellStyle name="40% - Accent6 4 2 3 2" xfId="13450"/>
    <cellStyle name="40% - Accent6 4 2 3 3" xfId="21891"/>
    <cellStyle name="40% - Accent6 4 2 3 4" xfId="30331"/>
    <cellStyle name="40% - Accent6 4 2 4" xfId="9232"/>
    <cellStyle name="40% - Accent6 4 2 5" xfId="17674"/>
    <cellStyle name="40% - Accent6 4 2 6" xfId="26114"/>
    <cellStyle name="40% - Accent6 4 3" xfId="1118"/>
    <cellStyle name="40% - Accent6 4 3 2" xfId="3349"/>
    <cellStyle name="40% - Accent6 4 3 2 2" xfId="7572"/>
    <cellStyle name="40% - Accent6 4 3 2 2 2" xfId="16008"/>
    <cellStyle name="40% - Accent6 4 3 2 2 3" xfId="24449"/>
    <cellStyle name="40% - Accent6 4 3 2 2 4" xfId="32889"/>
    <cellStyle name="40% - Accent6 4 3 2 3" xfId="11790"/>
    <cellStyle name="40% - Accent6 4 3 2 4" xfId="20232"/>
    <cellStyle name="40% - Accent6 4 3 2 5" xfId="28672"/>
    <cellStyle name="40% - Accent6 4 3 3" xfId="5427"/>
    <cellStyle name="40% - Accent6 4 3 3 2" xfId="13863"/>
    <cellStyle name="40% - Accent6 4 3 3 3" xfId="22304"/>
    <cellStyle name="40% - Accent6 4 3 3 4" xfId="30744"/>
    <cellStyle name="40% - Accent6 4 3 4" xfId="9645"/>
    <cellStyle name="40% - Accent6 4 3 5" xfId="18087"/>
    <cellStyle name="40% - Accent6 4 3 6" xfId="26527"/>
    <cellStyle name="40% - Accent6 4 4" xfId="1532"/>
    <cellStyle name="40% - Accent6 4 4 2" xfId="3762"/>
    <cellStyle name="40% - Accent6 4 4 2 2" xfId="7985"/>
    <cellStyle name="40% - Accent6 4 4 2 2 2" xfId="16421"/>
    <cellStyle name="40% - Accent6 4 4 2 2 3" xfId="24862"/>
    <cellStyle name="40% - Accent6 4 4 2 2 4" xfId="33302"/>
    <cellStyle name="40% - Accent6 4 4 2 3" xfId="12203"/>
    <cellStyle name="40% - Accent6 4 4 2 4" xfId="20645"/>
    <cellStyle name="40% - Accent6 4 4 2 5" xfId="29085"/>
    <cellStyle name="40% - Accent6 4 4 3" xfId="5840"/>
    <cellStyle name="40% - Accent6 4 4 3 2" xfId="14276"/>
    <cellStyle name="40% - Accent6 4 4 3 3" xfId="22717"/>
    <cellStyle name="40% - Accent6 4 4 3 4" xfId="31157"/>
    <cellStyle name="40% - Accent6 4 4 4" xfId="10058"/>
    <cellStyle name="40% - Accent6 4 4 5" xfId="18500"/>
    <cellStyle name="40% - Accent6 4 4 6" xfId="26940"/>
    <cellStyle name="40% - Accent6 4 5" xfId="1946"/>
    <cellStyle name="40% - Accent6 4 5 2" xfId="4175"/>
    <cellStyle name="40% - Accent6 4 5 2 2" xfId="8398"/>
    <cellStyle name="40% - Accent6 4 5 2 2 2" xfId="16834"/>
    <cellStyle name="40% - Accent6 4 5 2 2 3" xfId="25275"/>
    <cellStyle name="40% - Accent6 4 5 2 2 4" xfId="33715"/>
    <cellStyle name="40% - Accent6 4 5 2 3" xfId="12616"/>
    <cellStyle name="40% - Accent6 4 5 2 4" xfId="21058"/>
    <cellStyle name="40% - Accent6 4 5 2 5" xfId="29498"/>
    <cellStyle name="40% - Accent6 4 5 3" xfId="6253"/>
    <cellStyle name="40% - Accent6 4 5 3 2" xfId="14689"/>
    <cellStyle name="40% - Accent6 4 5 3 3" xfId="23130"/>
    <cellStyle name="40% - Accent6 4 5 3 4" xfId="31570"/>
    <cellStyle name="40% - Accent6 4 5 4" xfId="10471"/>
    <cellStyle name="40% - Accent6 4 5 5" xfId="18913"/>
    <cellStyle name="40% - Accent6 4 5 6" xfId="27353"/>
    <cellStyle name="40% - Accent6 4 6" xfId="2359"/>
    <cellStyle name="40% - Accent6 4 6 2" xfId="6666"/>
    <cellStyle name="40% - Accent6 4 6 2 2" xfId="15102"/>
    <cellStyle name="40% - Accent6 4 6 2 3" xfId="23543"/>
    <cellStyle name="40% - Accent6 4 6 2 4" xfId="31983"/>
    <cellStyle name="40% - Accent6 4 6 3" xfId="10884"/>
    <cellStyle name="40% - Accent6 4 6 4" xfId="19326"/>
    <cellStyle name="40% - Accent6 4 6 5" xfId="27766"/>
    <cellStyle name="40% - Accent6 4 7" xfId="4600"/>
    <cellStyle name="40% - Accent6 4 7 2" xfId="13036"/>
    <cellStyle name="40% - Accent6 4 7 3" xfId="21477"/>
    <cellStyle name="40% - Accent6 4 7 4" xfId="29917"/>
    <cellStyle name="40% - Accent6 4 8" xfId="8818"/>
    <cellStyle name="40% - Accent6 4 9" xfId="17260"/>
    <cellStyle name="40% - Accent6 5" xfId="658"/>
    <cellStyle name="40% - Accent6 5 2" xfId="2929"/>
    <cellStyle name="40% - Accent6 5 2 2" xfId="7152"/>
    <cellStyle name="40% - Accent6 5 2 2 2" xfId="15588"/>
    <cellStyle name="40% - Accent6 5 2 2 3" xfId="24029"/>
    <cellStyle name="40% - Accent6 5 2 2 4" xfId="32469"/>
    <cellStyle name="40% - Accent6 5 2 3" xfId="11370"/>
    <cellStyle name="40% - Accent6 5 2 4" xfId="19812"/>
    <cellStyle name="40% - Accent6 5 2 5" xfId="28252"/>
    <cellStyle name="40% - Accent6 5 3" xfId="5007"/>
    <cellStyle name="40% - Accent6 5 3 2" xfId="13443"/>
    <cellStyle name="40% - Accent6 5 3 3" xfId="21884"/>
    <cellStyle name="40% - Accent6 5 3 4" xfId="30324"/>
    <cellStyle name="40% - Accent6 5 4" xfId="9225"/>
    <cellStyle name="40% - Accent6 5 5" xfId="17667"/>
    <cellStyle name="40% - Accent6 5 6" xfId="26107"/>
    <cellStyle name="40% - Accent6 6" xfId="1111"/>
    <cellStyle name="40% - Accent6 6 2" xfId="3342"/>
    <cellStyle name="40% - Accent6 6 2 2" xfId="7565"/>
    <cellStyle name="40% - Accent6 6 2 2 2" xfId="16001"/>
    <cellStyle name="40% - Accent6 6 2 2 3" xfId="24442"/>
    <cellStyle name="40% - Accent6 6 2 2 4" xfId="32882"/>
    <cellStyle name="40% - Accent6 6 2 3" xfId="11783"/>
    <cellStyle name="40% - Accent6 6 2 4" xfId="20225"/>
    <cellStyle name="40% - Accent6 6 2 5" xfId="28665"/>
    <cellStyle name="40% - Accent6 6 3" xfId="5420"/>
    <cellStyle name="40% - Accent6 6 3 2" xfId="13856"/>
    <cellStyle name="40% - Accent6 6 3 3" xfId="22297"/>
    <cellStyle name="40% - Accent6 6 3 4" xfId="30737"/>
    <cellStyle name="40% - Accent6 6 4" xfId="9638"/>
    <cellStyle name="40% - Accent6 6 5" xfId="18080"/>
    <cellStyle name="40% - Accent6 6 6" xfId="26520"/>
    <cellStyle name="40% - Accent6 7" xfId="1525"/>
    <cellStyle name="40% - Accent6 7 2" xfId="3755"/>
    <cellStyle name="40% - Accent6 7 2 2" xfId="7978"/>
    <cellStyle name="40% - Accent6 7 2 2 2" xfId="16414"/>
    <cellStyle name="40% - Accent6 7 2 2 3" xfId="24855"/>
    <cellStyle name="40% - Accent6 7 2 2 4" xfId="33295"/>
    <cellStyle name="40% - Accent6 7 2 3" xfId="12196"/>
    <cellStyle name="40% - Accent6 7 2 4" xfId="20638"/>
    <cellStyle name="40% - Accent6 7 2 5" xfId="29078"/>
    <cellStyle name="40% - Accent6 7 3" xfId="5833"/>
    <cellStyle name="40% - Accent6 7 3 2" xfId="14269"/>
    <cellStyle name="40% - Accent6 7 3 3" xfId="22710"/>
    <cellStyle name="40% - Accent6 7 3 4" xfId="31150"/>
    <cellStyle name="40% - Accent6 7 4" xfId="10051"/>
    <cellStyle name="40% - Accent6 7 5" xfId="18493"/>
    <cellStyle name="40% - Accent6 7 6" xfId="26933"/>
    <cellStyle name="40% - Accent6 8" xfId="1939"/>
    <cellStyle name="40% - Accent6 8 2" xfId="4168"/>
    <cellStyle name="40% - Accent6 8 2 2" xfId="8391"/>
    <cellStyle name="40% - Accent6 8 2 2 2" xfId="16827"/>
    <cellStyle name="40% - Accent6 8 2 2 3" xfId="25268"/>
    <cellStyle name="40% - Accent6 8 2 2 4" xfId="33708"/>
    <cellStyle name="40% - Accent6 8 2 3" xfId="12609"/>
    <cellStyle name="40% - Accent6 8 2 4" xfId="21051"/>
    <cellStyle name="40% - Accent6 8 2 5" xfId="29491"/>
    <cellStyle name="40% - Accent6 8 3" xfId="6246"/>
    <cellStyle name="40% - Accent6 8 3 2" xfId="14682"/>
    <cellStyle name="40% - Accent6 8 3 3" xfId="23123"/>
    <cellStyle name="40% - Accent6 8 3 4" xfId="31563"/>
    <cellStyle name="40% - Accent6 8 4" xfId="10464"/>
    <cellStyle name="40% - Accent6 8 5" xfId="18906"/>
    <cellStyle name="40% - Accent6 8 6" xfId="27346"/>
    <cellStyle name="40% - Accent6 9" xfId="2352"/>
    <cellStyle name="40% - Accent6 9 2" xfId="6659"/>
    <cellStyle name="40% - Accent6 9 2 2" xfId="15095"/>
    <cellStyle name="40% - Accent6 9 2 3" xfId="23536"/>
    <cellStyle name="40% - Accent6 9 2 4" xfId="31976"/>
    <cellStyle name="40% - Accent6 9 3" xfId="10877"/>
    <cellStyle name="40% - Accent6 9 4" xfId="19319"/>
    <cellStyle name="40% - Accent6 9 5" xfId="277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0 2 2" xfId="15420"/>
    <cellStyle name="Comma 4 2 2 2 10 2 3" xfId="23861"/>
    <cellStyle name="Comma 4 2 2 2 10 2 4" xfId="32301"/>
    <cellStyle name="Comma 4 2 2 2 10 3" xfId="11202"/>
    <cellStyle name="Comma 4 2 2 2 10 4" xfId="19644"/>
    <cellStyle name="Comma 4 2 2 2 10 5" xfId="28084"/>
    <cellStyle name="Comma 4 2 2 2 11" xfId="4601"/>
    <cellStyle name="Comma 4 2 2 2 11 2" xfId="13037"/>
    <cellStyle name="Comma 4 2 2 2 11 3" xfId="21478"/>
    <cellStyle name="Comma 4 2 2 2 11 4" xfId="29918"/>
    <cellStyle name="Comma 4 2 2 2 12" xfId="8819"/>
    <cellStyle name="Comma 4 2 2 2 13" xfId="17261"/>
    <cellStyle name="Comma 4 2 2 2 14" xfId="25701"/>
    <cellStyle name="Comma 4 2 2 2 2" xfId="129"/>
    <cellStyle name="Comma 4 2 2 2 2 10" xfId="4602"/>
    <cellStyle name="Comma 4 2 2 2 2 10 2" xfId="13038"/>
    <cellStyle name="Comma 4 2 2 2 2 10 3" xfId="21479"/>
    <cellStyle name="Comma 4 2 2 2 2 10 4" xfId="29919"/>
    <cellStyle name="Comma 4 2 2 2 2 11" xfId="8820"/>
    <cellStyle name="Comma 4 2 2 2 2 12" xfId="17262"/>
    <cellStyle name="Comma 4 2 2 2 2 13" xfId="25702"/>
    <cellStyle name="Comma 4 2 2 2 2 2" xfId="130"/>
    <cellStyle name="Comma 4 2 2 2 2 2 10" xfId="8821"/>
    <cellStyle name="Comma 4 2 2 2 2 2 11" xfId="17263"/>
    <cellStyle name="Comma 4 2 2 2 2 2 12" xfId="25703"/>
    <cellStyle name="Comma 4 2 2 2 2 2 2" xfId="668"/>
    <cellStyle name="Comma 4 2 2 2 2 2 2 2" xfId="2939"/>
    <cellStyle name="Comma 4 2 2 2 2 2 2 2 2" xfId="7162"/>
    <cellStyle name="Comma 4 2 2 2 2 2 2 2 2 2" xfId="15598"/>
    <cellStyle name="Comma 4 2 2 2 2 2 2 2 2 3" xfId="24039"/>
    <cellStyle name="Comma 4 2 2 2 2 2 2 2 2 4" xfId="32479"/>
    <cellStyle name="Comma 4 2 2 2 2 2 2 2 3" xfId="11380"/>
    <cellStyle name="Comma 4 2 2 2 2 2 2 2 4" xfId="19822"/>
    <cellStyle name="Comma 4 2 2 2 2 2 2 2 5" xfId="28262"/>
    <cellStyle name="Comma 4 2 2 2 2 2 2 3" xfId="5017"/>
    <cellStyle name="Comma 4 2 2 2 2 2 2 3 2" xfId="13453"/>
    <cellStyle name="Comma 4 2 2 2 2 2 2 3 3" xfId="21894"/>
    <cellStyle name="Comma 4 2 2 2 2 2 2 3 4" xfId="30334"/>
    <cellStyle name="Comma 4 2 2 2 2 2 2 4" xfId="9235"/>
    <cellStyle name="Comma 4 2 2 2 2 2 2 5" xfId="17677"/>
    <cellStyle name="Comma 4 2 2 2 2 2 2 6" xfId="26117"/>
    <cellStyle name="Comma 4 2 2 2 2 2 3" xfId="1121"/>
    <cellStyle name="Comma 4 2 2 2 2 2 3 2" xfId="3352"/>
    <cellStyle name="Comma 4 2 2 2 2 2 3 2 2" xfId="7575"/>
    <cellStyle name="Comma 4 2 2 2 2 2 3 2 2 2" xfId="16011"/>
    <cellStyle name="Comma 4 2 2 2 2 2 3 2 2 3" xfId="24452"/>
    <cellStyle name="Comma 4 2 2 2 2 2 3 2 2 4" xfId="32892"/>
    <cellStyle name="Comma 4 2 2 2 2 2 3 2 3" xfId="11793"/>
    <cellStyle name="Comma 4 2 2 2 2 2 3 2 4" xfId="20235"/>
    <cellStyle name="Comma 4 2 2 2 2 2 3 2 5" xfId="28675"/>
    <cellStyle name="Comma 4 2 2 2 2 2 3 3" xfId="5430"/>
    <cellStyle name="Comma 4 2 2 2 2 2 3 3 2" xfId="13866"/>
    <cellStyle name="Comma 4 2 2 2 2 2 3 3 3" xfId="22307"/>
    <cellStyle name="Comma 4 2 2 2 2 2 3 3 4" xfId="30747"/>
    <cellStyle name="Comma 4 2 2 2 2 2 3 4" xfId="9648"/>
    <cellStyle name="Comma 4 2 2 2 2 2 3 5" xfId="18090"/>
    <cellStyle name="Comma 4 2 2 2 2 2 3 6" xfId="26530"/>
    <cellStyle name="Comma 4 2 2 2 2 2 4" xfId="1535"/>
    <cellStyle name="Comma 4 2 2 2 2 2 4 2" xfId="3765"/>
    <cellStyle name="Comma 4 2 2 2 2 2 4 2 2" xfId="7988"/>
    <cellStyle name="Comma 4 2 2 2 2 2 4 2 2 2" xfId="16424"/>
    <cellStyle name="Comma 4 2 2 2 2 2 4 2 2 3" xfId="24865"/>
    <cellStyle name="Comma 4 2 2 2 2 2 4 2 2 4" xfId="33305"/>
    <cellStyle name="Comma 4 2 2 2 2 2 4 2 3" xfId="12206"/>
    <cellStyle name="Comma 4 2 2 2 2 2 4 2 4" xfId="20648"/>
    <cellStyle name="Comma 4 2 2 2 2 2 4 2 5" xfId="29088"/>
    <cellStyle name="Comma 4 2 2 2 2 2 4 3" xfId="5843"/>
    <cellStyle name="Comma 4 2 2 2 2 2 4 3 2" xfId="14279"/>
    <cellStyle name="Comma 4 2 2 2 2 2 4 3 3" xfId="22720"/>
    <cellStyle name="Comma 4 2 2 2 2 2 4 3 4" xfId="31160"/>
    <cellStyle name="Comma 4 2 2 2 2 2 4 4" xfId="10061"/>
    <cellStyle name="Comma 4 2 2 2 2 2 4 5" xfId="18503"/>
    <cellStyle name="Comma 4 2 2 2 2 2 4 6" xfId="26943"/>
    <cellStyle name="Comma 4 2 2 2 2 2 5" xfId="1949"/>
    <cellStyle name="Comma 4 2 2 2 2 2 5 2" xfId="4178"/>
    <cellStyle name="Comma 4 2 2 2 2 2 5 2 2" xfId="8401"/>
    <cellStyle name="Comma 4 2 2 2 2 2 5 2 2 2" xfId="16837"/>
    <cellStyle name="Comma 4 2 2 2 2 2 5 2 2 3" xfId="25278"/>
    <cellStyle name="Comma 4 2 2 2 2 2 5 2 2 4" xfId="33718"/>
    <cellStyle name="Comma 4 2 2 2 2 2 5 2 3" xfId="12619"/>
    <cellStyle name="Comma 4 2 2 2 2 2 5 2 4" xfId="21061"/>
    <cellStyle name="Comma 4 2 2 2 2 2 5 2 5" xfId="29501"/>
    <cellStyle name="Comma 4 2 2 2 2 2 5 3" xfId="6256"/>
    <cellStyle name="Comma 4 2 2 2 2 2 5 3 2" xfId="14692"/>
    <cellStyle name="Comma 4 2 2 2 2 2 5 3 3" xfId="23133"/>
    <cellStyle name="Comma 4 2 2 2 2 2 5 3 4" xfId="31573"/>
    <cellStyle name="Comma 4 2 2 2 2 2 5 4" xfId="10474"/>
    <cellStyle name="Comma 4 2 2 2 2 2 5 5" xfId="18916"/>
    <cellStyle name="Comma 4 2 2 2 2 2 5 6" xfId="27356"/>
    <cellStyle name="Comma 4 2 2 2 2 2 6" xfId="2384"/>
    <cellStyle name="Comma 4 2 2 2 2 2 6 2" xfId="6669"/>
    <cellStyle name="Comma 4 2 2 2 2 2 6 2 2" xfId="15105"/>
    <cellStyle name="Comma 4 2 2 2 2 2 6 2 3" xfId="23546"/>
    <cellStyle name="Comma 4 2 2 2 2 2 6 2 4" xfId="31986"/>
    <cellStyle name="Comma 4 2 2 2 2 2 6 3" xfId="10887"/>
    <cellStyle name="Comma 4 2 2 2 2 2 6 4" xfId="19329"/>
    <cellStyle name="Comma 4 2 2 2 2 2 6 5" xfId="27769"/>
    <cellStyle name="Comma 4 2 2 2 2 2 7" xfId="2379"/>
    <cellStyle name="Comma 4 2 2 2 2 2 8" xfId="2762"/>
    <cellStyle name="Comma 4 2 2 2 2 2 8 2" xfId="6986"/>
    <cellStyle name="Comma 4 2 2 2 2 2 8 2 2" xfId="15422"/>
    <cellStyle name="Comma 4 2 2 2 2 2 8 2 3" xfId="23863"/>
    <cellStyle name="Comma 4 2 2 2 2 2 8 2 4" xfId="32303"/>
    <cellStyle name="Comma 4 2 2 2 2 2 8 3" xfId="11204"/>
    <cellStyle name="Comma 4 2 2 2 2 2 8 4" xfId="19646"/>
    <cellStyle name="Comma 4 2 2 2 2 2 8 5" xfId="28086"/>
    <cellStyle name="Comma 4 2 2 2 2 2 9" xfId="4603"/>
    <cellStyle name="Comma 4 2 2 2 2 2 9 2" xfId="13039"/>
    <cellStyle name="Comma 4 2 2 2 2 2 9 3" xfId="21480"/>
    <cellStyle name="Comma 4 2 2 2 2 2 9 4" xfId="29920"/>
    <cellStyle name="Comma 4 2 2 2 2 3" xfId="667"/>
    <cellStyle name="Comma 4 2 2 2 2 3 2" xfId="2938"/>
    <cellStyle name="Comma 4 2 2 2 2 3 2 2" xfId="7161"/>
    <cellStyle name="Comma 4 2 2 2 2 3 2 2 2" xfId="15597"/>
    <cellStyle name="Comma 4 2 2 2 2 3 2 2 3" xfId="24038"/>
    <cellStyle name="Comma 4 2 2 2 2 3 2 2 4" xfId="32478"/>
    <cellStyle name="Comma 4 2 2 2 2 3 2 3" xfId="11379"/>
    <cellStyle name="Comma 4 2 2 2 2 3 2 4" xfId="19821"/>
    <cellStyle name="Comma 4 2 2 2 2 3 2 5" xfId="28261"/>
    <cellStyle name="Comma 4 2 2 2 2 3 3" xfId="5016"/>
    <cellStyle name="Comma 4 2 2 2 2 3 3 2" xfId="13452"/>
    <cellStyle name="Comma 4 2 2 2 2 3 3 3" xfId="21893"/>
    <cellStyle name="Comma 4 2 2 2 2 3 3 4" xfId="30333"/>
    <cellStyle name="Comma 4 2 2 2 2 3 4" xfId="9234"/>
    <cellStyle name="Comma 4 2 2 2 2 3 5" xfId="17676"/>
    <cellStyle name="Comma 4 2 2 2 2 3 6" xfId="26116"/>
    <cellStyle name="Comma 4 2 2 2 2 4" xfId="1120"/>
    <cellStyle name="Comma 4 2 2 2 2 4 2" xfId="3351"/>
    <cellStyle name="Comma 4 2 2 2 2 4 2 2" xfId="7574"/>
    <cellStyle name="Comma 4 2 2 2 2 4 2 2 2" xfId="16010"/>
    <cellStyle name="Comma 4 2 2 2 2 4 2 2 3" xfId="24451"/>
    <cellStyle name="Comma 4 2 2 2 2 4 2 2 4" xfId="32891"/>
    <cellStyle name="Comma 4 2 2 2 2 4 2 3" xfId="11792"/>
    <cellStyle name="Comma 4 2 2 2 2 4 2 4" xfId="20234"/>
    <cellStyle name="Comma 4 2 2 2 2 4 2 5" xfId="28674"/>
    <cellStyle name="Comma 4 2 2 2 2 4 3" xfId="5429"/>
    <cellStyle name="Comma 4 2 2 2 2 4 3 2" xfId="13865"/>
    <cellStyle name="Comma 4 2 2 2 2 4 3 3" xfId="22306"/>
    <cellStyle name="Comma 4 2 2 2 2 4 3 4" xfId="30746"/>
    <cellStyle name="Comma 4 2 2 2 2 4 4" xfId="9647"/>
    <cellStyle name="Comma 4 2 2 2 2 4 5" xfId="18089"/>
    <cellStyle name="Comma 4 2 2 2 2 4 6" xfId="26529"/>
    <cellStyle name="Comma 4 2 2 2 2 5" xfId="1534"/>
    <cellStyle name="Comma 4 2 2 2 2 5 2" xfId="3764"/>
    <cellStyle name="Comma 4 2 2 2 2 5 2 2" xfId="7987"/>
    <cellStyle name="Comma 4 2 2 2 2 5 2 2 2" xfId="16423"/>
    <cellStyle name="Comma 4 2 2 2 2 5 2 2 3" xfId="24864"/>
    <cellStyle name="Comma 4 2 2 2 2 5 2 2 4" xfId="33304"/>
    <cellStyle name="Comma 4 2 2 2 2 5 2 3" xfId="12205"/>
    <cellStyle name="Comma 4 2 2 2 2 5 2 4" xfId="20647"/>
    <cellStyle name="Comma 4 2 2 2 2 5 2 5" xfId="29087"/>
    <cellStyle name="Comma 4 2 2 2 2 5 3" xfId="5842"/>
    <cellStyle name="Comma 4 2 2 2 2 5 3 2" xfId="14278"/>
    <cellStyle name="Comma 4 2 2 2 2 5 3 3" xfId="22719"/>
    <cellStyle name="Comma 4 2 2 2 2 5 3 4" xfId="31159"/>
    <cellStyle name="Comma 4 2 2 2 2 5 4" xfId="10060"/>
    <cellStyle name="Comma 4 2 2 2 2 5 5" xfId="18502"/>
    <cellStyle name="Comma 4 2 2 2 2 5 6" xfId="26942"/>
    <cellStyle name="Comma 4 2 2 2 2 6" xfId="1948"/>
    <cellStyle name="Comma 4 2 2 2 2 6 2" xfId="4177"/>
    <cellStyle name="Comma 4 2 2 2 2 6 2 2" xfId="8400"/>
    <cellStyle name="Comma 4 2 2 2 2 6 2 2 2" xfId="16836"/>
    <cellStyle name="Comma 4 2 2 2 2 6 2 2 3" xfId="25277"/>
    <cellStyle name="Comma 4 2 2 2 2 6 2 2 4" xfId="33717"/>
    <cellStyle name="Comma 4 2 2 2 2 6 2 3" xfId="12618"/>
    <cellStyle name="Comma 4 2 2 2 2 6 2 4" xfId="21060"/>
    <cellStyle name="Comma 4 2 2 2 2 6 2 5" xfId="29500"/>
    <cellStyle name="Comma 4 2 2 2 2 6 3" xfId="6255"/>
    <cellStyle name="Comma 4 2 2 2 2 6 3 2" xfId="14691"/>
    <cellStyle name="Comma 4 2 2 2 2 6 3 3" xfId="23132"/>
    <cellStyle name="Comma 4 2 2 2 2 6 3 4" xfId="31572"/>
    <cellStyle name="Comma 4 2 2 2 2 6 4" xfId="10473"/>
    <cellStyle name="Comma 4 2 2 2 2 6 5" xfId="18915"/>
    <cellStyle name="Comma 4 2 2 2 2 6 6" xfId="27355"/>
    <cellStyle name="Comma 4 2 2 2 2 7" xfId="2383"/>
    <cellStyle name="Comma 4 2 2 2 2 7 2" xfId="6668"/>
    <cellStyle name="Comma 4 2 2 2 2 7 2 2" xfId="15104"/>
    <cellStyle name="Comma 4 2 2 2 2 7 2 3" xfId="23545"/>
    <cellStyle name="Comma 4 2 2 2 2 7 2 4" xfId="31985"/>
    <cellStyle name="Comma 4 2 2 2 2 7 3" xfId="10886"/>
    <cellStyle name="Comma 4 2 2 2 2 7 4" xfId="19328"/>
    <cellStyle name="Comma 4 2 2 2 2 7 5" xfId="27768"/>
    <cellStyle name="Comma 4 2 2 2 2 8" xfId="2380"/>
    <cellStyle name="Comma 4 2 2 2 2 9" xfId="2761"/>
    <cellStyle name="Comma 4 2 2 2 2 9 2" xfId="6985"/>
    <cellStyle name="Comma 4 2 2 2 2 9 2 2" xfId="15421"/>
    <cellStyle name="Comma 4 2 2 2 2 9 2 3" xfId="23862"/>
    <cellStyle name="Comma 4 2 2 2 2 9 2 4" xfId="32302"/>
    <cellStyle name="Comma 4 2 2 2 2 9 3" xfId="11203"/>
    <cellStyle name="Comma 4 2 2 2 2 9 4" xfId="19645"/>
    <cellStyle name="Comma 4 2 2 2 2 9 5" xfId="28085"/>
    <cellStyle name="Comma 4 2 2 2 3" xfId="131"/>
    <cellStyle name="Comma 4 2 2 2 3 10" xfId="8822"/>
    <cellStyle name="Comma 4 2 2 2 3 11" xfId="17264"/>
    <cellStyle name="Comma 4 2 2 2 3 12" xfId="25704"/>
    <cellStyle name="Comma 4 2 2 2 3 2" xfId="669"/>
    <cellStyle name="Comma 4 2 2 2 3 2 2" xfId="2940"/>
    <cellStyle name="Comma 4 2 2 2 3 2 2 2" xfId="7163"/>
    <cellStyle name="Comma 4 2 2 2 3 2 2 2 2" xfId="15599"/>
    <cellStyle name="Comma 4 2 2 2 3 2 2 2 3" xfId="24040"/>
    <cellStyle name="Comma 4 2 2 2 3 2 2 2 4" xfId="32480"/>
    <cellStyle name="Comma 4 2 2 2 3 2 2 3" xfId="11381"/>
    <cellStyle name="Comma 4 2 2 2 3 2 2 4" xfId="19823"/>
    <cellStyle name="Comma 4 2 2 2 3 2 2 5" xfId="28263"/>
    <cellStyle name="Comma 4 2 2 2 3 2 3" xfId="5018"/>
    <cellStyle name="Comma 4 2 2 2 3 2 3 2" xfId="13454"/>
    <cellStyle name="Comma 4 2 2 2 3 2 3 3" xfId="21895"/>
    <cellStyle name="Comma 4 2 2 2 3 2 3 4" xfId="30335"/>
    <cellStyle name="Comma 4 2 2 2 3 2 4" xfId="9236"/>
    <cellStyle name="Comma 4 2 2 2 3 2 5" xfId="17678"/>
    <cellStyle name="Comma 4 2 2 2 3 2 6" xfId="26118"/>
    <cellStyle name="Comma 4 2 2 2 3 3" xfId="1122"/>
    <cellStyle name="Comma 4 2 2 2 3 3 2" xfId="3353"/>
    <cellStyle name="Comma 4 2 2 2 3 3 2 2" xfId="7576"/>
    <cellStyle name="Comma 4 2 2 2 3 3 2 2 2" xfId="16012"/>
    <cellStyle name="Comma 4 2 2 2 3 3 2 2 3" xfId="24453"/>
    <cellStyle name="Comma 4 2 2 2 3 3 2 2 4" xfId="32893"/>
    <cellStyle name="Comma 4 2 2 2 3 3 2 3" xfId="11794"/>
    <cellStyle name="Comma 4 2 2 2 3 3 2 4" xfId="20236"/>
    <cellStyle name="Comma 4 2 2 2 3 3 2 5" xfId="28676"/>
    <cellStyle name="Comma 4 2 2 2 3 3 3" xfId="5431"/>
    <cellStyle name="Comma 4 2 2 2 3 3 3 2" xfId="13867"/>
    <cellStyle name="Comma 4 2 2 2 3 3 3 3" xfId="22308"/>
    <cellStyle name="Comma 4 2 2 2 3 3 3 4" xfId="30748"/>
    <cellStyle name="Comma 4 2 2 2 3 3 4" xfId="9649"/>
    <cellStyle name="Comma 4 2 2 2 3 3 5" xfId="18091"/>
    <cellStyle name="Comma 4 2 2 2 3 3 6" xfId="26531"/>
    <cellStyle name="Comma 4 2 2 2 3 4" xfId="1536"/>
    <cellStyle name="Comma 4 2 2 2 3 4 2" xfId="3766"/>
    <cellStyle name="Comma 4 2 2 2 3 4 2 2" xfId="7989"/>
    <cellStyle name="Comma 4 2 2 2 3 4 2 2 2" xfId="16425"/>
    <cellStyle name="Comma 4 2 2 2 3 4 2 2 3" xfId="24866"/>
    <cellStyle name="Comma 4 2 2 2 3 4 2 2 4" xfId="33306"/>
    <cellStyle name="Comma 4 2 2 2 3 4 2 3" xfId="12207"/>
    <cellStyle name="Comma 4 2 2 2 3 4 2 4" xfId="20649"/>
    <cellStyle name="Comma 4 2 2 2 3 4 2 5" xfId="29089"/>
    <cellStyle name="Comma 4 2 2 2 3 4 3" xfId="5844"/>
    <cellStyle name="Comma 4 2 2 2 3 4 3 2" xfId="14280"/>
    <cellStyle name="Comma 4 2 2 2 3 4 3 3" xfId="22721"/>
    <cellStyle name="Comma 4 2 2 2 3 4 3 4" xfId="31161"/>
    <cellStyle name="Comma 4 2 2 2 3 4 4" xfId="10062"/>
    <cellStyle name="Comma 4 2 2 2 3 4 5" xfId="18504"/>
    <cellStyle name="Comma 4 2 2 2 3 4 6" xfId="26944"/>
    <cellStyle name="Comma 4 2 2 2 3 5" xfId="1950"/>
    <cellStyle name="Comma 4 2 2 2 3 5 2" xfId="4179"/>
    <cellStyle name="Comma 4 2 2 2 3 5 2 2" xfId="8402"/>
    <cellStyle name="Comma 4 2 2 2 3 5 2 2 2" xfId="16838"/>
    <cellStyle name="Comma 4 2 2 2 3 5 2 2 3" xfId="25279"/>
    <cellStyle name="Comma 4 2 2 2 3 5 2 2 4" xfId="33719"/>
    <cellStyle name="Comma 4 2 2 2 3 5 2 3" xfId="12620"/>
    <cellStyle name="Comma 4 2 2 2 3 5 2 4" xfId="21062"/>
    <cellStyle name="Comma 4 2 2 2 3 5 2 5" xfId="29502"/>
    <cellStyle name="Comma 4 2 2 2 3 5 3" xfId="6257"/>
    <cellStyle name="Comma 4 2 2 2 3 5 3 2" xfId="14693"/>
    <cellStyle name="Comma 4 2 2 2 3 5 3 3" xfId="23134"/>
    <cellStyle name="Comma 4 2 2 2 3 5 3 4" xfId="31574"/>
    <cellStyle name="Comma 4 2 2 2 3 5 4" xfId="10475"/>
    <cellStyle name="Comma 4 2 2 2 3 5 5" xfId="18917"/>
    <cellStyle name="Comma 4 2 2 2 3 5 6" xfId="27357"/>
    <cellStyle name="Comma 4 2 2 2 3 6" xfId="2385"/>
    <cellStyle name="Comma 4 2 2 2 3 6 2" xfId="6670"/>
    <cellStyle name="Comma 4 2 2 2 3 6 2 2" xfId="15106"/>
    <cellStyle name="Comma 4 2 2 2 3 6 2 3" xfId="23547"/>
    <cellStyle name="Comma 4 2 2 2 3 6 2 4" xfId="31987"/>
    <cellStyle name="Comma 4 2 2 2 3 6 3" xfId="10888"/>
    <cellStyle name="Comma 4 2 2 2 3 6 4" xfId="19330"/>
    <cellStyle name="Comma 4 2 2 2 3 6 5" xfId="27770"/>
    <cellStyle name="Comma 4 2 2 2 3 7" xfId="2378"/>
    <cellStyle name="Comma 4 2 2 2 3 8" xfId="2763"/>
    <cellStyle name="Comma 4 2 2 2 3 8 2" xfId="6987"/>
    <cellStyle name="Comma 4 2 2 2 3 8 2 2" xfId="15423"/>
    <cellStyle name="Comma 4 2 2 2 3 8 2 3" xfId="23864"/>
    <cellStyle name="Comma 4 2 2 2 3 8 2 4" xfId="32304"/>
    <cellStyle name="Comma 4 2 2 2 3 8 3" xfId="11205"/>
    <cellStyle name="Comma 4 2 2 2 3 8 4" xfId="19647"/>
    <cellStyle name="Comma 4 2 2 2 3 8 5" xfId="28087"/>
    <cellStyle name="Comma 4 2 2 2 3 9" xfId="4604"/>
    <cellStyle name="Comma 4 2 2 2 3 9 2" xfId="13040"/>
    <cellStyle name="Comma 4 2 2 2 3 9 3" xfId="21481"/>
    <cellStyle name="Comma 4 2 2 2 3 9 4" xfId="29921"/>
    <cellStyle name="Comma 4 2 2 2 4" xfId="666"/>
    <cellStyle name="Comma 4 2 2 2 4 2" xfId="2937"/>
    <cellStyle name="Comma 4 2 2 2 4 2 2" xfId="7160"/>
    <cellStyle name="Comma 4 2 2 2 4 2 2 2" xfId="15596"/>
    <cellStyle name="Comma 4 2 2 2 4 2 2 3" xfId="24037"/>
    <cellStyle name="Comma 4 2 2 2 4 2 2 4" xfId="32477"/>
    <cellStyle name="Comma 4 2 2 2 4 2 3" xfId="11378"/>
    <cellStyle name="Comma 4 2 2 2 4 2 4" xfId="19820"/>
    <cellStyle name="Comma 4 2 2 2 4 2 5" xfId="28260"/>
    <cellStyle name="Comma 4 2 2 2 4 3" xfId="5015"/>
    <cellStyle name="Comma 4 2 2 2 4 3 2" xfId="13451"/>
    <cellStyle name="Comma 4 2 2 2 4 3 3" xfId="21892"/>
    <cellStyle name="Comma 4 2 2 2 4 3 4" xfId="30332"/>
    <cellStyle name="Comma 4 2 2 2 4 4" xfId="9233"/>
    <cellStyle name="Comma 4 2 2 2 4 5" xfId="17675"/>
    <cellStyle name="Comma 4 2 2 2 4 6" xfId="26115"/>
    <cellStyle name="Comma 4 2 2 2 5" xfId="1119"/>
    <cellStyle name="Comma 4 2 2 2 5 2" xfId="3350"/>
    <cellStyle name="Comma 4 2 2 2 5 2 2" xfId="7573"/>
    <cellStyle name="Comma 4 2 2 2 5 2 2 2" xfId="16009"/>
    <cellStyle name="Comma 4 2 2 2 5 2 2 3" xfId="24450"/>
    <cellStyle name="Comma 4 2 2 2 5 2 2 4" xfId="32890"/>
    <cellStyle name="Comma 4 2 2 2 5 2 3" xfId="11791"/>
    <cellStyle name="Comma 4 2 2 2 5 2 4" xfId="20233"/>
    <cellStyle name="Comma 4 2 2 2 5 2 5" xfId="28673"/>
    <cellStyle name="Comma 4 2 2 2 5 3" xfId="5428"/>
    <cellStyle name="Comma 4 2 2 2 5 3 2" xfId="13864"/>
    <cellStyle name="Comma 4 2 2 2 5 3 3" xfId="22305"/>
    <cellStyle name="Comma 4 2 2 2 5 3 4" xfId="30745"/>
    <cellStyle name="Comma 4 2 2 2 5 4" xfId="9646"/>
    <cellStyle name="Comma 4 2 2 2 5 5" xfId="18088"/>
    <cellStyle name="Comma 4 2 2 2 5 6" xfId="26528"/>
    <cellStyle name="Comma 4 2 2 2 6" xfId="1533"/>
    <cellStyle name="Comma 4 2 2 2 6 2" xfId="3763"/>
    <cellStyle name="Comma 4 2 2 2 6 2 2" xfId="7986"/>
    <cellStyle name="Comma 4 2 2 2 6 2 2 2" xfId="16422"/>
    <cellStyle name="Comma 4 2 2 2 6 2 2 3" xfId="24863"/>
    <cellStyle name="Comma 4 2 2 2 6 2 2 4" xfId="33303"/>
    <cellStyle name="Comma 4 2 2 2 6 2 3" xfId="12204"/>
    <cellStyle name="Comma 4 2 2 2 6 2 4" xfId="20646"/>
    <cellStyle name="Comma 4 2 2 2 6 2 5" xfId="29086"/>
    <cellStyle name="Comma 4 2 2 2 6 3" xfId="5841"/>
    <cellStyle name="Comma 4 2 2 2 6 3 2" xfId="14277"/>
    <cellStyle name="Comma 4 2 2 2 6 3 3" xfId="22718"/>
    <cellStyle name="Comma 4 2 2 2 6 3 4" xfId="31158"/>
    <cellStyle name="Comma 4 2 2 2 6 4" xfId="10059"/>
    <cellStyle name="Comma 4 2 2 2 6 5" xfId="18501"/>
    <cellStyle name="Comma 4 2 2 2 6 6" xfId="26941"/>
    <cellStyle name="Comma 4 2 2 2 7" xfId="1947"/>
    <cellStyle name="Comma 4 2 2 2 7 2" xfId="4176"/>
    <cellStyle name="Comma 4 2 2 2 7 2 2" xfId="8399"/>
    <cellStyle name="Comma 4 2 2 2 7 2 2 2" xfId="16835"/>
    <cellStyle name="Comma 4 2 2 2 7 2 2 3" xfId="25276"/>
    <cellStyle name="Comma 4 2 2 2 7 2 2 4" xfId="33716"/>
    <cellStyle name="Comma 4 2 2 2 7 2 3" xfId="12617"/>
    <cellStyle name="Comma 4 2 2 2 7 2 4" xfId="21059"/>
    <cellStyle name="Comma 4 2 2 2 7 2 5" xfId="29499"/>
    <cellStyle name="Comma 4 2 2 2 7 3" xfId="6254"/>
    <cellStyle name="Comma 4 2 2 2 7 3 2" xfId="14690"/>
    <cellStyle name="Comma 4 2 2 2 7 3 3" xfId="23131"/>
    <cellStyle name="Comma 4 2 2 2 7 3 4" xfId="31571"/>
    <cellStyle name="Comma 4 2 2 2 7 4" xfId="10472"/>
    <cellStyle name="Comma 4 2 2 2 7 5" xfId="18914"/>
    <cellStyle name="Comma 4 2 2 2 7 6" xfId="27354"/>
    <cellStyle name="Comma 4 2 2 2 8" xfId="2382"/>
    <cellStyle name="Comma 4 2 2 2 8 2" xfId="6667"/>
    <cellStyle name="Comma 4 2 2 2 8 2 2" xfId="15103"/>
    <cellStyle name="Comma 4 2 2 2 8 2 3" xfId="23544"/>
    <cellStyle name="Comma 4 2 2 2 8 2 4" xfId="31984"/>
    <cellStyle name="Comma 4 2 2 2 8 3" xfId="10885"/>
    <cellStyle name="Comma 4 2 2 2 8 4" xfId="19327"/>
    <cellStyle name="Comma 4 2 2 2 8 5" xfId="27767"/>
    <cellStyle name="Comma 4 2 2 2 9" xfId="2381"/>
    <cellStyle name="Comma 4 2 2 3" xfId="132"/>
    <cellStyle name="Comma 4 2 2 3 10" xfId="4605"/>
    <cellStyle name="Comma 4 2 2 3 10 2" xfId="13041"/>
    <cellStyle name="Comma 4 2 2 3 10 3" xfId="21482"/>
    <cellStyle name="Comma 4 2 2 3 10 4" xfId="29922"/>
    <cellStyle name="Comma 4 2 2 3 11" xfId="8823"/>
    <cellStyle name="Comma 4 2 2 3 12" xfId="17265"/>
    <cellStyle name="Comma 4 2 2 3 13" xfId="25705"/>
    <cellStyle name="Comma 4 2 2 3 2" xfId="133"/>
    <cellStyle name="Comma 4 2 2 3 2 10" xfId="8824"/>
    <cellStyle name="Comma 4 2 2 3 2 11" xfId="17266"/>
    <cellStyle name="Comma 4 2 2 3 2 12" xfId="25706"/>
    <cellStyle name="Comma 4 2 2 3 2 2" xfId="671"/>
    <cellStyle name="Comma 4 2 2 3 2 2 2" xfId="2942"/>
    <cellStyle name="Comma 4 2 2 3 2 2 2 2" xfId="7165"/>
    <cellStyle name="Comma 4 2 2 3 2 2 2 2 2" xfId="15601"/>
    <cellStyle name="Comma 4 2 2 3 2 2 2 2 3" xfId="24042"/>
    <cellStyle name="Comma 4 2 2 3 2 2 2 2 4" xfId="32482"/>
    <cellStyle name="Comma 4 2 2 3 2 2 2 3" xfId="11383"/>
    <cellStyle name="Comma 4 2 2 3 2 2 2 4" xfId="19825"/>
    <cellStyle name="Comma 4 2 2 3 2 2 2 5" xfId="28265"/>
    <cellStyle name="Comma 4 2 2 3 2 2 3" xfId="5020"/>
    <cellStyle name="Comma 4 2 2 3 2 2 3 2" xfId="13456"/>
    <cellStyle name="Comma 4 2 2 3 2 2 3 3" xfId="21897"/>
    <cellStyle name="Comma 4 2 2 3 2 2 3 4" xfId="30337"/>
    <cellStyle name="Comma 4 2 2 3 2 2 4" xfId="9238"/>
    <cellStyle name="Comma 4 2 2 3 2 2 5" xfId="17680"/>
    <cellStyle name="Comma 4 2 2 3 2 2 6" xfId="26120"/>
    <cellStyle name="Comma 4 2 2 3 2 3" xfId="1124"/>
    <cellStyle name="Comma 4 2 2 3 2 3 2" xfId="3355"/>
    <cellStyle name="Comma 4 2 2 3 2 3 2 2" xfId="7578"/>
    <cellStyle name="Comma 4 2 2 3 2 3 2 2 2" xfId="16014"/>
    <cellStyle name="Comma 4 2 2 3 2 3 2 2 3" xfId="24455"/>
    <cellStyle name="Comma 4 2 2 3 2 3 2 2 4" xfId="32895"/>
    <cellStyle name="Comma 4 2 2 3 2 3 2 3" xfId="11796"/>
    <cellStyle name="Comma 4 2 2 3 2 3 2 4" xfId="20238"/>
    <cellStyle name="Comma 4 2 2 3 2 3 2 5" xfId="28678"/>
    <cellStyle name="Comma 4 2 2 3 2 3 3" xfId="5433"/>
    <cellStyle name="Comma 4 2 2 3 2 3 3 2" xfId="13869"/>
    <cellStyle name="Comma 4 2 2 3 2 3 3 3" xfId="22310"/>
    <cellStyle name="Comma 4 2 2 3 2 3 3 4" xfId="30750"/>
    <cellStyle name="Comma 4 2 2 3 2 3 4" xfId="9651"/>
    <cellStyle name="Comma 4 2 2 3 2 3 5" xfId="18093"/>
    <cellStyle name="Comma 4 2 2 3 2 3 6" xfId="26533"/>
    <cellStyle name="Comma 4 2 2 3 2 4" xfId="1538"/>
    <cellStyle name="Comma 4 2 2 3 2 4 2" xfId="3768"/>
    <cellStyle name="Comma 4 2 2 3 2 4 2 2" xfId="7991"/>
    <cellStyle name="Comma 4 2 2 3 2 4 2 2 2" xfId="16427"/>
    <cellStyle name="Comma 4 2 2 3 2 4 2 2 3" xfId="24868"/>
    <cellStyle name="Comma 4 2 2 3 2 4 2 2 4" xfId="33308"/>
    <cellStyle name="Comma 4 2 2 3 2 4 2 3" xfId="12209"/>
    <cellStyle name="Comma 4 2 2 3 2 4 2 4" xfId="20651"/>
    <cellStyle name="Comma 4 2 2 3 2 4 2 5" xfId="29091"/>
    <cellStyle name="Comma 4 2 2 3 2 4 3" xfId="5846"/>
    <cellStyle name="Comma 4 2 2 3 2 4 3 2" xfId="14282"/>
    <cellStyle name="Comma 4 2 2 3 2 4 3 3" xfId="22723"/>
    <cellStyle name="Comma 4 2 2 3 2 4 3 4" xfId="31163"/>
    <cellStyle name="Comma 4 2 2 3 2 4 4" xfId="10064"/>
    <cellStyle name="Comma 4 2 2 3 2 4 5" xfId="18506"/>
    <cellStyle name="Comma 4 2 2 3 2 4 6" xfId="26946"/>
    <cellStyle name="Comma 4 2 2 3 2 5" xfId="1952"/>
    <cellStyle name="Comma 4 2 2 3 2 5 2" xfId="4181"/>
    <cellStyle name="Comma 4 2 2 3 2 5 2 2" xfId="8404"/>
    <cellStyle name="Comma 4 2 2 3 2 5 2 2 2" xfId="16840"/>
    <cellStyle name="Comma 4 2 2 3 2 5 2 2 3" xfId="25281"/>
    <cellStyle name="Comma 4 2 2 3 2 5 2 2 4" xfId="33721"/>
    <cellStyle name="Comma 4 2 2 3 2 5 2 3" xfId="12622"/>
    <cellStyle name="Comma 4 2 2 3 2 5 2 4" xfId="21064"/>
    <cellStyle name="Comma 4 2 2 3 2 5 2 5" xfId="29504"/>
    <cellStyle name="Comma 4 2 2 3 2 5 3" xfId="6259"/>
    <cellStyle name="Comma 4 2 2 3 2 5 3 2" xfId="14695"/>
    <cellStyle name="Comma 4 2 2 3 2 5 3 3" xfId="23136"/>
    <cellStyle name="Comma 4 2 2 3 2 5 3 4" xfId="31576"/>
    <cellStyle name="Comma 4 2 2 3 2 5 4" xfId="10477"/>
    <cellStyle name="Comma 4 2 2 3 2 5 5" xfId="18919"/>
    <cellStyle name="Comma 4 2 2 3 2 5 6" xfId="27359"/>
    <cellStyle name="Comma 4 2 2 3 2 6" xfId="2387"/>
    <cellStyle name="Comma 4 2 2 3 2 6 2" xfId="6672"/>
    <cellStyle name="Comma 4 2 2 3 2 6 2 2" xfId="15108"/>
    <cellStyle name="Comma 4 2 2 3 2 6 2 3" xfId="23549"/>
    <cellStyle name="Comma 4 2 2 3 2 6 2 4" xfId="31989"/>
    <cellStyle name="Comma 4 2 2 3 2 6 3" xfId="10890"/>
    <cellStyle name="Comma 4 2 2 3 2 6 4" xfId="19332"/>
    <cellStyle name="Comma 4 2 2 3 2 6 5" xfId="27772"/>
    <cellStyle name="Comma 4 2 2 3 2 7" xfId="2376"/>
    <cellStyle name="Comma 4 2 2 3 2 8" xfId="2765"/>
    <cellStyle name="Comma 4 2 2 3 2 8 2" xfId="6989"/>
    <cellStyle name="Comma 4 2 2 3 2 8 2 2" xfId="15425"/>
    <cellStyle name="Comma 4 2 2 3 2 8 2 3" xfId="23866"/>
    <cellStyle name="Comma 4 2 2 3 2 8 2 4" xfId="32306"/>
    <cellStyle name="Comma 4 2 2 3 2 8 3" xfId="11207"/>
    <cellStyle name="Comma 4 2 2 3 2 8 4" xfId="19649"/>
    <cellStyle name="Comma 4 2 2 3 2 8 5" xfId="28089"/>
    <cellStyle name="Comma 4 2 2 3 2 9" xfId="4606"/>
    <cellStyle name="Comma 4 2 2 3 2 9 2" xfId="13042"/>
    <cellStyle name="Comma 4 2 2 3 2 9 3" xfId="21483"/>
    <cellStyle name="Comma 4 2 2 3 2 9 4" xfId="29923"/>
    <cellStyle name="Comma 4 2 2 3 3" xfId="670"/>
    <cellStyle name="Comma 4 2 2 3 3 2" xfId="2941"/>
    <cellStyle name="Comma 4 2 2 3 3 2 2" xfId="7164"/>
    <cellStyle name="Comma 4 2 2 3 3 2 2 2" xfId="15600"/>
    <cellStyle name="Comma 4 2 2 3 3 2 2 3" xfId="24041"/>
    <cellStyle name="Comma 4 2 2 3 3 2 2 4" xfId="32481"/>
    <cellStyle name="Comma 4 2 2 3 3 2 3" xfId="11382"/>
    <cellStyle name="Comma 4 2 2 3 3 2 4" xfId="19824"/>
    <cellStyle name="Comma 4 2 2 3 3 2 5" xfId="28264"/>
    <cellStyle name="Comma 4 2 2 3 3 3" xfId="5019"/>
    <cellStyle name="Comma 4 2 2 3 3 3 2" xfId="13455"/>
    <cellStyle name="Comma 4 2 2 3 3 3 3" xfId="21896"/>
    <cellStyle name="Comma 4 2 2 3 3 3 4" xfId="30336"/>
    <cellStyle name="Comma 4 2 2 3 3 4" xfId="9237"/>
    <cellStyle name="Comma 4 2 2 3 3 5" xfId="17679"/>
    <cellStyle name="Comma 4 2 2 3 3 6" xfId="26119"/>
    <cellStyle name="Comma 4 2 2 3 4" xfId="1123"/>
    <cellStyle name="Comma 4 2 2 3 4 2" xfId="3354"/>
    <cellStyle name="Comma 4 2 2 3 4 2 2" xfId="7577"/>
    <cellStyle name="Comma 4 2 2 3 4 2 2 2" xfId="16013"/>
    <cellStyle name="Comma 4 2 2 3 4 2 2 3" xfId="24454"/>
    <cellStyle name="Comma 4 2 2 3 4 2 2 4" xfId="32894"/>
    <cellStyle name="Comma 4 2 2 3 4 2 3" xfId="11795"/>
    <cellStyle name="Comma 4 2 2 3 4 2 4" xfId="20237"/>
    <cellStyle name="Comma 4 2 2 3 4 2 5" xfId="28677"/>
    <cellStyle name="Comma 4 2 2 3 4 3" xfId="5432"/>
    <cellStyle name="Comma 4 2 2 3 4 3 2" xfId="13868"/>
    <cellStyle name="Comma 4 2 2 3 4 3 3" xfId="22309"/>
    <cellStyle name="Comma 4 2 2 3 4 3 4" xfId="30749"/>
    <cellStyle name="Comma 4 2 2 3 4 4" xfId="9650"/>
    <cellStyle name="Comma 4 2 2 3 4 5" xfId="18092"/>
    <cellStyle name="Comma 4 2 2 3 4 6" xfId="26532"/>
    <cellStyle name="Comma 4 2 2 3 5" xfId="1537"/>
    <cellStyle name="Comma 4 2 2 3 5 2" xfId="3767"/>
    <cellStyle name="Comma 4 2 2 3 5 2 2" xfId="7990"/>
    <cellStyle name="Comma 4 2 2 3 5 2 2 2" xfId="16426"/>
    <cellStyle name="Comma 4 2 2 3 5 2 2 3" xfId="24867"/>
    <cellStyle name="Comma 4 2 2 3 5 2 2 4" xfId="33307"/>
    <cellStyle name="Comma 4 2 2 3 5 2 3" xfId="12208"/>
    <cellStyle name="Comma 4 2 2 3 5 2 4" xfId="20650"/>
    <cellStyle name="Comma 4 2 2 3 5 2 5" xfId="29090"/>
    <cellStyle name="Comma 4 2 2 3 5 3" xfId="5845"/>
    <cellStyle name="Comma 4 2 2 3 5 3 2" xfId="14281"/>
    <cellStyle name="Comma 4 2 2 3 5 3 3" xfId="22722"/>
    <cellStyle name="Comma 4 2 2 3 5 3 4" xfId="31162"/>
    <cellStyle name="Comma 4 2 2 3 5 4" xfId="10063"/>
    <cellStyle name="Comma 4 2 2 3 5 5" xfId="18505"/>
    <cellStyle name="Comma 4 2 2 3 5 6" xfId="26945"/>
    <cellStyle name="Comma 4 2 2 3 6" xfId="1951"/>
    <cellStyle name="Comma 4 2 2 3 6 2" xfId="4180"/>
    <cellStyle name="Comma 4 2 2 3 6 2 2" xfId="8403"/>
    <cellStyle name="Comma 4 2 2 3 6 2 2 2" xfId="16839"/>
    <cellStyle name="Comma 4 2 2 3 6 2 2 3" xfId="25280"/>
    <cellStyle name="Comma 4 2 2 3 6 2 2 4" xfId="33720"/>
    <cellStyle name="Comma 4 2 2 3 6 2 3" xfId="12621"/>
    <cellStyle name="Comma 4 2 2 3 6 2 4" xfId="21063"/>
    <cellStyle name="Comma 4 2 2 3 6 2 5" xfId="29503"/>
    <cellStyle name="Comma 4 2 2 3 6 3" xfId="6258"/>
    <cellStyle name="Comma 4 2 2 3 6 3 2" xfId="14694"/>
    <cellStyle name="Comma 4 2 2 3 6 3 3" xfId="23135"/>
    <cellStyle name="Comma 4 2 2 3 6 3 4" xfId="31575"/>
    <cellStyle name="Comma 4 2 2 3 6 4" xfId="10476"/>
    <cellStyle name="Comma 4 2 2 3 6 5" xfId="18918"/>
    <cellStyle name="Comma 4 2 2 3 6 6" xfId="27358"/>
    <cellStyle name="Comma 4 2 2 3 7" xfId="2386"/>
    <cellStyle name="Comma 4 2 2 3 7 2" xfId="6671"/>
    <cellStyle name="Comma 4 2 2 3 7 2 2" xfId="15107"/>
    <cellStyle name="Comma 4 2 2 3 7 2 3" xfId="23548"/>
    <cellStyle name="Comma 4 2 2 3 7 2 4" xfId="31988"/>
    <cellStyle name="Comma 4 2 2 3 7 3" xfId="10889"/>
    <cellStyle name="Comma 4 2 2 3 7 4" xfId="19331"/>
    <cellStyle name="Comma 4 2 2 3 7 5" xfId="27771"/>
    <cellStyle name="Comma 4 2 2 3 8" xfId="2377"/>
    <cellStyle name="Comma 4 2 2 3 9" xfId="2764"/>
    <cellStyle name="Comma 4 2 2 3 9 2" xfId="6988"/>
    <cellStyle name="Comma 4 2 2 3 9 2 2" xfId="15424"/>
    <cellStyle name="Comma 4 2 2 3 9 2 3" xfId="23865"/>
    <cellStyle name="Comma 4 2 2 3 9 2 4" xfId="32305"/>
    <cellStyle name="Comma 4 2 2 3 9 3" xfId="11206"/>
    <cellStyle name="Comma 4 2 2 3 9 4" xfId="19648"/>
    <cellStyle name="Comma 4 2 2 3 9 5" xfId="28088"/>
    <cellStyle name="Comma 4 2 2 4" xfId="134"/>
    <cellStyle name="Comma 4 2 2 4 10" xfId="8825"/>
    <cellStyle name="Comma 4 2 2 4 11" xfId="17267"/>
    <cellStyle name="Comma 4 2 2 4 12" xfId="25707"/>
    <cellStyle name="Comma 4 2 2 4 2" xfId="672"/>
    <cellStyle name="Comma 4 2 2 4 2 2" xfId="2943"/>
    <cellStyle name="Comma 4 2 2 4 2 2 2" xfId="7166"/>
    <cellStyle name="Comma 4 2 2 4 2 2 2 2" xfId="15602"/>
    <cellStyle name="Comma 4 2 2 4 2 2 2 3" xfId="24043"/>
    <cellStyle name="Comma 4 2 2 4 2 2 2 4" xfId="32483"/>
    <cellStyle name="Comma 4 2 2 4 2 2 3" xfId="11384"/>
    <cellStyle name="Comma 4 2 2 4 2 2 4" xfId="19826"/>
    <cellStyle name="Comma 4 2 2 4 2 2 5" xfId="28266"/>
    <cellStyle name="Comma 4 2 2 4 2 3" xfId="5021"/>
    <cellStyle name="Comma 4 2 2 4 2 3 2" xfId="13457"/>
    <cellStyle name="Comma 4 2 2 4 2 3 3" xfId="21898"/>
    <cellStyle name="Comma 4 2 2 4 2 3 4" xfId="30338"/>
    <cellStyle name="Comma 4 2 2 4 2 4" xfId="9239"/>
    <cellStyle name="Comma 4 2 2 4 2 5" xfId="17681"/>
    <cellStyle name="Comma 4 2 2 4 2 6" xfId="26121"/>
    <cellStyle name="Comma 4 2 2 4 3" xfId="1125"/>
    <cellStyle name="Comma 4 2 2 4 3 2" xfId="3356"/>
    <cellStyle name="Comma 4 2 2 4 3 2 2" xfId="7579"/>
    <cellStyle name="Comma 4 2 2 4 3 2 2 2" xfId="16015"/>
    <cellStyle name="Comma 4 2 2 4 3 2 2 3" xfId="24456"/>
    <cellStyle name="Comma 4 2 2 4 3 2 2 4" xfId="32896"/>
    <cellStyle name="Comma 4 2 2 4 3 2 3" xfId="11797"/>
    <cellStyle name="Comma 4 2 2 4 3 2 4" xfId="20239"/>
    <cellStyle name="Comma 4 2 2 4 3 2 5" xfId="28679"/>
    <cellStyle name="Comma 4 2 2 4 3 3" xfId="5434"/>
    <cellStyle name="Comma 4 2 2 4 3 3 2" xfId="13870"/>
    <cellStyle name="Comma 4 2 2 4 3 3 3" xfId="22311"/>
    <cellStyle name="Comma 4 2 2 4 3 3 4" xfId="30751"/>
    <cellStyle name="Comma 4 2 2 4 3 4" xfId="9652"/>
    <cellStyle name="Comma 4 2 2 4 3 5" xfId="18094"/>
    <cellStyle name="Comma 4 2 2 4 3 6" xfId="26534"/>
    <cellStyle name="Comma 4 2 2 4 4" xfId="1539"/>
    <cellStyle name="Comma 4 2 2 4 4 2" xfId="3769"/>
    <cellStyle name="Comma 4 2 2 4 4 2 2" xfId="7992"/>
    <cellStyle name="Comma 4 2 2 4 4 2 2 2" xfId="16428"/>
    <cellStyle name="Comma 4 2 2 4 4 2 2 3" xfId="24869"/>
    <cellStyle name="Comma 4 2 2 4 4 2 2 4" xfId="33309"/>
    <cellStyle name="Comma 4 2 2 4 4 2 3" xfId="12210"/>
    <cellStyle name="Comma 4 2 2 4 4 2 4" xfId="20652"/>
    <cellStyle name="Comma 4 2 2 4 4 2 5" xfId="29092"/>
    <cellStyle name="Comma 4 2 2 4 4 3" xfId="5847"/>
    <cellStyle name="Comma 4 2 2 4 4 3 2" xfId="14283"/>
    <cellStyle name="Comma 4 2 2 4 4 3 3" xfId="22724"/>
    <cellStyle name="Comma 4 2 2 4 4 3 4" xfId="31164"/>
    <cellStyle name="Comma 4 2 2 4 4 4" xfId="10065"/>
    <cellStyle name="Comma 4 2 2 4 4 5" xfId="18507"/>
    <cellStyle name="Comma 4 2 2 4 4 6" xfId="26947"/>
    <cellStyle name="Comma 4 2 2 4 5" xfId="1953"/>
    <cellStyle name="Comma 4 2 2 4 5 2" xfId="4182"/>
    <cellStyle name="Comma 4 2 2 4 5 2 2" xfId="8405"/>
    <cellStyle name="Comma 4 2 2 4 5 2 2 2" xfId="16841"/>
    <cellStyle name="Comma 4 2 2 4 5 2 2 3" xfId="25282"/>
    <cellStyle name="Comma 4 2 2 4 5 2 2 4" xfId="33722"/>
    <cellStyle name="Comma 4 2 2 4 5 2 3" xfId="12623"/>
    <cellStyle name="Comma 4 2 2 4 5 2 4" xfId="21065"/>
    <cellStyle name="Comma 4 2 2 4 5 2 5" xfId="29505"/>
    <cellStyle name="Comma 4 2 2 4 5 3" xfId="6260"/>
    <cellStyle name="Comma 4 2 2 4 5 3 2" xfId="14696"/>
    <cellStyle name="Comma 4 2 2 4 5 3 3" xfId="23137"/>
    <cellStyle name="Comma 4 2 2 4 5 3 4" xfId="31577"/>
    <cellStyle name="Comma 4 2 2 4 5 4" xfId="10478"/>
    <cellStyle name="Comma 4 2 2 4 5 5" xfId="18920"/>
    <cellStyle name="Comma 4 2 2 4 5 6" xfId="27360"/>
    <cellStyle name="Comma 4 2 2 4 6" xfId="2388"/>
    <cellStyle name="Comma 4 2 2 4 6 2" xfId="6673"/>
    <cellStyle name="Comma 4 2 2 4 6 2 2" xfId="15109"/>
    <cellStyle name="Comma 4 2 2 4 6 2 3" xfId="23550"/>
    <cellStyle name="Comma 4 2 2 4 6 2 4" xfId="31990"/>
    <cellStyle name="Comma 4 2 2 4 6 3" xfId="10891"/>
    <cellStyle name="Comma 4 2 2 4 6 4" xfId="19333"/>
    <cellStyle name="Comma 4 2 2 4 6 5" xfId="27773"/>
    <cellStyle name="Comma 4 2 2 4 7" xfId="2375"/>
    <cellStyle name="Comma 4 2 2 4 8" xfId="2766"/>
    <cellStyle name="Comma 4 2 2 4 8 2" xfId="6990"/>
    <cellStyle name="Comma 4 2 2 4 8 2 2" xfId="15426"/>
    <cellStyle name="Comma 4 2 2 4 8 2 3" xfId="23867"/>
    <cellStyle name="Comma 4 2 2 4 8 2 4" xfId="32307"/>
    <cellStyle name="Comma 4 2 2 4 8 3" xfId="11208"/>
    <cellStyle name="Comma 4 2 2 4 8 4" xfId="19650"/>
    <cellStyle name="Comma 4 2 2 4 8 5" xfId="28090"/>
    <cellStyle name="Comma 4 2 2 4 9" xfId="4607"/>
    <cellStyle name="Comma 4 2 2 4 9 2" xfId="13043"/>
    <cellStyle name="Comma 4 2 2 4 9 3" xfId="21484"/>
    <cellStyle name="Comma 4 2 2 4 9 4" xfId="29924"/>
    <cellStyle name="Comma 4 2 2 5" xfId="135"/>
    <cellStyle name="Comma 4 2 2 5 10" xfId="8826"/>
    <cellStyle name="Comma 4 2 2 5 11" xfId="17268"/>
    <cellStyle name="Comma 4 2 2 5 12" xfId="25708"/>
    <cellStyle name="Comma 4 2 2 5 2" xfId="673"/>
    <cellStyle name="Comma 4 2 2 5 2 2" xfId="2944"/>
    <cellStyle name="Comma 4 2 2 5 2 2 2" xfId="7167"/>
    <cellStyle name="Comma 4 2 2 5 2 2 2 2" xfId="15603"/>
    <cellStyle name="Comma 4 2 2 5 2 2 2 3" xfId="24044"/>
    <cellStyle name="Comma 4 2 2 5 2 2 2 4" xfId="32484"/>
    <cellStyle name="Comma 4 2 2 5 2 2 3" xfId="11385"/>
    <cellStyle name="Comma 4 2 2 5 2 2 4" xfId="19827"/>
    <cellStyle name="Comma 4 2 2 5 2 2 5" xfId="28267"/>
    <cellStyle name="Comma 4 2 2 5 2 3" xfId="5022"/>
    <cellStyle name="Comma 4 2 2 5 2 3 2" xfId="13458"/>
    <cellStyle name="Comma 4 2 2 5 2 3 3" xfId="21899"/>
    <cellStyle name="Comma 4 2 2 5 2 3 4" xfId="30339"/>
    <cellStyle name="Comma 4 2 2 5 2 4" xfId="9240"/>
    <cellStyle name="Comma 4 2 2 5 2 5" xfId="17682"/>
    <cellStyle name="Comma 4 2 2 5 2 6" xfId="26122"/>
    <cellStyle name="Comma 4 2 2 5 3" xfId="1126"/>
    <cellStyle name="Comma 4 2 2 5 3 2" xfId="3357"/>
    <cellStyle name="Comma 4 2 2 5 3 2 2" xfId="7580"/>
    <cellStyle name="Comma 4 2 2 5 3 2 2 2" xfId="16016"/>
    <cellStyle name="Comma 4 2 2 5 3 2 2 3" xfId="24457"/>
    <cellStyle name="Comma 4 2 2 5 3 2 2 4" xfId="32897"/>
    <cellStyle name="Comma 4 2 2 5 3 2 3" xfId="11798"/>
    <cellStyle name="Comma 4 2 2 5 3 2 4" xfId="20240"/>
    <cellStyle name="Comma 4 2 2 5 3 2 5" xfId="28680"/>
    <cellStyle name="Comma 4 2 2 5 3 3" xfId="5435"/>
    <cellStyle name="Comma 4 2 2 5 3 3 2" xfId="13871"/>
    <cellStyle name="Comma 4 2 2 5 3 3 3" xfId="22312"/>
    <cellStyle name="Comma 4 2 2 5 3 3 4" xfId="30752"/>
    <cellStyle name="Comma 4 2 2 5 3 4" xfId="9653"/>
    <cellStyle name="Comma 4 2 2 5 3 5" xfId="18095"/>
    <cellStyle name="Comma 4 2 2 5 3 6" xfId="26535"/>
    <cellStyle name="Comma 4 2 2 5 4" xfId="1540"/>
    <cellStyle name="Comma 4 2 2 5 4 2" xfId="3770"/>
    <cellStyle name="Comma 4 2 2 5 4 2 2" xfId="7993"/>
    <cellStyle name="Comma 4 2 2 5 4 2 2 2" xfId="16429"/>
    <cellStyle name="Comma 4 2 2 5 4 2 2 3" xfId="24870"/>
    <cellStyle name="Comma 4 2 2 5 4 2 2 4" xfId="33310"/>
    <cellStyle name="Comma 4 2 2 5 4 2 3" xfId="12211"/>
    <cellStyle name="Comma 4 2 2 5 4 2 4" xfId="20653"/>
    <cellStyle name="Comma 4 2 2 5 4 2 5" xfId="29093"/>
    <cellStyle name="Comma 4 2 2 5 4 3" xfId="5848"/>
    <cellStyle name="Comma 4 2 2 5 4 3 2" xfId="14284"/>
    <cellStyle name="Comma 4 2 2 5 4 3 3" xfId="22725"/>
    <cellStyle name="Comma 4 2 2 5 4 3 4" xfId="31165"/>
    <cellStyle name="Comma 4 2 2 5 4 4" xfId="10066"/>
    <cellStyle name="Comma 4 2 2 5 4 5" xfId="18508"/>
    <cellStyle name="Comma 4 2 2 5 4 6" xfId="26948"/>
    <cellStyle name="Comma 4 2 2 5 5" xfId="1954"/>
    <cellStyle name="Comma 4 2 2 5 5 2" xfId="4183"/>
    <cellStyle name="Comma 4 2 2 5 5 2 2" xfId="8406"/>
    <cellStyle name="Comma 4 2 2 5 5 2 2 2" xfId="16842"/>
    <cellStyle name="Comma 4 2 2 5 5 2 2 3" xfId="25283"/>
    <cellStyle name="Comma 4 2 2 5 5 2 2 4" xfId="33723"/>
    <cellStyle name="Comma 4 2 2 5 5 2 3" xfId="12624"/>
    <cellStyle name="Comma 4 2 2 5 5 2 4" xfId="21066"/>
    <cellStyle name="Comma 4 2 2 5 5 2 5" xfId="29506"/>
    <cellStyle name="Comma 4 2 2 5 5 3" xfId="6261"/>
    <cellStyle name="Comma 4 2 2 5 5 3 2" xfId="14697"/>
    <cellStyle name="Comma 4 2 2 5 5 3 3" xfId="23138"/>
    <cellStyle name="Comma 4 2 2 5 5 3 4" xfId="31578"/>
    <cellStyle name="Comma 4 2 2 5 5 4" xfId="10479"/>
    <cellStyle name="Comma 4 2 2 5 5 5" xfId="18921"/>
    <cellStyle name="Comma 4 2 2 5 5 6" xfId="27361"/>
    <cellStyle name="Comma 4 2 2 5 6" xfId="2389"/>
    <cellStyle name="Comma 4 2 2 5 6 2" xfId="6674"/>
    <cellStyle name="Comma 4 2 2 5 6 2 2" xfId="15110"/>
    <cellStyle name="Comma 4 2 2 5 6 2 3" xfId="23551"/>
    <cellStyle name="Comma 4 2 2 5 6 2 4" xfId="31991"/>
    <cellStyle name="Comma 4 2 2 5 6 3" xfId="10892"/>
    <cellStyle name="Comma 4 2 2 5 6 4" xfId="19334"/>
    <cellStyle name="Comma 4 2 2 5 6 5" xfId="27774"/>
    <cellStyle name="Comma 4 2 2 5 7" xfId="2374"/>
    <cellStyle name="Comma 4 2 2 5 8" xfId="2767"/>
    <cellStyle name="Comma 4 2 2 5 8 2" xfId="6991"/>
    <cellStyle name="Comma 4 2 2 5 8 2 2" xfId="15427"/>
    <cellStyle name="Comma 4 2 2 5 8 2 3" xfId="23868"/>
    <cellStyle name="Comma 4 2 2 5 8 2 4" xfId="32308"/>
    <cellStyle name="Comma 4 2 2 5 8 3" xfId="11209"/>
    <cellStyle name="Comma 4 2 2 5 8 4" xfId="19651"/>
    <cellStyle name="Comma 4 2 2 5 8 5" xfId="28091"/>
    <cellStyle name="Comma 4 2 2 5 9" xfId="4608"/>
    <cellStyle name="Comma 4 2 2 5 9 2" xfId="13044"/>
    <cellStyle name="Comma 4 2 2 5 9 3" xfId="21485"/>
    <cellStyle name="Comma 4 2 2 5 9 4" xfId="29925"/>
    <cellStyle name="Comma 4 2 3" xfId="136"/>
    <cellStyle name="Comma 4 2 3 10" xfId="2768"/>
    <cellStyle name="Comma 4 2 3 10 2" xfId="6992"/>
    <cellStyle name="Comma 4 2 3 10 2 2" xfId="15428"/>
    <cellStyle name="Comma 4 2 3 10 2 3" xfId="23869"/>
    <cellStyle name="Comma 4 2 3 10 2 4" xfId="32309"/>
    <cellStyle name="Comma 4 2 3 10 3" xfId="11210"/>
    <cellStyle name="Comma 4 2 3 10 4" xfId="19652"/>
    <cellStyle name="Comma 4 2 3 10 5" xfId="28092"/>
    <cellStyle name="Comma 4 2 3 11" xfId="4609"/>
    <cellStyle name="Comma 4 2 3 11 2" xfId="13045"/>
    <cellStyle name="Comma 4 2 3 11 3" xfId="21486"/>
    <cellStyle name="Comma 4 2 3 11 4" xfId="29926"/>
    <cellStyle name="Comma 4 2 3 12" xfId="8827"/>
    <cellStyle name="Comma 4 2 3 13" xfId="17269"/>
    <cellStyle name="Comma 4 2 3 14" xfId="25709"/>
    <cellStyle name="Comma 4 2 3 2" xfId="137"/>
    <cellStyle name="Comma 4 2 3 2 10" xfId="4610"/>
    <cellStyle name="Comma 4 2 3 2 10 2" xfId="13046"/>
    <cellStyle name="Comma 4 2 3 2 10 3" xfId="21487"/>
    <cellStyle name="Comma 4 2 3 2 10 4" xfId="29927"/>
    <cellStyle name="Comma 4 2 3 2 11" xfId="8828"/>
    <cellStyle name="Comma 4 2 3 2 12" xfId="17270"/>
    <cellStyle name="Comma 4 2 3 2 13" xfId="25710"/>
    <cellStyle name="Comma 4 2 3 2 2" xfId="138"/>
    <cellStyle name="Comma 4 2 3 2 2 10" xfId="8829"/>
    <cellStyle name="Comma 4 2 3 2 2 11" xfId="17271"/>
    <cellStyle name="Comma 4 2 3 2 2 12" xfId="25711"/>
    <cellStyle name="Comma 4 2 3 2 2 2" xfId="676"/>
    <cellStyle name="Comma 4 2 3 2 2 2 2" xfId="2947"/>
    <cellStyle name="Comma 4 2 3 2 2 2 2 2" xfId="7170"/>
    <cellStyle name="Comma 4 2 3 2 2 2 2 2 2" xfId="15606"/>
    <cellStyle name="Comma 4 2 3 2 2 2 2 2 3" xfId="24047"/>
    <cellStyle name="Comma 4 2 3 2 2 2 2 2 4" xfId="32487"/>
    <cellStyle name="Comma 4 2 3 2 2 2 2 3" xfId="11388"/>
    <cellStyle name="Comma 4 2 3 2 2 2 2 4" xfId="19830"/>
    <cellStyle name="Comma 4 2 3 2 2 2 2 5" xfId="28270"/>
    <cellStyle name="Comma 4 2 3 2 2 2 3" xfId="5025"/>
    <cellStyle name="Comma 4 2 3 2 2 2 3 2" xfId="13461"/>
    <cellStyle name="Comma 4 2 3 2 2 2 3 3" xfId="21902"/>
    <cellStyle name="Comma 4 2 3 2 2 2 3 4" xfId="30342"/>
    <cellStyle name="Comma 4 2 3 2 2 2 4" xfId="9243"/>
    <cellStyle name="Comma 4 2 3 2 2 2 5" xfId="17685"/>
    <cellStyle name="Comma 4 2 3 2 2 2 6" xfId="26125"/>
    <cellStyle name="Comma 4 2 3 2 2 3" xfId="1129"/>
    <cellStyle name="Comma 4 2 3 2 2 3 2" xfId="3360"/>
    <cellStyle name="Comma 4 2 3 2 2 3 2 2" xfId="7583"/>
    <cellStyle name="Comma 4 2 3 2 2 3 2 2 2" xfId="16019"/>
    <cellStyle name="Comma 4 2 3 2 2 3 2 2 3" xfId="24460"/>
    <cellStyle name="Comma 4 2 3 2 2 3 2 2 4" xfId="32900"/>
    <cellStyle name="Comma 4 2 3 2 2 3 2 3" xfId="11801"/>
    <cellStyle name="Comma 4 2 3 2 2 3 2 4" xfId="20243"/>
    <cellStyle name="Comma 4 2 3 2 2 3 2 5" xfId="28683"/>
    <cellStyle name="Comma 4 2 3 2 2 3 3" xfId="5438"/>
    <cellStyle name="Comma 4 2 3 2 2 3 3 2" xfId="13874"/>
    <cellStyle name="Comma 4 2 3 2 2 3 3 3" xfId="22315"/>
    <cellStyle name="Comma 4 2 3 2 2 3 3 4" xfId="30755"/>
    <cellStyle name="Comma 4 2 3 2 2 3 4" xfId="9656"/>
    <cellStyle name="Comma 4 2 3 2 2 3 5" xfId="18098"/>
    <cellStyle name="Comma 4 2 3 2 2 3 6" xfId="26538"/>
    <cellStyle name="Comma 4 2 3 2 2 4" xfId="1543"/>
    <cellStyle name="Comma 4 2 3 2 2 4 2" xfId="3773"/>
    <cellStyle name="Comma 4 2 3 2 2 4 2 2" xfId="7996"/>
    <cellStyle name="Comma 4 2 3 2 2 4 2 2 2" xfId="16432"/>
    <cellStyle name="Comma 4 2 3 2 2 4 2 2 3" xfId="24873"/>
    <cellStyle name="Comma 4 2 3 2 2 4 2 2 4" xfId="33313"/>
    <cellStyle name="Comma 4 2 3 2 2 4 2 3" xfId="12214"/>
    <cellStyle name="Comma 4 2 3 2 2 4 2 4" xfId="20656"/>
    <cellStyle name="Comma 4 2 3 2 2 4 2 5" xfId="29096"/>
    <cellStyle name="Comma 4 2 3 2 2 4 3" xfId="5851"/>
    <cellStyle name="Comma 4 2 3 2 2 4 3 2" xfId="14287"/>
    <cellStyle name="Comma 4 2 3 2 2 4 3 3" xfId="22728"/>
    <cellStyle name="Comma 4 2 3 2 2 4 3 4" xfId="31168"/>
    <cellStyle name="Comma 4 2 3 2 2 4 4" xfId="10069"/>
    <cellStyle name="Comma 4 2 3 2 2 4 5" xfId="18511"/>
    <cellStyle name="Comma 4 2 3 2 2 4 6" xfId="26951"/>
    <cellStyle name="Comma 4 2 3 2 2 5" xfId="1957"/>
    <cellStyle name="Comma 4 2 3 2 2 5 2" xfId="4186"/>
    <cellStyle name="Comma 4 2 3 2 2 5 2 2" xfId="8409"/>
    <cellStyle name="Comma 4 2 3 2 2 5 2 2 2" xfId="16845"/>
    <cellStyle name="Comma 4 2 3 2 2 5 2 2 3" xfId="25286"/>
    <cellStyle name="Comma 4 2 3 2 2 5 2 2 4" xfId="33726"/>
    <cellStyle name="Comma 4 2 3 2 2 5 2 3" xfId="12627"/>
    <cellStyle name="Comma 4 2 3 2 2 5 2 4" xfId="21069"/>
    <cellStyle name="Comma 4 2 3 2 2 5 2 5" xfId="29509"/>
    <cellStyle name="Comma 4 2 3 2 2 5 3" xfId="6264"/>
    <cellStyle name="Comma 4 2 3 2 2 5 3 2" xfId="14700"/>
    <cellStyle name="Comma 4 2 3 2 2 5 3 3" xfId="23141"/>
    <cellStyle name="Comma 4 2 3 2 2 5 3 4" xfId="31581"/>
    <cellStyle name="Comma 4 2 3 2 2 5 4" xfId="10482"/>
    <cellStyle name="Comma 4 2 3 2 2 5 5" xfId="18924"/>
    <cellStyle name="Comma 4 2 3 2 2 5 6" xfId="27364"/>
    <cellStyle name="Comma 4 2 3 2 2 6" xfId="2392"/>
    <cellStyle name="Comma 4 2 3 2 2 6 2" xfId="6677"/>
    <cellStyle name="Comma 4 2 3 2 2 6 2 2" xfId="15113"/>
    <cellStyle name="Comma 4 2 3 2 2 6 2 3" xfId="23554"/>
    <cellStyle name="Comma 4 2 3 2 2 6 2 4" xfId="31994"/>
    <cellStyle name="Comma 4 2 3 2 2 6 3" xfId="10895"/>
    <cellStyle name="Comma 4 2 3 2 2 6 4" xfId="19337"/>
    <cellStyle name="Comma 4 2 3 2 2 6 5" xfId="27777"/>
    <cellStyle name="Comma 4 2 3 2 2 7" xfId="2371"/>
    <cellStyle name="Comma 4 2 3 2 2 8" xfId="2770"/>
    <cellStyle name="Comma 4 2 3 2 2 8 2" xfId="6994"/>
    <cellStyle name="Comma 4 2 3 2 2 8 2 2" xfId="15430"/>
    <cellStyle name="Comma 4 2 3 2 2 8 2 3" xfId="23871"/>
    <cellStyle name="Comma 4 2 3 2 2 8 2 4" xfId="32311"/>
    <cellStyle name="Comma 4 2 3 2 2 8 3" xfId="11212"/>
    <cellStyle name="Comma 4 2 3 2 2 8 4" xfId="19654"/>
    <cellStyle name="Comma 4 2 3 2 2 8 5" xfId="28094"/>
    <cellStyle name="Comma 4 2 3 2 2 9" xfId="4611"/>
    <cellStyle name="Comma 4 2 3 2 2 9 2" xfId="13047"/>
    <cellStyle name="Comma 4 2 3 2 2 9 3" xfId="21488"/>
    <cellStyle name="Comma 4 2 3 2 2 9 4" xfId="29928"/>
    <cellStyle name="Comma 4 2 3 2 3" xfId="675"/>
    <cellStyle name="Comma 4 2 3 2 3 2" xfId="2946"/>
    <cellStyle name="Comma 4 2 3 2 3 2 2" xfId="7169"/>
    <cellStyle name="Comma 4 2 3 2 3 2 2 2" xfId="15605"/>
    <cellStyle name="Comma 4 2 3 2 3 2 2 3" xfId="24046"/>
    <cellStyle name="Comma 4 2 3 2 3 2 2 4" xfId="32486"/>
    <cellStyle name="Comma 4 2 3 2 3 2 3" xfId="11387"/>
    <cellStyle name="Comma 4 2 3 2 3 2 4" xfId="19829"/>
    <cellStyle name="Comma 4 2 3 2 3 2 5" xfId="28269"/>
    <cellStyle name="Comma 4 2 3 2 3 3" xfId="5024"/>
    <cellStyle name="Comma 4 2 3 2 3 3 2" xfId="13460"/>
    <cellStyle name="Comma 4 2 3 2 3 3 3" xfId="21901"/>
    <cellStyle name="Comma 4 2 3 2 3 3 4" xfId="30341"/>
    <cellStyle name="Comma 4 2 3 2 3 4" xfId="9242"/>
    <cellStyle name="Comma 4 2 3 2 3 5" xfId="17684"/>
    <cellStyle name="Comma 4 2 3 2 3 6" xfId="26124"/>
    <cellStyle name="Comma 4 2 3 2 4" xfId="1128"/>
    <cellStyle name="Comma 4 2 3 2 4 2" xfId="3359"/>
    <cellStyle name="Comma 4 2 3 2 4 2 2" xfId="7582"/>
    <cellStyle name="Comma 4 2 3 2 4 2 2 2" xfId="16018"/>
    <cellStyle name="Comma 4 2 3 2 4 2 2 3" xfId="24459"/>
    <cellStyle name="Comma 4 2 3 2 4 2 2 4" xfId="32899"/>
    <cellStyle name="Comma 4 2 3 2 4 2 3" xfId="11800"/>
    <cellStyle name="Comma 4 2 3 2 4 2 4" xfId="20242"/>
    <cellStyle name="Comma 4 2 3 2 4 2 5" xfId="28682"/>
    <cellStyle name="Comma 4 2 3 2 4 3" xfId="5437"/>
    <cellStyle name="Comma 4 2 3 2 4 3 2" xfId="13873"/>
    <cellStyle name="Comma 4 2 3 2 4 3 3" xfId="22314"/>
    <cellStyle name="Comma 4 2 3 2 4 3 4" xfId="30754"/>
    <cellStyle name="Comma 4 2 3 2 4 4" xfId="9655"/>
    <cellStyle name="Comma 4 2 3 2 4 5" xfId="18097"/>
    <cellStyle name="Comma 4 2 3 2 4 6" xfId="26537"/>
    <cellStyle name="Comma 4 2 3 2 5" xfId="1542"/>
    <cellStyle name="Comma 4 2 3 2 5 2" xfId="3772"/>
    <cellStyle name="Comma 4 2 3 2 5 2 2" xfId="7995"/>
    <cellStyle name="Comma 4 2 3 2 5 2 2 2" xfId="16431"/>
    <cellStyle name="Comma 4 2 3 2 5 2 2 3" xfId="24872"/>
    <cellStyle name="Comma 4 2 3 2 5 2 2 4" xfId="33312"/>
    <cellStyle name="Comma 4 2 3 2 5 2 3" xfId="12213"/>
    <cellStyle name="Comma 4 2 3 2 5 2 4" xfId="20655"/>
    <cellStyle name="Comma 4 2 3 2 5 2 5" xfId="29095"/>
    <cellStyle name="Comma 4 2 3 2 5 3" xfId="5850"/>
    <cellStyle name="Comma 4 2 3 2 5 3 2" xfId="14286"/>
    <cellStyle name="Comma 4 2 3 2 5 3 3" xfId="22727"/>
    <cellStyle name="Comma 4 2 3 2 5 3 4" xfId="31167"/>
    <cellStyle name="Comma 4 2 3 2 5 4" xfId="10068"/>
    <cellStyle name="Comma 4 2 3 2 5 5" xfId="18510"/>
    <cellStyle name="Comma 4 2 3 2 5 6" xfId="26950"/>
    <cellStyle name="Comma 4 2 3 2 6" xfId="1956"/>
    <cellStyle name="Comma 4 2 3 2 6 2" xfId="4185"/>
    <cellStyle name="Comma 4 2 3 2 6 2 2" xfId="8408"/>
    <cellStyle name="Comma 4 2 3 2 6 2 2 2" xfId="16844"/>
    <cellStyle name="Comma 4 2 3 2 6 2 2 3" xfId="25285"/>
    <cellStyle name="Comma 4 2 3 2 6 2 2 4" xfId="33725"/>
    <cellStyle name="Comma 4 2 3 2 6 2 3" xfId="12626"/>
    <cellStyle name="Comma 4 2 3 2 6 2 4" xfId="21068"/>
    <cellStyle name="Comma 4 2 3 2 6 2 5" xfId="29508"/>
    <cellStyle name="Comma 4 2 3 2 6 3" xfId="6263"/>
    <cellStyle name="Comma 4 2 3 2 6 3 2" xfId="14699"/>
    <cellStyle name="Comma 4 2 3 2 6 3 3" xfId="23140"/>
    <cellStyle name="Comma 4 2 3 2 6 3 4" xfId="31580"/>
    <cellStyle name="Comma 4 2 3 2 6 4" xfId="10481"/>
    <cellStyle name="Comma 4 2 3 2 6 5" xfId="18923"/>
    <cellStyle name="Comma 4 2 3 2 6 6" xfId="27363"/>
    <cellStyle name="Comma 4 2 3 2 7" xfId="2391"/>
    <cellStyle name="Comma 4 2 3 2 7 2" xfId="6676"/>
    <cellStyle name="Comma 4 2 3 2 7 2 2" xfId="15112"/>
    <cellStyle name="Comma 4 2 3 2 7 2 3" xfId="23553"/>
    <cellStyle name="Comma 4 2 3 2 7 2 4" xfId="31993"/>
    <cellStyle name="Comma 4 2 3 2 7 3" xfId="10894"/>
    <cellStyle name="Comma 4 2 3 2 7 4" xfId="19336"/>
    <cellStyle name="Comma 4 2 3 2 7 5" xfId="27776"/>
    <cellStyle name="Comma 4 2 3 2 8" xfId="2372"/>
    <cellStyle name="Comma 4 2 3 2 9" xfId="2769"/>
    <cellStyle name="Comma 4 2 3 2 9 2" xfId="6993"/>
    <cellStyle name="Comma 4 2 3 2 9 2 2" xfId="15429"/>
    <cellStyle name="Comma 4 2 3 2 9 2 3" xfId="23870"/>
    <cellStyle name="Comma 4 2 3 2 9 2 4" xfId="32310"/>
    <cellStyle name="Comma 4 2 3 2 9 3" xfId="11211"/>
    <cellStyle name="Comma 4 2 3 2 9 4" xfId="19653"/>
    <cellStyle name="Comma 4 2 3 2 9 5" xfId="28093"/>
    <cellStyle name="Comma 4 2 3 3" xfId="139"/>
    <cellStyle name="Comma 4 2 3 3 10" xfId="8830"/>
    <cellStyle name="Comma 4 2 3 3 11" xfId="17272"/>
    <cellStyle name="Comma 4 2 3 3 12" xfId="25712"/>
    <cellStyle name="Comma 4 2 3 3 2" xfId="677"/>
    <cellStyle name="Comma 4 2 3 3 2 2" xfId="2948"/>
    <cellStyle name="Comma 4 2 3 3 2 2 2" xfId="7171"/>
    <cellStyle name="Comma 4 2 3 3 2 2 2 2" xfId="15607"/>
    <cellStyle name="Comma 4 2 3 3 2 2 2 3" xfId="24048"/>
    <cellStyle name="Comma 4 2 3 3 2 2 2 4" xfId="32488"/>
    <cellStyle name="Comma 4 2 3 3 2 2 3" xfId="11389"/>
    <cellStyle name="Comma 4 2 3 3 2 2 4" xfId="19831"/>
    <cellStyle name="Comma 4 2 3 3 2 2 5" xfId="28271"/>
    <cellStyle name="Comma 4 2 3 3 2 3" xfId="5026"/>
    <cellStyle name="Comma 4 2 3 3 2 3 2" xfId="13462"/>
    <cellStyle name="Comma 4 2 3 3 2 3 3" xfId="21903"/>
    <cellStyle name="Comma 4 2 3 3 2 3 4" xfId="30343"/>
    <cellStyle name="Comma 4 2 3 3 2 4" xfId="9244"/>
    <cellStyle name="Comma 4 2 3 3 2 5" xfId="17686"/>
    <cellStyle name="Comma 4 2 3 3 2 6" xfId="26126"/>
    <cellStyle name="Comma 4 2 3 3 3" xfId="1130"/>
    <cellStyle name="Comma 4 2 3 3 3 2" xfId="3361"/>
    <cellStyle name="Comma 4 2 3 3 3 2 2" xfId="7584"/>
    <cellStyle name="Comma 4 2 3 3 3 2 2 2" xfId="16020"/>
    <cellStyle name="Comma 4 2 3 3 3 2 2 3" xfId="24461"/>
    <cellStyle name="Comma 4 2 3 3 3 2 2 4" xfId="32901"/>
    <cellStyle name="Comma 4 2 3 3 3 2 3" xfId="11802"/>
    <cellStyle name="Comma 4 2 3 3 3 2 4" xfId="20244"/>
    <cellStyle name="Comma 4 2 3 3 3 2 5" xfId="28684"/>
    <cellStyle name="Comma 4 2 3 3 3 3" xfId="5439"/>
    <cellStyle name="Comma 4 2 3 3 3 3 2" xfId="13875"/>
    <cellStyle name="Comma 4 2 3 3 3 3 3" xfId="22316"/>
    <cellStyle name="Comma 4 2 3 3 3 3 4" xfId="30756"/>
    <cellStyle name="Comma 4 2 3 3 3 4" xfId="9657"/>
    <cellStyle name="Comma 4 2 3 3 3 5" xfId="18099"/>
    <cellStyle name="Comma 4 2 3 3 3 6" xfId="26539"/>
    <cellStyle name="Comma 4 2 3 3 4" xfId="1544"/>
    <cellStyle name="Comma 4 2 3 3 4 2" xfId="3774"/>
    <cellStyle name="Comma 4 2 3 3 4 2 2" xfId="7997"/>
    <cellStyle name="Comma 4 2 3 3 4 2 2 2" xfId="16433"/>
    <cellStyle name="Comma 4 2 3 3 4 2 2 3" xfId="24874"/>
    <cellStyle name="Comma 4 2 3 3 4 2 2 4" xfId="33314"/>
    <cellStyle name="Comma 4 2 3 3 4 2 3" xfId="12215"/>
    <cellStyle name="Comma 4 2 3 3 4 2 4" xfId="20657"/>
    <cellStyle name="Comma 4 2 3 3 4 2 5" xfId="29097"/>
    <cellStyle name="Comma 4 2 3 3 4 3" xfId="5852"/>
    <cellStyle name="Comma 4 2 3 3 4 3 2" xfId="14288"/>
    <cellStyle name="Comma 4 2 3 3 4 3 3" xfId="22729"/>
    <cellStyle name="Comma 4 2 3 3 4 3 4" xfId="31169"/>
    <cellStyle name="Comma 4 2 3 3 4 4" xfId="10070"/>
    <cellStyle name="Comma 4 2 3 3 4 5" xfId="18512"/>
    <cellStyle name="Comma 4 2 3 3 4 6" xfId="26952"/>
    <cellStyle name="Comma 4 2 3 3 5" xfId="1958"/>
    <cellStyle name="Comma 4 2 3 3 5 2" xfId="4187"/>
    <cellStyle name="Comma 4 2 3 3 5 2 2" xfId="8410"/>
    <cellStyle name="Comma 4 2 3 3 5 2 2 2" xfId="16846"/>
    <cellStyle name="Comma 4 2 3 3 5 2 2 3" xfId="25287"/>
    <cellStyle name="Comma 4 2 3 3 5 2 2 4" xfId="33727"/>
    <cellStyle name="Comma 4 2 3 3 5 2 3" xfId="12628"/>
    <cellStyle name="Comma 4 2 3 3 5 2 4" xfId="21070"/>
    <cellStyle name="Comma 4 2 3 3 5 2 5" xfId="29510"/>
    <cellStyle name="Comma 4 2 3 3 5 3" xfId="6265"/>
    <cellStyle name="Comma 4 2 3 3 5 3 2" xfId="14701"/>
    <cellStyle name="Comma 4 2 3 3 5 3 3" xfId="23142"/>
    <cellStyle name="Comma 4 2 3 3 5 3 4" xfId="31582"/>
    <cellStyle name="Comma 4 2 3 3 5 4" xfId="10483"/>
    <cellStyle name="Comma 4 2 3 3 5 5" xfId="18925"/>
    <cellStyle name="Comma 4 2 3 3 5 6" xfId="27365"/>
    <cellStyle name="Comma 4 2 3 3 6" xfId="2393"/>
    <cellStyle name="Comma 4 2 3 3 6 2" xfId="6678"/>
    <cellStyle name="Comma 4 2 3 3 6 2 2" xfId="15114"/>
    <cellStyle name="Comma 4 2 3 3 6 2 3" xfId="23555"/>
    <cellStyle name="Comma 4 2 3 3 6 2 4" xfId="31995"/>
    <cellStyle name="Comma 4 2 3 3 6 3" xfId="10896"/>
    <cellStyle name="Comma 4 2 3 3 6 4" xfId="19338"/>
    <cellStyle name="Comma 4 2 3 3 6 5" xfId="27778"/>
    <cellStyle name="Comma 4 2 3 3 7" xfId="2370"/>
    <cellStyle name="Comma 4 2 3 3 8" xfId="2771"/>
    <cellStyle name="Comma 4 2 3 3 8 2" xfId="6995"/>
    <cellStyle name="Comma 4 2 3 3 8 2 2" xfId="15431"/>
    <cellStyle name="Comma 4 2 3 3 8 2 3" xfId="23872"/>
    <cellStyle name="Comma 4 2 3 3 8 2 4" xfId="32312"/>
    <cellStyle name="Comma 4 2 3 3 8 3" xfId="11213"/>
    <cellStyle name="Comma 4 2 3 3 8 4" xfId="19655"/>
    <cellStyle name="Comma 4 2 3 3 8 5" xfId="28095"/>
    <cellStyle name="Comma 4 2 3 3 9" xfId="4612"/>
    <cellStyle name="Comma 4 2 3 3 9 2" xfId="13048"/>
    <cellStyle name="Comma 4 2 3 3 9 3" xfId="21489"/>
    <cellStyle name="Comma 4 2 3 3 9 4" xfId="29929"/>
    <cellStyle name="Comma 4 2 3 4" xfId="674"/>
    <cellStyle name="Comma 4 2 3 4 2" xfId="2945"/>
    <cellStyle name="Comma 4 2 3 4 2 2" xfId="7168"/>
    <cellStyle name="Comma 4 2 3 4 2 2 2" xfId="15604"/>
    <cellStyle name="Comma 4 2 3 4 2 2 3" xfId="24045"/>
    <cellStyle name="Comma 4 2 3 4 2 2 4" xfId="32485"/>
    <cellStyle name="Comma 4 2 3 4 2 3" xfId="11386"/>
    <cellStyle name="Comma 4 2 3 4 2 4" xfId="19828"/>
    <cellStyle name="Comma 4 2 3 4 2 5" xfId="28268"/>
    <cellStyle name="Comma 4 2 3 4 3" xfId="5023"/>
    <cellStyle name="Comma 4 2 3 4 3 2" xfId="13459"/>
    <cellStyle name="Comma 4 2 3 4 3 3" xfId="21900"/>
    <cellStyle name="Comma 4 2 3 4 3 4" xfId="30340"/>
    <cellStyle name="Comma 4 2 3 4 4" xfId="9241"/>
    <cellStyle name="Comma 4 2 3 4 5" xfId="17683"/>
    <cellStyle name="Comma 4 2 3 4 6" xfId="26123"/>
    <cellStyle name="Comma 4 2 3 5" xfId="1127"/>
    <cellStyle name="Comma 4 2 3 5 2" xfId="3358"/>
    <cellStyle name="Comma 4 2 3 5 2 2" xfId="7581"/>
    <cellStyle name="Comma 4 2 3 5 2 2 2" xfId="16017"/>
    <cellStyle name="Comma 4 2 3 5 2 2 3" xfId="24458"/>
    <cellStyle name="Comma 4 2 3 5 2 2 4" xfId="32898"/>
    <cellStyle name="Comma 4 2 3 5 2 3" xfId="11799"/>
    <cellStyle name="Comma 4 2 3 5 2 4" xfId="20241"/>
    <cellStyle name="Comma 4 2 3 5 2 5" xfId="28681"/>
    <cellStyle name="Comma 4 2 3 5 3" xfId="5436"/>
    <cellStyle name="Comma 4 2 3 5 3 2" xfId="13872"/>
    <cellStyle name="Comma 4 2 3 5 3 3" xfId="22313"/>
    <cellStyle name="Comma 4 2 3 5 3 4" xfId="30753"/>
    <cellStyle name="Comma 4 2 3 5 4" xfId="9654"/>
    <cellStyle name="Comma 4 2 3 5 5" xfId="18096"/>
    <cellStyle name="Comma 4 2 3 5 6" xfId="26536"/>
    <cellStyle name="Comma 4 2 3 6" xfId="1541"/>
    <cellStyle name="Comma 4 2 3 6 2" xfId="3771"/>
    <cellStyle name="Comma 4 2 3 6 2 2" xfId="7994"/>
    <cellStyle name="Comma 4 2 3 6 2 2 2" xfId="16430"/>
    <cellStyle name="Comma 4 2 3 6 2 2 3" xfId="24871"/>
    <cellStyle name="Comma 4 2 3 6 2 2 4" xfId="33311"/>
    <cellStyle name="Comma 4 2 3 6 2 3" xfId="12212"/>
    <cellStyle name="Comma 4 2 3 6 2 4" xfId="20654"/>
    <cellStyle name="Comma 4 2 3 6 2 5" xfId="29094"/>
    <cellStyle name="Comma 4 2 3 6 3" xfId="5849"/>
    <cellStyle name="Comma 4 2 3 6 3 2" xfId="14285"/>
    <cellStyle name="Comma 4 2 3 6 3 3" xfId="22726"/>
    <cellStyle name="Comma 4 2 3 6 3 4" xfId="31166"/>
    <cellStyle name="Comma 4 2 3 6 4" xfId="10067"/>
    <cellStyle name="Comma 4 2 3 6 5" xfId="18509"/>
    <cellStyle name="Comma 4 2 3 6 6" xfId="26949"/>
    <cellStyle name="Comma 4 2 3 7" xfId="1955"/>
    <cellStyle name="Comma 4 2 3 7 2" xfId="4184"/>
    <cellStyle name="Comma 4 2 3 7 2 2" xfId="8407"/>
    <cellStyle name="Comma 4 2 3 7 2 2 2" xfId="16843"/>
    <cellStyle name="Comma 4 2 3 7 2 2 3" xfId="25284"/>
    <cellStyle name="Comma 4 2 3 7 2 2 4" xfId="33724"/>
    <cellStyle name="Comma 4 2 3 7 2 3" xfId="12625"/>
    <cellStyle name="Comma 4 2 3 7 2 4" xfId="21067"/>
    <cellStyle name="Comma 4 2 3 7 2 5" xfId="29507"/>
    <cellStyle name="Comma 4 2 3 7 3" xfId="6262"/>
    <cellStyle name="Comma 4 2 3 7 3 2" xfId="14698"/>
    <cellStyle name="Comma 4 2 3 7 3 3" xfId="23139"/>
    <cellStyle name="Comma 4 2 3 7 3 4" xfId="31579"/>
    <cellStyle name="Comma 4 2 3 7 4" xfId="10480"/>
    <cellStyle name="Comma 4 2 3 7 5" xfId="18922"/>
    <cellStyle name="Comma 4 2 3 7 6" xfId="27362"/>
    <cellStyle name="Comma 4 2 3 8" xfId="2390"/>
    <cellStyle name="Comma 4 2 3 8 2" xfId="6675"/>
    <cellStyle name="Comma 4 2 3 8 2 2" xfId="15111"/>
    <cellStyle name="Comma 4 2 3 8 2 3" xfId="23552"/>
    <cellStyle name="Comma 4 2 3 8 2 4" xfId="31992"/>
    <cellStyle name="Comma 4 2 3 8 3" xfId="10893"/>
    <cellStyle name="Comma 4 2 3 8 4" xfId="19335"/>
    <cellStyle name="Comma 4 2 3 8 5" xfId="27775"/>
    <cellStyle name="Comma 4 2 3 9" xfId="2373"/>
    <cellStyle name="Comma 4 2 4" xfId="140"/>
    <cellStyle name="Comma 4 2 4 10" xfId="4613"/>
    <cellStyle name="Comma 4 2 4 10 2" xfId="13049"/>
    <cellStyle name="Comma 4 2 4 10 3" xfId="21490"/>
    <cellStyle name="Comma 4 2 4 10 4" xfId="29930"/>
    <cellStyle name="Comma 4 2 4 11" xfId="8831"/>
    <cellStyle name="Comma 4 2 4 12" xfId="17273"/>
    <cellStyle name="Comma 4 2 4 13" xfId="25713"/>
    <cellStyle name="Comma 4 2 4 2" xfId="141"/>
    <cellStyle name="Comma 4 2 4 2 10" xfId="8832"/>
    <cellStyle name="Comma 4 2 4 2 11" xfId="17274"/>
    <cellStyle name="Comma 4 2 4 2 12" xfId="25714"/>
    <cellStyle name="Comma 4 2 4 2 2" xfId="679"/>
    <cellStyle name="Comma 4 2 4 2 2 2" xfId="2950"/>
    <cellStyle name="Comma 4 2 4 2 2 2 2" xfId="7173"/>
    <cellStyle name="Comma 4 2 4 2 2 2 2 2" xfId="15609"/>
    <cellStyle name="Comma 4 2 4 2 2 2 2 3" xfId="24050"/>
    <cellStyle name="Comma 4 2 4 2 2 2 2 4" xfId="32490"/>
    <cellStyle name="Comma 4 2 4 2 2 2 3" xfId="11391"/>
    <cellStyle name="Comma 4 2 4 2 2 2 4" xfId="19833"/>
    <cellStyle name="Comma 4 2 4 2 2 2 5" xfId="28273"/>
    <cellStyle name="Comma 4 2 4 2 2 3" xfId="5028"/>
    <cellStyle name="Comma 4 2 4 2 2 3 2" xfId="13464"/>
    <cellStyle name="Comma 4 2 4 2 2 3 3" xfId="21905"/>
    <cellStyle name="Comma 4 2 4 2 2 3 4" xfId="30345"/>
    <cellStyle name="Comma 4 2 4 2 2 4" xfId="9246"/>
    <cellStyle name="Comma 4 2 4 2 2 5" xfId="17688"/>
    <cellStyle name="Comma 4 2 4 2 2 6" xfId="26128"/>
    <cellStyle name="Comma 4 2 4 2 3" xfId="1132"/>
    <cellStyle name="Comma 4 2 4 2 3 2" xfId="3363"/>
    <cellStyle name="Comma 4 2 4 2 3 2 2" xfId="7586"/>
    <cellStyle name="Comma 4 2 4 2 3 2 2 2" xfId="16022"/>
    <cellStyle name="Comma 4 2 4 2 3 2 2 3" xfId="24463"/>
    <cellStyle name="Comma 4 2 4 2 3 2 2 4" xfId="32903"/>
    <cellStyle name="Comma 4 2 4 2 3 2 3" xfId="11804"/>
    <cellStyle name="Comma 4 2 4 2 3 2 4" xfId="20246"/>
    <cellStyle name="Comma 4 2 4 2 3 2 5" xfId="28686"/>
    <cellStyle name="Comma 4 2 4 2 3 3" xfId="5441"/>
    <cellStyle name="Comma 4 2 4 2 3 3 2" xfId="13877"/>
    <cellStyle name="Comma 4 2 4 2 3 3 3" xfId="22318"/>
    <cellStyle name="Comma 4 2 4 2 3 3 4" xfId="30758"/>
    <cellStyle name="Comma 4 2 4 2 3 4" xfId="9659"/>
    <cellStyle name="Comma 4 2 4 2 3 5" xfId="18101"/>
    <cellStyle name="Comma 4 2 4 2 3 6" xfId="26541"/>
    <cellStyle name="Comma 4 2 4 2 4" xfId="1546"/>
    <cellStyle name="Comma 4 2 4 2 4 2" xfId="3776"/>
    <cellStyle name="Comma 4 2 4 2 4 2 2" xfId="7999"/>
    <cellStyle name="Comma 4 2 4 2 4 2 2 2" xfId="16435"/>
    <cellStyle name="Comma 4 2 4 2 4 2 2 3" xfId="24876"/>
    <cellStyle name="Comma 4 2 4 2 4 2 2 4" xfId="33316"/>
    <cellStyle name="Comma 4 2 4 2 4 2 3" xfId="12217"/>
    <cellStyle name="Comma 4 2 4 2 4 2 4" xfId="20659"/>
    <cellStyle name="Comma 4 2 4 2 4 2 5" xfId="29099"/>
    <cellStyle name="Comma 4 2 4 2 4 3" xfId="5854"/>
    <cellStyle name="Comma 4 2 4 2 4 3 2" xfId="14290"/>
    <cellStyle name="Comma 4 2 4 2 4 3 3" xfId="22731"/>
    <cellStyle name="Comma 4 2 4 2 4 3 4" xfId="31171"/>
    <cellStyle name="Comma 4 2 4 2 4 4" xfId="10072"/>
    <cellStyle name="Comma 4 2 4 2 4 5" xfId="18514"/>
    <cellStyle name="Comma 4 2 4 2 4 6" xfId="26954"/>
    <cellStyle name="Comma 4 2 4 2 5" xfId="1960"/>
    <cellStyle name="Comma 4 2 4 2 5 2" xfId="4189"/>
    <cellStyle name="Comma 4 2 4 2 5 2 2" xfId="8412"/>
    <cellStyle name="Comma 4 2 4 2 5 2 2 2" xfId="16848"/>
    <cellStyle name="Comma 4 2 4 2 5 2 2 3" xfId="25289"/>
    <cellStyle name="Comma 4 2 4 2 5 2 2 4" xfId="33729"/>
    <cellStyle name="Comma 4 2 4 2 5 2 3" xfId="12630"/>
    <cellStyle name="Comma 4 2 4 2 5 2 4" xfId="21072"/>
    <cellStyle name="Comma 4 2 4 2 5 2 5" xfId="29512"/>
    <cellStyle name="Comma 4 2 4 2 5 3" xfId="6267"/>
    <cellStyle name="Comma 4 2 4 2 5 3 2" xfId="14703"/>
    <cellStyle name="Comma 4 2 4 2 5 3 3" xfId="23144"/>
    <cellStyle name="Comma 4 2 4 2 5 3 4" xfId="31584"/>
    <cellStyle name="Comma 4 2 4 2 5 4" xfId="10485"/>
    <cellStyle name="Comma 4 2 4 2 5 5" xfId="18927"/>
    <cellStyle name="Comma 4 2 4 2 5 6" xfId="27367"/>
    <cellStyle name="Comma 4 2 4 2 6" xfId="2395"/>
    <cellStyle name="Comma 4 2 4 2 6 2" xfId="6680"/>
    <cellStyle name="Comma 4 2 4 2 6 2 2" xfId="15116"/>
    <cellStyle name="Comma 4 2 4 2 6 2 3" xfId="23557"/>
    <cellStyle name="Comma 4 2 4 2 6 2 4" xfId="31997"/>
    <cellStyle name="Comma 4 2 4 2 6 3" xfId="10898"/>
    <cellStyle name="Comma 4 2 4 2 6 4" xfId="19340"/>
    <cellStyle name="Comma 4 2 4 2 6 5" xfId="27780"/>
    <cellStyle name="Comma 4 2 4 2 7" xfId="2368"/>
    <cellStyle name="Comma 4 2 4 2 8" xfId="2773"/>
    <cellStyle name="Comma 4 2 4 2 8 2" xfId="6997"/>
    <cellStyle name="Comma 4 2 4 2 8 2 2" xfId="15433"/>
    <cellStyle name="Comma 4 2 4 2 8 2 3" xfId="23874"/>
    <cellStyle name="Comma 4 2 4 2 8 2 4" xfId="32314"/>
    <cellStyle name="Comma 4 2 4 2 8 3" xfId="11215"/>
    <cellStyle name="Comma 4 2 4 2 8 4" xfId="19657"/>
    <cellStyle name="Comma 4 2 4 2 8 5" xfId="28097"/>
    <cellStyle name="Comma 4 2 4 2 9" xfId="4614"/>
    <cellStyle name="Comma 4 2 4 2 9 2" xfId="13050"/>
    <cellStyle name="Comma 4 2 4 2 9 3" xfId="21491"/>
    <cellStyle name="Comma 4 2 4 2 9 4" xfId="29931"/>
    <cellStyle name="Comma 4 2 4 3" xfId="678"/>
    <cellStyle name="Comma 4 2 4 3 2" xfId="2949"/>
    <cellStyle name="Comma 4 2 4 3 2 2" xfId="7172"/>
    <cellStyle name="Comma 4 2 4 3 2 2 2" xfId="15608"/>
    <cellStyle name="Comma 4 2 4 3 2 2 3" xfId="24049"/>
    <cellStyle name="Comma 4 2 4 3 2 2 4" xfId="32489"/>
    <cellStyle name="Comma 4 2 4 3 2 3" xfId="11390"/>
    <cellStyle name="Comma 4 2 4 3 2 4" xfId="19832"/>
    <cellStyle name="Comma 4 2 4 3 2 5" xfId="28272"/>
    <cellStyle name="Comma 4 2 4 3 3" xfId="5027"/>
    <cellStyle name="Comma 4 2 4 3 3 2" xfId="13463"/>
    <cellStyle name="Comma 4 2 4 3 3 3" xfId="21904"/>
    <cellStyle name="Comma 4 2 4 3 3 4" xfId="30344"/>
    <cellStyle name="Comma 4 2 4 3 4" xfId="9245"/>
    <cellStyle name="Comma 4 2 4 3 5" xfId="17687"/>
    <cellStyle name="Comma 4 2 4 3 6" xfId="26127"/>
    <cellStyle name="Comma 4 2 4 4" xfId="1131"/>
    <cellStyle name="Comma 4 2 4 4 2" xfId="3362"/>
    <cellStyle name="Comma 4 2 4 4 2 2" xfId="7585"/>
    <cellStyle name="Comma 4 2 4 4 2 2 2" xfId="16021"/>
    <cellStyle name="Comma 4 2 4 4 2 2 3" xfId="24462"/>
    <cellStyle name="Comma 4 2 4 4 2 2 4" xfId="32902"/>
    <cellStyle name="Comma 4 2 4 4 2 3" xfId="11803"/>
    <cellStyle name="Comma 4 2 4 4 2 4" xfId="20245"/>
    <cellStyle name="Comma 4 2 4 4 2 5" xfId="28685"/>
    <cellStyle name="Comma 4 2 4 4 3" xfId="5440"/>
    <cellStyle name="Comma 4 2 4 4 3 2" xfId="13876"/>
    <cellStyle name="Comma 4 2 4 4 3 3" xfId="22317"/>
    <cellStyle name="Comma 4 2 4 4 3 4" xfId="30757"/>
    <cellStyle name="Comma 4 2 4 4 4" xfId="9658"/>
    <cellStyle name="Comma 4 2 4 4 5" xfId="18100"/>
    <cellStyle name="Comma 4 2 4 4 6" xfId="26540"/>
    <cellStyle name="Comma 4 2 4 5" xfId="1545"/>
    <cellStyle name="Comma 4 2 4 5 2" xfId="3775"/>
    <cellStyle name="Comma 4 2 4 5 2 2" xfId="7998"/>
    <cellStyle name="Comma 4 2 4 5 2 2 2" xfId="16434"/>
    <cellStyle name="Comma 4 2 4 5 2 2 3" xfId="24875"/>
    <cellStyle name="Comma 4 2 4 5 2 2 4" xfId="33315"/>
    <cellStyle name="Comma 4 2 4 5 2 3" xfId="12216"/>
    <cellStyle name="Comma 4 2 4 5 2 4" xfId="20658"/>
    <cellStyle name="Comma 4 2 4 5 2 5" xfId="29098"/>
    <cellStyle name="Comma 4 2 4 5 3" xfId="5853"/>
    <cellStyle name="Comma 4 2 4 5 3 2" xfId="14289"/>
    <cellStyle name="Comma 4 2 4 5 3 3" xfId="22730"/>
    <cellStyle name="Comma 4 2 4 5 3 4" xfId="31170"/>
    <cellStyle name="Comma 4 2 4 5 4" xfId="10071"/>
    <cellStyle name="Comma 4 2 4 5 5" xfId="18513"/>
    <cellStyle name="Comma 4 2 4 5 6" xfId="26953"/>
    <cellStyle name="Comma 4 2 4 6" xfId="1959"/>
    <cellStyle name="Comma 4 2 4 6 2" xfId="4188"/>
    <cellStyle name="Comma 4 2 4 6 2 2" xfId="8411"/>
    <cellStyle name="Comma 4 2 4 6 2 2 2" xfId="16847"/>
    <cellStyle name="Comma 4 2 4 6 2 2 3" xfId="25288"/>
    <cellStyle name="Comma 4 2 4 6 2 2 4" xfId="33728"/>
    <cellStyle name="Comma 4 2 4 6 2 3" xfId="12629"/>
    <cellStyle name="Comma 4 2 4 6 2 4" xfId="21071"/>
    <cellStyle name="Comma 4 2 4 6 2 5" xfId="29511"/>
    <cellStyle name="Comma 4 2 4 6 3" xfId="6266"/>
    <cellStyle name="Comma 4 2 4 6 3 2" xfId="14702"/>
    <cellStyle name="Comma 4 2 4 6 3 3" xfId="23143"/>
    <cellStyle name="Comma 4 2 4 6 3 4" xfId="31583"/>
    <cellStyle name="Comma 4 2 4 6 4" xfId="10484"/>
    <cellStyle name="Comma 4 2 4 6 5" xfId="18926"/>
    <cellStyle name="Comma 4 2 4 6 6" xfId="27366"/>
    <cellStyle name="Comma 4 2 4 7" xfId="2394"/>
    <cellStyle name="Comma 4 2 4 7 2" xfId="6679"/>
    <cellStyle name="Comma 4 2 4 7 2 2" xfId="15115"/>
    <cellStyle name="Comma 4 2 4 7 2 3" xfId="23556"/>
    <cellStyle name="Comma 4 2 4 7 2 4" xfId="31996"/>
    <cellStyle name="Comma 4 2 4 7 3" xfId="10897"/>
    <cellStyle name="Comma 4 2 4 7 4" xfId="19339"/>
    <cellStyle name="Comma 4 2 4 7 5" xfId="27779"/>
    <cellStyle name="Comma 4 2 4 8" xfId="2369"/>
    <cellStyle name="Comma 4 2 4 9" xfId="2772"/>
    <cellStyle name="Comma 4 2 4 9 2" xfId="6996"/>
    <cellStyle name="Comma 4 2 4 9 2 2" xfId="15432"/>
    <cellStyle name="Comma 4 2 4 9 2 3" xfId="23873"/>
    <cellStyle name="Comma 4 2 4 9 2 4" xfId="32313"/>
    <cellStyle name="Comma 4 2 4 9 3" xfId="11214"/>
    <cellStyle name="Comma 4 2 4 9 4" xfId="19656"/>
    <cellStyle name="Comma 4 2 4 9 5" xfId="28096"/>
    <cellStyle name="Comma 4 2 5" xfId="142"/>
    <cellStyle name="Comma 4 2 5 10" xfId="8833"/>
    <cellStyle name="Comma 4 2 5 11" xfId="17275"/>
    <cellStyle name="Comma 4 2 5 12" xfId="25715"/>
    <cellStyle name="Comma 4 2 5 2" xfId="680"/>
    <cellStyle name="Comma 4 2 5 2 2" xfId="2951"/>
    <cellStyle name="Comma 4 2 5 2 2 2" xfId="7174"/>
    <cellStyle name="Comma 4 2 5 2 2 2 2" xfId="15610"/>
    <cellStyle name="Comma 4 2 5 2 2 2 3" xfId="24051"/>
    <cellStyle name="Comma 4 2 5 2 2 2 4" xfId="32491"/>
    <cellStyle name="Comma 4 2 5 2 2 3" xfId="11392"/>
    <cellStyle name="Comma 4 2 5 2 2 4" xfId="19834"/>
    <cellStyle name="Comma 4 2 5 2 2 5" xfId="28274"/>
    <cellStyle name="Comma 4 2 5 2 3" xfId="5029"/>
    <cellStyle name="Comma 4 2 5 2 3 2" xfId="13465"/>
    <cellStyle name="Comma 4 2 5 2 3 3" xfId="21906"/>
    <cellStyle name="Comma 4 2 5 2 3 4" xfId="30346"/>
    <cellStyle name="Comma 4 2 5 2 4" xfId="9247"/>
    <cellStyle name="Comma 4 2 5 2 5" xfId="17689"/>
    <cellStyle name="Comma 4 2 5 2 6" xfId="26129"/>
    <cellStyle name="Comma 4 2 5 3" xfId="1133"/>
    <cellStyle name="Comma 4 2 5 3 2" xfId="3364"/>
    <cellStyle name="Comma 4 2 5 3 2 2" xfId="7587"/>
    <cellStyle name="Comma 4 2 5 3 2 2 2" xfId="16023"/>
    <cellStyle name="Comma 4 2 5 3 2 2 3" xfId="24464"/>
    <cellStyle name="Comma 4 2 5 3 2 2 4" xfId="32904"/>
    <cellStyle name="Comma 4 2 5 3 2 3" xfId="11805"/>
    <cellStyle name="Comma 4 2 5 3 2 4" xfId="20247"/>
    <cellStyle name="Comma 4 2 5 3 2 5" xfId="28687"/>
    <cellStyle name="Comma 4 2 5 3 3" xfId="5442"/>
    <cellStyle name="Comma 4 2 5 3 3 2" xfId="13878"/>
    <cellStyle name="Comma 4 2 5 3 3 3" xfId="22319"/>
    <cellStyle name="Comma 4 2 5 3 3 4" xfId="30759"/>
    <cellStyle name="Comma 4 2 5 3 4" xfId="9660"/>
    <cellStyle name="Comma 4 2 5 3 5" xfId="18102"/>
    <cellStyle name="Comma 4 2 5 3 6" xfId="26542"/>
    <cellStyle name="Comma 4 2 5 4" xfId="1547"/>
    <cellStyle name="Comma 4 2 5 4 2" xfId="3777"/>
    <cellStyle name="Comma 4 2 5 4 2 2" xfId="8000"/>
    <cellStyle name="Comma 4 2 5 4 2 2 2" xfId="16436"/>
    <cellStyle name="Comma 4 2 5 4 2 2 3" xfId="24877"/>
    <cellStyle name="Comma 4 2 5 4 2 2 4" xfId="33317"/>
    <cellStyle name="Comma 4 2 5 4 2 3" xfId="12218"/>
    <cellStyle name="Comma 4 2 5 4 2 4" xfId="20660"/>
    <cellStyle name="Comma 4 2 5 4 2 5" xfId="29100"/>
    <cellStyle name="Comma 4 2 5 4 3" xfId="5855"/>
    <cellStyle name="Comma 4 2 5 4 3 2" xfId="14291"/>
    <cellStyle name="Comma 4 2 5 4 3 3" xfId="22732"/>
    <cellStyle name="Comma 4 2 5 4 3 4" xfId="31172"/>
    <cellStyle name="Comma 4 2 5 4 4" xfId="10073"/>
    <cellStyle name="Comma 4 2 5 4 5" xfId="18515"/>
    <cellStyle name="Comma 4 2 5 4 6" xfId="26955"/>
    <cellStyle name="Comma 4 2 5 5" xfId="1961"/>
    <cellStyle name="Comma 4 2 5 5 2" xfId="4190"/>
    <cellStyle name="Comma 4 2 5 5 2 2" xfId="8413"/>
    <cellStyle name="Comma 4 2 5 5 2 2 2" xfId="16849"/>
    <cellStyle name="Comma 4 2 5 5 2 2 3" xfId="25290"/>
    <cellStyle name="Comma 4 2 5 5 2 2 4" xfId="33730"/>
    <cellStyle name="Comma 4 2 5 5 2 3" xfId="12631"/>
    <cellStyle name="Comma 4 2 5 5 2 4" xfId="21073"/>
    <cellStyle name="Comma 4 2 5 5 2 5" xfId="29513"/>
    <cellStyle name="Comma 4 2 5 5 3" xfId="6268"/>
    <cellStyle name="Comma 4 2 5 5 3 2" xfId="14704"/>
    <cellStyle name="Comma 4 2 5 5 3 3" xfId="23145"/>
    <cellStyle name="Comma 4 2 5 5 3 4" xfId="31585"/>
    <cellStyle name="Comma 4 2 5 5 4" xfId="10486"/>
    <cellStyle name="Comma 4 2 5 5 5" xfId="18928"/>
    <cellStyle name="Comma 4 2 5 5 6" xfId="27368"/>
    <cellStyle name="Comma 4 2 5 6" xfId="2396"/>
    <cellStyle name="Comma 4 2 5 6 2" xfId="6681"/>
    <cellStyle name="Comma 4 2 5 6 2 2" xfId="15117"/>
    <cellStyle name="Comma 4 2 5 6 2 3" xfId="23558"/>
    <cellStyle name="Comma 4 2 5 6 2 4" xfId="31998"/>
    <cellStyle name="Comma 4 2 5 6 3" xfId="10899"/>
    <cellStyle name="Comma 4 2 5 6 4" xfId="19341"/>
    <cellStyle name="Comma 4 2 5 6 5" xfId="27781"/>
    <cellStyle name="Comma 4 2 5 7" xfId="2367"/>
    <cellStyle name="Comma 4 2 5 8" xfId="2774"/>
    <cellStyle name="Comma 4 2 5 8 2" xfId="6998"/>
    <cellStyle name="Comma 4 2 5 8 2 2" xfId="15434"/>
    <cellStyle name="Comma 4 2 5 8 2 3" xfId="23875"/>
    <cellStyle name="Comma 4 2 5 8 2 4" xfId="32315"/>
    <cellStyle name="Comma 4 2 5 8 3" xfId="11216"/>
    <cellStyle name="Comma 4 2 5 8 4" xfId="19658"/>
    <cellStyle name="Comma 4 2 5 8 5" xfId="28098"/>
    <cellStyle name="Comma 4 2 5 9" xfId="4615"/>
    <cellStyle name="Comma 4 2 5 9 2" xfId="13051"/>
    <cellStyle name="Comma 4 2 5 9 3" xfId="21492"/>
    <cellStyle name="Comma 4 2 5 9 4" xfId="29932"/>
    <cellStyle name="Comma 4 2 6" xfId="143"/>
    <cellStyle name="Comma 4 2 6 10" xfId="8834"/>
    <cellStyle name="Comma 4 2 6 11" xfId="17276"/>
    <cellStyle name="Comma 4 2 6 12" xfId="25716"/>
    <cellStyle name="Comma 4 2 6 2" xfId="681"/>
    <cellStyle name="Comma 4 2 6 2 2" xfId="2952"/>
    <cellStyle name="Comma 4 2 6 2 2 2" xfId="7175"/>
    <cellStyle name="Comma 4 2 6 2 2 2 2" xfId="15611"/>
    <cellStyle name="Comma 4 2 6 2 2 2 3" xfId="24052"/>
    <cellStyle name="Comma 4 2 6 2 2 2 4" xfId="32492"/>
    <cellStyle name="Comma 4 2 6 2 2 3" xfId="11393"/>
    <cellStyle name="Comma 4 2 6 2 2 4" xfId="19835"/>
    <cellStyle name="Comma 4 2 6 2 2 5" xfId="28275"/>
    <cellStyle name="Comma 4 2 6 2 3" xfId="5030"/>
    <cellStyle name="Comma 4 2 6 2 3 2" xfId="13466"/>
    <cellStyle name="Comma 4 2 6 2 3 3" xfId="21907"/>
    <cellStyle name="Comma 4 2 6 2 3 4" xfId="30347"/>
    <cellStyle name="Comma 4 2 6 2 4" xfId="9248"/>
    <cellStyle name="Comma 4 2 6 2 5" xfId="17690"/>
    <cellStyle name="Comma 4 2 6 2 6" xfId="26130"/>
    <cellStyle name="Comma 4 2 6 3" xfId="1134"/>
    <cellStyle name="Comma 4 2 6 3 2" xfId="3365"/>
    <cellStyle name="Comma 4 2 6 3 2 2" xfId="7588"/>
    <cellStyle name="Comma 4 2 6 3 2 2 2" xfId="16024"/>
    <cellStyle name="Comma 4 2 6 3 2 2 3" xfId="24465"/>
    <cellStyle name="Comma 4 2 6 3 2 2 4" xfId="32905"/>
    <cellStyle name="Comma 4 2 6 3 2 3" xfId="11806"/>
    <cellStyle name="Comma 4 2 6 3 2 4" xfId="20248"/>
    <cellStyle name="Comma 4 2 6 3 2 5" xfId="28688"/>
    <cellStyle name="Comma 4 2 6 3 3" xfId="5443"/>
    <cellStyle name="Comma 4 2 6 3 3 2" xfId="13879"/>
    <cellStyle name="Comma 4 2 6 3 3 3" xfId="22320"/>
    <cellStyle name="Comma 4 2 6 3 3 4" xfId="30760"/>
    <cellStyle name="Comma 4 2 6 3 4" xfId="9661"/>
    <cellStyle name="Comma 4 2 6 3 5" xfId="18103"/>
    <cellStyle name="Comma 4 2 6 3 6" xfId="26543"/>
    <cellStyle name="Comma 4 2 6 4" xfId="1548"/>
    <cellStyle name="Comma 4 2 6 4 2" xfId="3778"/>
    <cellStyle name="Comma 4 2 6 4 2 2" xfId="8001"/>
    <cellStyle name="Comma 4 2 6 4 2 2 2" xfId="16437"/>
    <cellStyle name="Comma 4 2 6 4 2 2 3" xfId="24878"/>
    <cellStyle name="Comma 4 2 6 4 2 2 4" xfId="33318"/>
    <cellStyle name="Comma 4 2 6 4 2 3" xfId="12219"/>
    <cellStyle name="Comma 4 2 6 4 2 4" xfId="20661"/>
    <cellStyle name="Comma 4 2 6 4 2 5" xfId="29101"/>
    <cellStyle name="Comma 4 2 6 4 3" xfId="5856"/>
    <cellStyle name="Comma 4 2 6 4 3 2" xfId="14292"/>
    <cellStyle name="Comma 4 2 6 4 3 3" xfId="22733"/>
    <cellStyle name="Comma 4 2 6 4 3 4" xfId="31173"/>
    <cellStyle name="Comma 4 2 6 4 4" xfId="10074"/>
    <cellStyle name="Comma 4 2 6 4 5" xfId="18516"/>
    <cellStyle name="Comma 4 2 6 4 6" xfId="26956"/>
    <cellStyle name="Comma 4 2 6 5" xfId="1962"/>
    <cellStyle name="Comma 4 2 6 5 2" xfId="4191"/>
    <cellStyle name="Comma 4 2 6 5 2 2" xfId="8414"/>
    <cellStyle name="Comma 4 2 6 5 2 2 2" xfId="16850"/>
    <cellStyle name="Comma 4 2 6 5 2 2 3" xfId="25291"/>
    <cellStyle name="Comma 4 2 6 5 2 2 4" xfId="33731"/>
    <cellStyle name="Comma 4 2 6 5 2 3" xfId="12632"/>
    <cellStyle name="Comma 4 2 6 5 2 4" xfId="21074"/>
    <cellStyle name="Comma 4 2 6 5 2 5" xfId="29514"/>
    <cellStyle name="Comma 4 2 6 5 3" xfId="6269"/>
    <cellStyle name="Comma 4 2 6 5 3 2" xfId="14705"/>
    <cellStyle name="Comma 4 2 6 5 3 3" xfId="23146"/>
    <cellStyle name="Comma 4 2 6 5 3 4" xfId="31586"/>
    <cellStyle name="Comma 4 2 6 5 4" xfId="10487"/>
    <cellStyle name="Comma 4 2 6 5 5" xfId="18929"/>
    <cellStyle name="Comma 4 2 6 5 6" xfId="27369"/>
    <cellStyle name="Comma 4 2 6 6" xfId="2397"/>
    <cellStyle name="Comma 4 2 6 6 2" xfId="6682"/>
    <cellStyle name="Comma 4 2 6 6 2 2" xfId="15118"/>
    <cellStyle name="Comma 4 2 6 6 2 3" xfId="23559"/>
    <cellStyle name="Comma 4 2 6 6 2 4" xfId="31999"/>
    <cellStyle name="Comma 4 2 6 6 3" xfId="10900"/>
    <cellStyle name="Comma 4 2 6 6 4" xfId="19342"/>
    <cellStyle name="Comma 4 2 6 6 5" xfId="27782"/>
    <cellStyle name="Comma 4 2 6 7" xfId="2366"/>
    <cellStyle name="Comma 4 2 6 8" xfId="2775"/>
    <cellStyle name="Comma 4 2 6 8 2" xfId="6999"/>
    <cellStyle name="Comma 4 2 6 8 2 2" xfId="15435"/>
    <cellStyle name="Comma 4 2 6 8 2 3" xfId="23876"/>
    <cellStyle name="Comma 4 2 6 8 2 4" xfId="32316"/>
    <cellStyle name="Comma 4 2 6 8 3" xfId="11217"/>
    <cellStyle name="Comma 4 2 6 8 4" xfId="19659"/>
    <cellStyle name="Comma 4 2 6 8 5" xfId="28099"/>
    <cellStyle name="Comma 4 2 6 9" xfId="4616"/>
    <cellStyle name="Comma 4 2 6 9 2" xfId="13052"/>
    <cellStyle name="Comma 4 2 6 9 3" xfId="21493"/>
    <cellStyle name="Comma 4 2 6 9 4" xfId="29933"/>
    <cellStyle name="Comma 4 3" xfId="144"/>
    <cellStyle name="Comma 4 3 2" xfId="145"/>
    <cellStyle name="Comma 4 3 2 10" xfId="2776"/>
    <cellStyle name="Comma 4 3 2 10 2" xfId="7000"/>
    <cellStyle name="Comma 4 3 2 10 2 2" xfId="15436"/>
    <cellStyle name="Comma 4 3 2 10 2 3" xfId="23877"/>
    <cellStyle name="Comma 4 3 2 10 2 4" xfId="32317"/>
    <cellStyle name="Comma 4 3 2 10 3" xfId="11218"/>
    <cellStyle name="Comma 4 3 2 10 4" xfId="19660"/>
    <cellStyle name="Comma 4 3 2 10 5" xfId="28100"/>
    <cellStyle name="Comma 4 3 2 11" xfId="4617"/>
    <cellStyle name="Comma 4 3 2 11 2" xfId="13053"/>
    <cellStyle name="Comma 4 3 2 11 3" xfId="21494"/>
    <cellStyle name="Comma 4 3 2 11 4" xfId="29934"/>
    <cellStyle name="Comma 4 3 2 12" xfId="8835"/>
    <cellStyle name="Comma 4 3 2 13" xfId="17277"/>
    <cellStyle name="Comma 4 3 2 14" xfId="25717"/>
    <cellStyle name="Comma 4 3 2 2" xfId="146"/>
    <cellStyle name="Comma 4 3 2 2 10" xfId="4618"/>
    <cellStyle name="Comma 4 3 2 2 10 2" xfId="13054"/>
    <cellStyle name="Comma 4 3 2 2 10 3" xfId="21495"/>
    <cellStyle name="Comma 4 3 2 2 10 4" xfId="29935"/>
    <cellStyle name="Comma 4 3 2 2 11" xfId="8836"/>
    <cellStyle name="Comma 4 3 2 2 12" xfId="17278"/>
    <cellStyle name="Comma 4 3 2 2 13" xfId="25718"/>
    <cellStyle name="Comma 4 3 2 2 2" xfId="147"/>
    <cellStyle name="Comma 4 3 2 2 2 10" xfId="8837"/>
    <cellStyle name="Comma 4 3 2 2 2 11" xfId="17279"/>
    <cellStyle name="Comma 4 3 2 2 2 12" xfId="25719"/>
    <cellStyle name="Comma 4 3 2 2 2 2" xfId="684"/>
    <cellStyle name="Comma 4 3 2 2 2 2 2" xfId="2955"/>
    <cellStyle name="Comma 4 3 2 2 2 2 2 2" xfId="7178"/>
    <cellStyle name="Comma 4 3 2 2 2 2 2 2 2" xfId="15614"/>
    <cellStyle name="Comma 4 3 2 2 2 2 2 2 3" xfId="24055"/>
    <cellStyle name="Comma 4 3 2 2 2 2 2 2 4" xfId="32495"/>
    <cellStyle name="Comma 4 3 2 2 2 2 2 3" xfId="11396"/>
    <cellStyle name="Comma 4 3 2 2 2 2 2 4" xfId="19838"/>
    <cellStyle name="Comma 4 3 2 2 2 2 2 5" xfId="28278"/>
    <cellStyle name="Comma 4 3 2 2 2 2 3" xfId="5033"/>
    <cellStyle name="Comma 4 3 2 2 2 2 3 2" xfId="13469"/>
    <cellStyle name="Comma 4 3 2 2 2 2 3 3" xfId="21910"/>
    <cellStyle name="Comma 4 3 2 2 2 2 3 4" xfId="30350"/>
    <cellStyle name="Comma 4 3 2 2 2 2 4" xfId="9251"/>
    <cellStyle name="Comma 4 3 2 2 2 2 5" xfId="17693"/>
    <cellStyle name="Comma 4 3 2 2 2 2 6" xfId="26133"/>
    <cellStyle name="Comma 4 3 2 2 2 3" xfId="1137"/>
    <cellStyle name="Comma 4 3 2 2 2 3 2" xfId="3368"/>
    <cellStyle name="Comma 4 3 2 2 2 3 2 2" xfId="7591"/>
    <cellStyle name="Comma 4 3 2 2 2 3 2 2 2" xfId="16027"/>
    <cellStyle name="Comma 4 3 2 2 2 3 2 2 3" xfId="24468"/>
    <cellStyle name="Comma 4 3 2 2 2 3 2 2 4" xfId="32908"/>
    <cellStyle name="Comma 4 3 2 2 2 3 2 3" xfId="11809"/>
    <cellStyle name="Comma 4 3 2 2 2 3 2 4" xfId="20251"/>
    <cellStyle name="Comma 4 3 2 2 2 3 2 5" xfId="28691"/>
    <cellStyle name="Comma 4 3 2 2 2 3 3" xfId="5446"/>
    <cellStyle name="Comma 4 3 2 2 2 3 3 2" xfId="13882"/>
    <cellStyle name="Comma 4 3 2 2 2 3 3 3" xfId="22323"/>
    <cellStyle name="Comma 4 3 2 2 2 3 3 4" xfId="30763"/>
    <cellStyle name="Comma 4 3 2 2 2 3 4" xfId="9664"/>
    <cellStyle name="Comma 4 3 2 2 2 3 5" xfId="18106"/>
    <cellStyle name="Comma 4 3 2 2 2 3 6" xfId="26546"/>
    <cellStyle name="Comma 4 3 2 2 2 4" xfId="1551"/>
    <cellStyle name="Comma 4 3 2 2 2 4 2" xfId="3781"/>
    <cellStyle name="Comma 4 3 2 2 2 4 2 2" xfId="8004"/>
    <cellStyle name="Comma 4 3 2 2 2 4 2 2 2" xfId="16440"/>
    <cellStyle name="Comma 4 3 2 2 2 4 2 2 3" xfId="24881"/>
    <cellStyle name="Comma 4 3 2 2 2 4 2 2 4" xfId="33321"/>
    <cellStyle name="Comma 4 3 2 2 2 4 2 3" xfId="12222"/>
    <cellStyle name="Comma 4 3 2 2 2 4 2 4" xfId="20664"/>
    <cellStyle name="Comma 4 3 2 2 2 4 2 5" xfId="29104"/>
    <cellStyle name="Comma 4 3 2 2 2 4 3" xfId="5859"/>
    <cellStyle name="Comma 4 3 2 2 2 4 3 2" xfId="14295"/>
    <cellStyle name="Comma 4 3 2 2 2 4 3 3" xfId="22736"/>
    <cellStyle name="Comma 4 3 2 2 2 4 3 4" xfId="31176"/>
    <cellStyle name="Comma 4 3 2 2 2 4 4" xfId="10077"/>
    <cellStyle name="Comma 4 3 2 2 2 4 5" xfId="18519"/>
    <cellStyle name="Comma 4 3 2 2 2 4 6" xfId="26959"/>
    <cellStyle name="Comma 4 3 2 2 2 5" xfId="1965"/>
    <cellStyle name="Comma 4 3 2 2 2 5 2" xfId="4194"/>
    <cellStyle name="Comma 4 3 2 2 2 5 2 2" xfId="8417"/>
    <cellStyle name="Comma 4 3 2 2 2 5 2 2 2" xfId="16853"/>
    <cellStyle name="Comma 4 3 2 2 2 5 2 2 3" xfId="25294"/>
    <cellStyle name="Comma 4 3 2 2 2 5 2 2 4" xfId="33734"/>
    <cellStyle name="Comma 4 3 2 2 2 5 2 3" xfId="12635"/>
    <cellStyle name="Comma 4 3 2 2 2 5 2 4" xfId="21077"/>
    <cellStyle name="Comma 4 3 2 2 2 5 2 5" xfId="29517"/>
    <cellStyle name="Comma 4 3 2 2 2 5 3" xfId="6272"/>
    <cellStyle name="Comma 4 3 2 2 2 5 3 2" xfId="14708"/>
    <cellStyle name="Comma 4 3 2 2 2 5 3 3" xfId="23149"/>
    <cellStyle name="Comma 4 3 2 2 2 5 3 4" xfId="31589"/>
    <cellStyle name="Comma 4 3 2 2 2 5 4" xfId="10490"/>
    <cellStyle name="Comma 4 3 2 2 2 5 5" xfId="18932"/>
    <cellStyle name="Comma 4 3 2 2 2 5 6" xfId="27372"/>
    <cellStyle name="Comma 4 3 2 2 2 6" xfId="2400"/>
    <cellStyle name="Comma 4 3 2 2 2 6 2" xfId="6685"/>
    <cellStyle name="Comma 4 3 2 2 2 6 2 2" xfId="15121"/>
    <cellStyle name="Comma 4 3 2 2 2 6 2 3" xfId="23562"/>
    <cellStyle name="Comma 4 3 2 2 2 6 2 4" xfId="32002"/>
    <cellStyle name="Comma 4 3 2 2 2 6 3" xfId="10903"/>
    <cellStyle name="Comma 4 3 2 2 2 6 4" xfId="19345"/>
    <cellStyle name="Comma 4 3 2 2 2 6 5" xfId="27785"/>
    <cellStyle name="Comma 4 3 2 2 2 7" xfId="2363"/>
    <cellStyle name="Comma 4 3 2 2 2 8" xfId="2778"/>
    <cellStyle name="Comma 4 3 2 2 2 8 2" xfId="7002"/>
    <cellStyle name="Comma 4 3 2 2 2 8 2 2" xfId="15438"/>
    <cellStyle name="Comma 4 3 2 2 2 8 2 3" xfId="23879"/>
    <cellStyle name="Comma 4 3 2 2 2 8 2 4" xfId="32319"/>
    <cellStyle name="Comma 4 3 2 2 2 8 3" xfId="11220"/>
    <cellStyle name="Comma 4 3 2 2 2 8 4" xfId="19662"/>
    <cellStyle name="Comma 4 3 2 2 2 8 5" xfId="28102"/>
    <cellStyle name="Comma 4 3 2 2 2 9" xfId="4619"/>
    <cellStyle name="Comma 4 3 2 2 2 9 2" xfId="13055"/>
    <cellStyle name="Comma 4 3 2 2 2 9 3" xfId="21496"/>
    <cellStyle name="Comma 4 3 2 2 2 9 4" xfId="29936"/>
    <cellStyle name="Comma 4 3 2 2 3" xfId="683"/>
    <cellStyle name="Comma 4 3 2 2 3 2" xfId="2954"/>
    <cellStyle name="Comma 4 3 2 2 3 2 2" xfId="7177"/>
    <cellStyle name="Comma 4 3 2 2 3 2 2 2" xfId="15613"/>
    <cellStyle name="Comma 4 3 2 2 3 2 2 3" xfId="24054"/>
    <cellStyle name="Comma 4 3 2 2 3 2 2 4" xfId="32494"/>
    <cellStyle name="Comma 4 3 2 2 3 2 3" xfId="11395"/>
    <cellStyle name="Comma 4 3 2 2 3 2 4" xfId="19837"/>
    <cellStyle name="Comma 4 3 2 2 3 2 5" xfId="28277"/>
    <cellStyle name="Comma 4 3 2 2 3 3" xfId="5032"/>
    <cellStyle name="Comma 4 3 2 2 3 3 2" xfId="13468"/>
    <cellStyle name="Comma 4 3 2 2 3 3 3" xfId="21909"/>
    <cellStyle name="Comma 4 3 2 2 3 3 4" xfId="30349"/>
    <cellStyle name="Comma 4 3 2 2 3 4" xfId="9250"/>
    <cellStyle name="Comma 4 3 2 2 3 5" xfId="17692"/>
    <cellStyle name="Comma 4 3 2 2 3 6" xfId="26132"/>
    <cellStyle name="Comma 4 3 2 2 4" xfId="1136"/>
    <cellStyle name="Comma 4 3 2 2 4 2" xfId="3367"/>
    <cellStyle name="Comma 4 3 2 2 4 2 2" xfId="7590"/>
    <cellStyle name="Comma 4 3 2 2 4 2 2 2" xfId="16026"/>
    <cellStyle name="Comma 4 3 2 2 4 2 2 3" xfId="24467"/>
    <cellStyle name="Comma 4 3 2 2 4 2 2 4" xfId="32907"/>
    <cellStyle name="Comma 4 3 2 2 4 2 3" xfId="11808"/>
    <cellStyle name="Comma 4 3 2 2 4 2 4" xfId="20250"/>
    <cellStyle name="Comma 4 3 2 2 4 2 5" xfId="28690"/>
    <cellStyle name="Comma 4 3 2 2 4 3" xfId="5445"/>
    <cellStyle name="Comma 4 3 2 2 4 3 2" xfId="13881"/>
    <cellStyle name="Comma 4 3 2 2 4 3 3" xfId="22322"/>
    <cellStyle name="Comma 4 3 2 2 4 3 4" xfId="30762"/>
    <cellStyle name="Comma 4 3 2 2 4 4" xfId="9663"/>
    <cellStyle name="Comma 4 3 2 2 4 5" xfId="18105"/>
    <cellStyle name="Comma 4 3 2 2 4 6" xfId="26545"/>
    <cellStyle name="Comma 4 3 2 2 5" xfId="1550"/>
    <cellStyle name="Comma 4 3 2 2 5 2" xfId="3780"/>
    <cellStyle name="Comma 4 3 2 2 5 2 2" xfId="8003"/>
    <cellStyle name="Comma 4 3 2 2 5 2 2 2" xfId="16439"/>
    <cellStyle name="Comma 4 3 2 2 5 2 2 3" xfId="24880"/>
    <cellStyle name="Comma 4 3 2 2 5 2 2 4" xfId="33320"/>
    <cellStyle name="Comma 4 3 2 2 5 2 3" xfId="12221"/>
    <cellStyle name="Comma 4 3 2 2 5 2 4" xfId="20663"/>
    <cellStyle name="Comma 4 3 2 2 5 2 5" xfId="29103"/>
    <cellStyle name="Comma 4 3 2 2 5 3" xfId="5858"/>
    <cellStyle name="Comma 4 3 2 2 5 3 2" xfId="14294"/>
    <cellStyle name="Comma 4 3 2 2 5 3 3" xfId="22735"/>
    <cellStyle name="Comma 4 3 2 2 5 3 4" xfId="31175"/>
    <cellStyle name="Comma 4 3 2 2 5 4" xfId="10076"/>
    <cellStyle name="Comma 4 3 2 2 5 5" xfId="18518"/>
    <cellStyle name="Comma 4 3 2 2 5 6" xfId="26958"/>
    <cellStyle name="Comma 4 3 2 2 6" xfId="1964"/>
    <cellStyle name="Comma 4 3 2 2 6 2" xfId="4193"/>
    <cellStyle name="Comma 4 3 2 2 6 2 2" xfId="8416"/>
    <cellStyle name="Comma 4 3 2 2 6 2 2 2" xfId="16852"/>
    <cellStyle name="Comma 4 3 2 2 6 2 2 3" xfId="25293"/>
    <cellStyle name="Comma 4 3 2 2 6 2 2 4" xfId="33733"/>
    <cellStyle name="Comma 4 3 2 2 6 2 3" xfId="12634"/>
    <cellStyle name="Comma 4 3 2 2 6 2 4" xfId="21076"/>
    <cellStyle name="Comma 4 3 2 2 6 2 5" xfId="29516"/>
    <cellStyle name="Comma 4 3 2 2 6 3" xfId="6271"/>
    <cellStyle name="Comma 4 3 2 2 6 3 2" xfId="14707"/>
    <cellStyle name="Comma 4 3 2 2 6 3 3" xfId="23148"/>
    <cellStyle name="Comma 4 3 2 2 6 3 4" xfId="31588"/>
    <cellStyle name="Comma 4 3 2 2 6 4" xfId="10489"/>
    <cellStyle name="Comma 4 3 2 2 6 5" xfId="18931"/>
    <cellStyle name="Comma 4 3 2 2 6 6" xfId="27371"/>
    <cellStyle name="Comma 4 3 2 2 7" xfId="2399"/>
    <cellStyle name="Comma 4 3 2 2 7 2" xfId="6684"/>
    <cellStyle name="Comma 4 3 2 2 7 2 2" xfId="15120"/>
    <cellStyle name="Comma 4 3 2 2 7 2 3" xfId="23561"/>
    <cellStyle name="Comma 4 3 2 2 7 2 4" xfId="32001"/>
    <cellStyle name="Comma 4 3 2 2 7 3" xfId="10902"/>
    <cellStyle name="Comma 4 3 2 2 7 4" xfId="19344"/>
    <cellStyle name="Comma 4 3 2 2 7 5" xfId="27784"/>
    <cellStyle name="Comma 4 3 2 2 8" xfId="2364"/>
    <cellStyle name="Comma 4 3 2 2 9" xfId="2777"/>
    <cellStyle name="Comma 4 3 2 2 9 2" xfId="7001"/>
    <cellStyle name="Comma 4 3 2 2 9 2 2" xfId="15437"/>
    <cellStyle name="Comma 4 3 2 2 9 2 3" xfId="23878"/>
    <cellStyle name="Comma 4 3 2 2 9 2 4" xfId="32318"/>
    <cellStyle name="Comma 4 3 2 2 9 3" xfId="11219"/>
    <cellStyle name="Comma 4 3 2 2 9 4" xfId="19661"/>
    <cellStyle name="Comma 4 3 2 2 9 5" xfId="28101"/>
    <cellStyle name="Comma 4 3 2 3" xfId="148"/>
    <cellStyle name="Comma 4 3 2 3 10" xfId="8838"/>
    <cellStyle name="Comma 4 3 2 3 11" xfId="17280"/>
    <cellStyle name="Comma 4 3 2 3 12" xfId="25720"/>
    <cellStyle name="Comma 4 3 2 3 2" xfId="685"/>
    <cellStyle name="Comma 4 3 2 3 2 2" xfId="2956"/>
    <cellStyle name="Comma 4 3 2 3 2 2 2" xfId="7179"/>
    <cellStyle name="Comma 4 3 2 3 2 2 2 2" xfId="15615"/>
    <cellStyle name="Comma 4 3 2 3 2 2 2 3" xfId="24056"/>
    <cellStyle name="Comma 4 3 2 3 2 2 2 4" xfId="32496"/>
    <cellStyle name="Comma 4 3 2 3 2 2 3" xfId="11397"/>
    <cellStyle name="Comma 4 3 2 3 2 2 4" xfId="19839"/>
    <cellStyle name="Comma 4 3 2 3 2 2 5" xfId="28279"/>
    <cellStyle name="Comma 4 3 2 3 2 3" xfId="5034"/>
    <cellStyle name="Comma 4 3 2 3 2 3 2" xfId="13470"/>
    <cellStyle name="Comma 4 3 2 3 2 3 3" xfId="21911"/>
    <cellStyle name="Comma 4 3 2 3 2 3 4" xfId="30351"/>
    <cellStyle name="Comma 4 3 2 3 2 4" xfId="9252"/>
    <cellStyle name="Comma 4 3 2 3 2 5" xfId="17694"/>
    <cellStyle name="Comma 4 3 2 3 2 6" xfId="26134"/>
    <cellStyle name="Comma 4 3 2 3 3" xfId="1138"/>
    <cellStyle name="Comma 4 3 2 3 3 2" xfId="3369"/>
    <cellStyle name="Comma 4 3 2 3 3 2 2" xfId="7592"/>
    <cellStyle name="Comma 4 3 2 3 3 2 2 2" xfId="16028"/>
    <cellStyle name="Comma 4 3 2 3 3 2 2 3" xfId="24469"/>
    <cellStyle name="Comma 4 3 2 3 3 2 2 4" xfId="32909"/>
    <cellStyle name="Comma 4 3 2 3 3 2 3" xfId="11810"/>
    <cellStyle name="Comma 4 3 2 3 3 2 4" xfId="20252"/>
    <cellStyle name="Comma 4 3 2 3 3 2 5" xfId="28692"/>
    <cellStyle name="Comma 4 3 2 3 3 3" xfId="5447"/>
    <cellStyle name="Comma 4 3 2 3 3 3 2" xfId="13883"/>
    <cellStyle name="Comma 4 3 2 3 3 3 3" xfId="22324"/>
    <cellStyle name="Comma 4 3 2 3 3 3 4" xfId="30764"/>
    <cellStyle name="Comma 4 3 2 3 3 4" xfId="9665"/>
    <cellStyle name="Comma 4 3 2 3 3 5" xfId="18107"/>
    <cellStyle name="Comma 4 3 2 3 3 6" xfId="26547"/>
    <cellStyle name="Comma 4 3 2 3 4" xfId="1552"/>
    <cellStyle name="Comma 4 3 2 3 4 2" xfId="3782"/>
    <cellStyle name="Comma 4 3 2 3 4 2 2" xfId="8005"/>
    <cellStyle name="Comma 4 3 2 3 4 2 2 2" xfId="16441"/>
    <cellStyle name="Comma 4 3 2 3 4 2 2 3" xfId="24882"/>
    <cellStyle name="Comma 4 3 2 3 4 2 2 4" xfId="33322"/>
    <cellStyle name="Comma 4 3 2 3 4 2 3" xfId="12223"/>
    <cellStyle name="Comma 4 3 2 3 4 2 4" xfId="20665"/>
    <cellStyle name="Comma 4 3 2 3 4 2 5" xfId="29105"/>
    <cellStyle name="Comma 4 3 2 3 4 3" xfId="5860"/>
    <cellStyle name="Comma 4 3 2 3 4 3 2" xfId="14296"/>
    <cellStyle name="Comma 4 3 2 3 4 3 3" xfId="22737"/>
    <cellStyle name="Comma 4 3 2 3 4 3 4" xfId="31177"/>
    <cellStyle name="Comma 4 3 2 3 4 4" xfId="10078"/>
    <cellStyle name="Comma 4 3 2 3 4 5" xfId="18520"/>
    <cellStyle name="Comma 4 3 2 3 4 6" xfId="26960"/>
    <cellStyle name="Comma 4 3 2 3 5" xfId="1966"/>
    <cellStyle name="Comma 4 3 2 3 5 2" xfId="4195"/>
    <cellStyle name="Comma 4 3 2 3 5 2 2" xfId="8418"/>
    <cellStyle name="Comma 4 3 2 3 5 2 2 2" xfId="16854"/>
    <cellStyle name="Comma 4 3 2 3 5 2 2 3" xfId="25295"/>
    <cellStyle name="Comma 4 3 2 3 5 2 2 4" xfId="33735"/>
    <cellStyle name="Comma 4 3 2 3 5 2 3" xfId="12636"/>
    <cellStyle name="Comma 4 3 2 3 5 2 4" xfId="21078"/>
    <cellStyle name="Comma 4 3 2 3 5 2 5" xfId="29518"/>
    <cellStyle name="Comma 4 3 2 3 5 3" xfId="6273"/>
    <cellStyle name="Comma 4 3 2 3 5 3 2" xfId="14709"/>
    <cellStyle name="Comma 4 3 2 3 5 3 3" xfId="23150"/>
    <cellStyle name="Comma 4 3 2 3 5 3 4" xfId="31590"/>
    <cellStyle name="Comma 4 3 2 3 5 4" xfId="10491"/>
    <cellStyle name="Comma 4 3 2 3 5 5" xfId="18933"/>
    <cellStyle name="Comma 4 3 2 3 5 6" xfId="27373"/>
    <cellStyle name="Comma 4 3 2 3 6" xfId="2401"/>
    <cellStyle name="Comma 4 3 2 3 6 2" xfId="6686"/>
    <cellStyle name="Comma 4 3 2 3 6 2 2" xfId="15122"/>
    <cellStyle name="Comma 4 3 2 3 6 2 3" xfId="23563"/>
    <cellStyle name="Comma 4 3 2 3 6 2 4" xfId="32003"/>
    <cellStyle name="Comma 4 3 2 3 6 3" xfId="10904"/>
    <cellStyle name="Comma 4 3 2 3 6 4" xfId="19346"/>
    <cellStyle name="Comma 4 3 2 3 6 5" xfId="27786"/>
    <cellStyle name="Comma 4 3 2 3 7" xfId="2362"/>
    <cellStyle name="Comma 4 3 2 3 8" xfId="2779"/>
    <cellStyle name="Comma 4 3 2 3 8 2" xfId="7003"/>
    <cellStyle name="Comma 4 3 2 3 8 2 2" xfId="15439"/>
    <cellStyle name="Comma 4 3 2 3 8 2 3" xfId="23880"/>
    <cellStyle name="Comma 4 3 2 3 8 2 4" xfId="32320"/>
    <cellStyle name="Comma 4 3 2 3 8 3" xfId="11221"/>
    <cellStyle name="Comma 4 3 2 3 8 4" xfId="19663"/>
    <cellStyle name="Comma 4 3 2 3 8 5" xfId="28103"/>
    <cellStyle name="Comma 4 3 2 3 9" xfId="4620"/>
    <cellStyle name="Comma 4 3 2 3 9 2" xfId="13056"/>
    <cellStyle name="Comma 4 3 2 3 9 3" xfId="21497"/>
    <cellStyle name="Comma 4 3 2 3 9 4" xfId="29937"/>
    <cellStyle name="Comma 4 3 2 4" xfId="682"/>
    <cellStyle name="Comma 4 3 2 4 2" xfId="2953"/>
    <cellStyle name="Comma 4 3 2 4 2 2" xfId="7176"/>
    <cellStyle name="Comma 4 3 2 4 2 2 2" xfId="15612"/>
    <cellStyle name="Comma 4 3 2 4 2 2 3" xfId="24053"/>
    <cellStyle name="Comma 4 3 2 4 2 2 4" xfId="32493"/>
    <cellStyle name="Comma 4 3 2 4 2 3" xfId="11394"/>
    <cellStyle name="Comma 4 3 2 4 2 4" xfId="19836"/>
    <cellStyle name="Comma 4 3 2 4 2 5" xfId="28276"/>
    <cellStyle name="Comma 4 3 2 4 3" xfId="5031"/>
    <cellStyle name="Comma 4 3 2 4 3 2" xfId="13467"/>
    <cellStyle name="Comma 4 3 2 4 3 3" xfId="21908"/>
    <cellStyle name="Comma 4 3 2 4 3 4" xfId="30348"/>
    <cellStyle name="Comma 4 3 2 4 4" xfId="9249"/>
    <cellStyle name="Comma 4 3 2 4 5" xfId="17691"/>
    <cellStyle name="Comma 4 3 2 4 6" xfId="26131"/>
    <cellStyle name="Comma 4 3 2 5" xfId="1135"/>
    <cellStyle name="Comma 4 3 2 5 2" xfId="3366"/>
    <cellStyle name="Comma 4 3 2 5 2 2" xfId="7589"/>
    <cellStyle name="Comma 4 3 2 5 2 2 2" xfId="16025"/>
    <cellStyle name="Comma 4 3 2 5 2 2 3" xfId="24466"/>
    <cellStyle name="Comma 4 3 2 5 2 2 4" xfId="32906"/>
    <cellStyle name="Comma 4 3 2 5 2 3" xfId="11807"/>
    <cellStyle name="Comma 4 3 2 5 2 4" xfId="20249"/>
    <cellStyle name="Comma 4 3 2 5 2 5" xfId="28689"/>
    <cellStyle name="Comma 4 3 2 5 3" xfId="5444"/>
    <cellStyle name="Comma 4 3 2 5 3 2" xfId="13880"/>
    <cellStyle name="Comma 4 3 2 5 3 3" xfId="22321"/>
    <cellStyle name="Comma 4 3 2 5 3 4" xfId="30761"/>
    <cellStyle name="Comma 4 3 2 5 4" xfId="9662"/>
    <cellStyle name="Comma 4 3 2 5 5" xfId="18104"/>
    <cellStyle name="Comma 4 3 2 5 6" xfId="26544"/>
    <cellStyle name="Comma 4 3 2 6" xfId="1549"/>
    <cellStyle name="Comma 4 3 2 6 2" xfId="3779"/>
    <cellStyle name="Comma 4 3 2 6 2 2" xfId="8002"/>
    <cellStyle name="Comma 4 3 2 6 2 2 2" xfId="16438"/>
    <cellStyle name="Comma 4 3 2 6 2 2 3" xfId="24879"/>
    <cellStyle name="Comma 4 3 2 6 2 2 4" xfId="33319"/>
    <cellStyle name="Comma 4 3 2 6 2 3" xfId="12220"/>
    <cellStyle name="Comma 4 3 2 6 2 4" xfId="20662"/>
    <cellStyle name="Comma 4 3 2 6 2 5" xfId="29102"/>
    <cellStyle name="Comma 4 3 2 6 3" xfId="5857"/>
    <cellStyle name="Comma 4 3 2 6 3 2" xfId="14293"/>
    <cellStyle name="Comma 4 3 2 6 3 3" xfId="22734"/>
    <cellStyle name="Comma 4 3 2 6 3 4" xfId="31174"/>
    <cellStyle name="Comma 4 3 2 6 4" xfId="10075"/>
    <cellStyle name="Comma 4 3 2 6 5" xfId="18517"/>
    <cellStyle name="Comma 4 3 2 6 6" xfId="26957"/>
    <cellStyle name="Comma 4 3 2 7" xfId="1963"/>
    <cellStyle name="Comma 4 3 2 7 2" xfId="4192"/>
    <cellStyle name="Comma 4 3 2 7 2 2" xfId="8415"/>
    <cellStyle name="Comma 4 3 2 7 2 2 2" xfId="16851"/>
    <cellStyle name="Comma 4 3 2 7 2 2 3" xfId="25292"/>
    <cellStyle name="Comma 4 3 2 7 2 2 4" xfId="33732"/>
    <cellStyle name="Comma 4 3 2 7 2 3" xfId="12633"/>
    <cellStyle name="Comma 4 3 2 7 2 4" xfId="21075"/>
    <cellStyle name="Comma 4 3 2 7 2 5" xfId="29515"/>
    <cellStyle name="Comma 4 3 2 7 3" xfId="6270"/>
    <cellStyle name="Comma 4 3 2 7 3 2" xfId="14706"/>
    <cellStyle name="Comma 4 3 2 7 3 3" xfId="23147"/>
    <cellStyle name="Comma 4 3 2 7 3 4" xfId="31587"/>
    <cellStyle name="Comma 4 3 2 7 4" xfId="10488"/>
    <cellStyle name="Comma 4 3 2 7 5" xfId="18930"/>
    <cellStyle name="Comma 4 3 2 7 6" xfId="27370"/>
    <cellStyle name="Comma 4 3 2 8" xfId="2398"/>
    <cellStyle name="Comma 4 3 2 8 2" xfId="6683"/>
    <cellStyle name="Comma 4 3 2 8 2 2" xfId="15119"/>
    <cellStyle name="Comma 4 3 2 8 2 3" xfId="23560"/>
    <cellStyle name="Comma 4 3 2 8 2 4" xfId="32000"/>
    <cellStyle name="Comma 4 3 2 8 3" xfId="10901"/>
    <cellStyle name="Comma 4 3 2 8 4" xfId="19343"/>
    <cellStyle name="Comma 4 3 2 8 5" xfId="27783"/>
    <cellStyle name="Comma 4 3 2 9" xfId="2365"/>
    <cellStyle name="Comma 4 3 3" xfId="149"/>
    <cellStyle name="Comma 4 3 3 10" xfId="4621"/>
    <cellStyle name="Comma 4 3 3 10 2" xfId="13057"/>
    <cellStyle name="Comma 4 3 3 10 3" xfId="21498"/>
    <cellStyle name="Comma 4 3 3 10 4" xfId="29938"/>
    <cellStyle name="Comma 4 3 3 11" xfId="8839"/>
    <cellStyle name="Comma 4 3 3 12" xfId="17281"/>
    <cellStyle name="Comma 4 3 3 13" xfId="25721"/>
    <cellStyle name="Comma 4 3 3 2" xfId="150"/>
    <cellStyle name="Comma 4 3 3 2 10" xfId="8840"/>
    <cellStyle name="Comma 4 3 3 2 11" xfId="17282"/>
    <cellStyle name="Comma 4 3 3 2 12" xfId="25722"/>
    <cellStyle name="Comma 4 3 3 2 2" xfId="687"/>
    <cellStyle name="Comma 4 3 3 2 2 2" xfId="2958"/>
    <cellStyle name="Comma 4 3 3 2 2 2 2" xfId="7181"/>
    <cellStyle name="Comma 4 3 3 2 2 2 2 2" xfId="15617"/>
    <cellStyle name="Comma 4 3 3 2 2 2 2 3" xfId="24058"/>
    <cellStyle name="Comma 4 3 3 2 2 2 2 4" xfId="32498"/>
    <cellStyle name="Comma 4 3 3 2 2 2 3" xfId="11399"/>
    <cellStyle name="Comma 4 3 3 2 2 2 4" xfId="19841"/>
    <cellStyle name="Comma 4 3 3 2 2 2 5" xfId="28281"/>
    <cellStyle name="Comma 4 3 3 2 2 3" xfId="5036"/>
    <cellStyle name="Comma 4 3 3 2 2 3 2" xfId="13472"/>
    <cellStyle name="Comma 4 3 3 2 2 3 3" xfId="21913"/>
    <cellStyle name="Comma 4 3 3 2 2 3 4" xfId="30353"/>
    <cellStyle name="Comma 4 3 3 2 2 4" xfId="9254"/>
    <cellStyle name="Comma 4 3 3 2 2 5" xfId="17696"/>
    <cellStyle name="Comma 4 3 3 2 2 6" xfId="26136"/>
    <cellStyle name="Comma 4 3 3 2 3" xfId="1140"/>
    <cellStyle name="Comma 4 3 3 2 3 2" xfId="3371"/>
    <cellStyle name="Comma 4 3 3 2 3 2 2" xfId="7594"/>
    <cellStyle name="Comma 4 3 3 2 3 2 2 2" xfId="16030"/>
    <cellStyle name="Comma 4 3 3 2 3 2 2 3" xfId="24471"/>
    <cellStyle name="Comma 4 3 3 2 3 2 2 4" xfId="32911"/>
    <cellStyle name="Comma 4 3 3 2 3 2 3" xfId="11812"/>
    <cellStyle name="Comma 4 3 3 2 3 2 4" xfId="20254"/>
    <cellStyle name="Comma 4 3 3 2 3 2 5" xfId="28694"/>
    <cellStyle name="Comma 4 3 3 2 3 3" xfId="5449"/>
    <cellStyle name="Comma 4 3 3 2 3 3 2" xfId="13885"/>
    <cellStyle name="Comma 4 3 3 2 3 3 3" xfId="22326"/>
    <cellStyle name="Comma 4 3 3 2 3 3 4" xfId="30766"/>
    <cellStyle name="Comma 4 3 3 2 3 4" xfId="9667"/>
    <cellStyle name="Comma 4 3 3 2 3 5" xfId="18109"/>
    <cellStyle name="Comma 4 3 3 2 3 6" xfId="26549"/>
    <cellStyle name="Comma 4 3 3 2 4" xfId="1554"/>
    <cellStyle name="Comma 4 3 3 2 4 2" xfId="3784"/>
    <cellStyle name="Comma 4 3 3 2 4 2 2" xfId="8007"/>
    <cellStyle name="Comma 4 3 3 2 4 2 2 2" xfId="16443"/>
    <cellStyle name="Comma 4 3 3 2 4 2 2 3" xfId="24884"/>
    <cellStyle name="Comma 4 3 3 2 4 2 2 4" xfId="33324"/>
    <cellStyle name="Comma 4 3 3 2 4 2 3" xfId="12225"/>
    <cellStyle name="Comma 4 3 3 2 4 2 4" xfId="20667"/>
    <cellStyle name="Comma 4 3 3 2 4 2 5" xfId="29107"/>
    <cellStyle name="Comma 4 3 3 2 4 3" xfId="5862"/>
    <cellStyle name="Comma 4 3 3 2 4 3 2" xfId="14298"/>
    <cellStyle name="Comma 4 3 3 2 4 3 3" xfId="22739"/>
    <cellStyle name="Comma 4 3 3 2 4 3 4" xfId="31179"/>
    <cellStyle name="Comma 4 3 3 2 4 4" xfId="10080"/>
    <cellStyle name="Comma 4 3 3 2 4 5" xfId="18522"/>
    <cellStyle name="Comma 4 3 3 2 4 6" xfId="26962"/>
    <cellStyle name="Comma 4 3 3 2 5" xfId="1968"/>
    <cellStyle name="Comma 4 3 3 2 5 2" xfId="4197"/>
    <cellStyle name="Comma 4 3 3 2 5 2 2" xfId="8420"/>
    <cellStyle name="Comma 4 3 3 2 5 2 2 2" xfId="16856"/>
    <cellStyle name="Comma 4 3 3 2 5 2 2 3" xfId="25297"/>
    <cellStyle name="Comma 4 3 3 2 5 2 2 4" xfId="33737"/>
    <cellStyle name="Comma 4 3 3 2 5 2 3" xfId="12638"/>
    <cellStyle name="Comma 4 3 3 2 5 2 4" xfId="21080"/>
    <cellStyle name="Comma 4 3 3 2 5 2 5" xfId="29520"/>
    <cellStyle name="Comma 4 3 3 2 5 3" xfId="6275"/>
    <cellStyle name="Comma 4 3 3 2 5 3 2" xfId="14711"/>
    <cellStyle name="Comma 4 3 3 2 5 3 3" xfId="23152"/>
    <cellStyle name="Comma 4 3 3 2 5 3 4" xfId="31592"/>
    <cellStyle name="Comma 4 3 3 2 5 4" xfId="10493"/>
    <cellStyle name="Comma 4 3 3 2 5 5" xfId="18935"/>
    <cellStyle name="Comma 4 3 3 2 5 6" xfId="27375"/>
    <cellStyle name="Comma 4 3 3 2 6" xfId="2403"/>
    <cellStyle name="Comma 4 3 3 2 6 2" xfId="6688"/>
    <cellStyle name="Comma 4 3 3 2 6 2 2" xfId="15124"/>
    <cellStyle name="Comma 4 3 3 2 6 2 3" xfId="23565"/>
    <cellStyle name="Comma 4 3 3 2 6 2 4" xfId="32005"/>
    <cellStyle name="Comma 4 3 3 2 6 3" xfId="10906"/>
    <cellStyle name="Comma 4 3 3 2 6 4" xfId="19348"/>
    <cellStyle name="Comma 4 3 3 2 6 5" xfId="27788"/>
    <cellStyle name="Comma 4 3 3 2 7" xfId="2360"/>
    <cellStyle name="Comma 4 3 3 2 8" xfId="2781"/>
    <cellStyle name="Comma 4 3 3 2 8 2" xfId="7005"/>
    <cellStyle name="Comma 4 3 3 2 8 2 2" xfId="15441"/>
    <cellStyle name="Comma 4 3 3 2 8 2 3" xfId="23882"/>
    <cellStyle name="Comma 4 3 3 2 8 2 4" xfId="32322"/>
    <cellStyle name="Comma 4 3 3 2 8 3" xfId="11223"/>
    <cellStyle name="Comma 4 3 3 2 8 4" xfId="19665"/>
    <cellStyle name="Comma 4 3 3 2 8 5" xfId="28105"/>
    <cellStyle name="Comma 4 3 3 2 9" xfId="4622"/>
    <cellStyle name="Comma 4 3 3 2 9 2" xfId="13058"/>
    <cellStyle name="Comma 4 3 3 2 9 3" xfId="21499"/>
    <cellStyle name="Comma 4 3 3 2 9 4" xfId="29939"/>
    <cellStyle name="Comma 4 3 3 3" xfId="686"/>
    <cellStyle name="Comma 4 3 3 3 2" xfId="2957"/>
    <cellStyle name="Comma 4 3 3 3 2 2" xfId="7180"/>
    <cellStyle name="Comma 4 3 3 3 2 2 2" xfId="15616"/>
    <cellStyle name="Comma 4 3 3 3 2 2 3" xfId="24057"/>
    <cellStyle name="Comma 4 3 3 3 2 2 4" xfId="32497"/>
    <cellStyle name="Comma 4 3 3 3 2 3" xfId="11398"/>
    <cellStyle name="Comma 4 3 3 3 2 4" xfId="19840"/>
    <cellStyle name="Comma 4 3 3 3 2 5" xfId="28280"/>
    <cellStyle name="Comma 4 3 3 3 3" xfId="5035"/>
    <cellStyle name="Comma 4 3 3 3 3 2" xfId="13471"/>
    <cellStyle name="Comma 4 3 3 3 3 3" xfId="21912"/>
    <cellStyle name="Comma 4 3 3 3 3 4" xfId="30352"/>
    <cellStyle name="Comma 4 3 3 3 4" xfId="9253"/>
    <cellStyle name="Comma 4 3 3 3 5" xfId="17695"/>
    <cellStyle name="Comma 4 3 3 3 6" xfId="26135"/>
    <cellStyle name="Comma 4 3 3 4" xfId="1139"/>
    <cellStyle name="Comma 4 3 3 4 2" xfId="3370"/>
    <cellStyle name="Comma 4 3 3 4 2 2" xfId="7593"/>
    <cellStyle name="Comma 4 3 3 4 2 2 2" xfId="16029"/>
    <cellStyle name="Comma 4 3 3 4 2 2 3" xfId="24470"/>
    <cellStyle name="Comma 4 3 3 4 2 2 4" xfId="32910"/>
    <cellStyle name="Comma 4 3 3 4 2 3" xfId="11811"/>
    <cellStyle name="Comma 4 3 3 4 2 4" xfId="20253"/>
    <cellStyle name="Comma 4 3 3 4 2 5" xfId="28693"/>
    <cellStyle name="Comma 4 3 3 4 3" xfId="5448"/>
    <cellStyle name="Comma 4 3 3 4 3 2" xfId="13884"/>
    <cellStyle name="Comma 4 3 3 4 3 3" xfId="22325"/>
    <cellStyle name="Comma 4 3 3 4 3 4" xfId="30765"/>
    <cellStyle name="Comma 4 3 3 4 4" xfId="9666"/>
    <cellStyle name="Comma 4 3 3 4 5" xfId="18108"/>
    <cellStyle name="Comma 4 3 3 4 6" xfId="26548"/>
    <cellStyle name="Comma 4 3 3 5" xfId="1553"/>
    <cellStyle name="Comma 4 3 3 5 2" xfId="3783"/>
    <cellStyle name="Comma 4 3 3 5 2 2" xfId="8006"/>
    <cellStyle name="Comma 4 3 3 5 2 2 2" xfId="16442"/>
    <cellStyle name="Comma 4 3 3 5 2 2 3" xfId="24883"/>
    <cellStyle name="Comma 4 3 3 5 2 2 4" xfId="33323"/>
    <cellStyle name="Comma 4 3 3 5 2 3" xfId="12224"/>
    <cellStyle name="Comma 4 3 3 5 2 4" xfId="20666"/>
    <cellStyle name="Comma 4 3 3 5 2 5" xfId="29106"/>
    <cellStyle name="Comma 4 3 3 5 3" xfId="5861"/>
    <cellStyle name="Comma 4 3 3 5 3 2" xfId="14297"/>
    <cellStyle name="Comma 4 3 3 5 3 3" xfId="22738"/>
    <cellStyle name="Comma 4 3 3 5 3 4" xfId="31178"/>
    <cellStyle name="Comma 4 3 3 5 4" xfId="10079"/>
    <cellStyle name="Comma 4 3 3 5 5" xfId="18521"/>
    <cellStyle name="Comma 4 3 3 5 6" xfId="26961"/>
    <cellStyle name="Comma 4 3 3 6" xfId="1967"/>
    <cellStyle name="Comma 4 3 3 6 2" xfId="4196"/>
    <cellStyle name="Comma 4 3 3 6 2 2" xfId="8419"/>
    <cellStyle name="Comma 4 3 3 6 2 2 2" xfId="16855"/>
    <cellStyle name="Comma 4 3 3 6 2 2 3" xfId="25296"/>
    <cellStyle name="Comma 4 3 3 6 2 2 4" xfId="33736"/>
    <cellStyle name="Comma 4 3 3 6 2 3" xfId="12637"/>
    <cellStyle name="Comma 4 3 3 6 2 4" xfId="21079"/>
    <cellStyle name="Comma 4 3 3 6 2 5" xfId="29519"/>
    <cellStyle name="Comma 4 3 3 6 3" xfId="6274"/>
    <cellStyle name="Comma 4 3 3 6 3 2" xfId="14710"/>
    <cellStyle name="Comma 4 3 3 6 3 3" xfId="23151"/>
    <cellStyle name="Comma 4 3 3 6 3 4" xfId="31591"/>
    <cellStyle name="Comma 4 3 3 6 4" xfId="10492"/>
    <cellStyle name="Comma 4 3 3 6 5" xfId="18934"/>
    <cellStyle name="Comma 4 3 3 6 6" xfId="27374"/>
    <cellStyle name="Comma 4 3 3 7" xfId="2402"/>
    <cellStyle name="Comma 4 3 3 7 2" xfId="6687"/>
    <cellStyle name="Comma 4 3 3 7 2 2" xfId="15123"/>
    <cellStyle name="Comma 4 3 3 7 2 3" xfId="23564"/>
    <cellStyle name="Comma 4 3 3 7 2 4" xfId="32004"/>
    <cellStyle name="Comma 4 3 3 7 3" xfId="10905"/>
    <cellStyle name="Comma 4 3 3 7 4" xfId="19347"/>
    <cellStyle name="Comma 4 3 3 7 5" xfId="27787"/>
    <cellStyle name="Comma 4 3 3 8" xfId="2361"/>
    <cellStyle name="Comma 4 3 3 9" xfId="2780"/>
    <cellStyle name="Comma 4 3 3 9 2" xfId="7004"/>
    <cellStyle name="Comma 4 3 3 9 2 2" xfId="15440"/>
    <cellStyle name="Comma 4 3 3 9 2 3" xfId="23881"/>
    <cellStyle name="Comma 4 3 3 9 2 4" xfId="32321"/>
    <cellStyle name="Comma 4 3 3 9 3" xfId="11222"/>
    <cellStyle name="Comma 4 3 3 9 4" xfId="19664"/>
    <cellStyle name="Comma 4 3 3 9 5" xfId="28104"/>
    <cellStyle name="Comma 4 3 4" xfId="151"/>
    <cellStyle name="Comma 4 3 4 10" xfId="8841"/>
    <cellStyle name="Comma 4 3 4 11" xfId="17283"/>
    <cellStyle name="Comma 4 3 4 12" xfId="25723"/>
    <cellStyle name="Comma 4 3 4 2" xfId="688"/>
    <cellStyle name="Comma 4 3 4 2 2" xfId="2959"/>
    <cellStyle name="Comma 4 3 4 2 2 2" xfId="7182"/>
    <cellStyle name="Comma 4 3 4 2 2 2 2" xfId="15618"/>
    <cellStyle name="Comma 4 3 4 2 2 2 3" xfId="24059"/>
    <cellStyle name="Comma 4 3 4 2 2 2 4" xfId="32499"/>
    <cellStyle name="Comma 4 3 4 2 2 3" xfId="11400"/>
    <cellStyle name="Comma 4 3 4 2 2 4" xfId="19842"/>
    <cellStyle name="Comma 4 3 4 2 2 5" xfId="28282"/>
    <cellStyle name="Comma 4 3 4 2 3" xfId="5037"/>
    <cellStyle name="Comma 4 3 4 2 3 2" xfId="13473"/>
    <cellStyle name="Comma 4 3 4 2 3 3" xfId="21914"/>
    <cellStyle name="Comma 4 3 4 2 3 4" xfId="30354"/>
    <cellStyle name="Comma 4 3 4 2 4" xfId="9255"/>
    <cellStyle name="Comma 4 3 4 2 5" xfId="17697"/>
    <cellStyle name="Comma 4 3 4 2 6" xfId="26137"/>
    <cellStyle name="Comma 4 3 4 3" xfId="1141"/>
    <cellStyle name="Comma 4 3 4 3 2" xfId="3372"/>
    <cellStyle name="Comma 4 3 4 3 2 2" xfId="7595"/>
    <cellStyle name="Comma 4 3 4 3 2 2 2" xfId="16031"/>
    <cellStyle name="Comma 4 3 4 3 2 2 3" xfId="24472"/>
    <cellStyle name="Comma 4 3 4 3 2 2 4" xfId="32912"/>
    <cellStyle name="Comma 4 3 4 3 2 3" xfId="11813"/>
    <cellStyle name="Comma 4 3 4 3 2 4" xfId="20255"/>
    <cellStyle name="Comma 4 3 4 3 2 5" xfId="28695"/>
    <cellStyle name="Comma 4 3 4 3 3" xfId="5450"/>
    <cellStyle name="Comma 4 3 4 3 3 2" xfId="13886"/>
    <cellStyle name="Comma 4 3 4 3 3 3" xfId="22327"/>
    <cellStyle name="Comma 4 3 4 3 3 4" xfId="30767"/>
    <cellStyle name="Comma 4 3 4 3 4" xfId="9668"/>
    <cellStyle name="Comma 4 3 4 3 5" xfId="18110"/>
    <cellStyle name="Comma 4 3 4 3 6" xfId="26550"/>
    <cellStyle name="Comma 4 3 4 4" xfId="1555"/>
    <cellStyle name="Comma 4 3 4 4 2" xfId="3785"/>
    <cellStyle name="Comma 4 3 4 4 2 2" xfId="8008"/>
    <cellStyle name="Comma 4 3 4 4 2 2 2" xfId="16444"/>
    <cellStyle name="Comma 4 3 4 4 2 2 3" xfId="24885"/>
    <cellStyle name="Comma 4 3 4 4 2 2 4" xfId="33325"/>
    <cellStyle name="Comma 4 3 4 4 2 3" xfId="12226"/>
    <cellStyle name="Comma 4 3 4 4 2 4" xfId="20668"/>
    <cellStyle name="Comma 4 3 4 4 2 5" xfId="29108"/>
    <cellStyle name="Comma 4 3 4 4 3" xfId="5863"/>
    <cellStyle name="Comma 4 3 4 4 3 2" xfId="14299"/>
    <cellStyle name="Comma 4 3 4 4 3 3" xfId="22740"/>
    <cellStyle name="Comma 4 3 4 4 3 4" xfId="31180"/>
    <cellStyle name="Comma 4 3 4 4 4" xfId="10081"/>
    <cellStyle name="Comma 4 3 4 4 5" xfId="18523"/>
    <cellStyle name="Comma 4 3 4 4 6" xfId="26963"/>
    <cellStyle name="Comma 4 3 4 5" xfId="1969"/>
    <cellStyle name="Comma 4 3 4 5 2" xfId="4198"/>
    <cellStyle name="Comma 4 3 4 5 2 2" xfId="8421"/>
    <cellStyle name="Comma 4 3 4 5 2 2 2" xfId="16857"/>
    <cellStyle name="Comma 4 3 4 5 2 2 3" xfId="25298"/>
    <cellStyle name="Comma 4 3 4 5 2 2 4" xfId="33738"/>
    <cellStyle name="Comma 4 3 4 5 2 3" xfId="12639"/>
    <cellStyle name="Comma 4 3 4 5 2 4" xfId="21081"/>
    <cellStyle name="Comma 4 3 4 5 2 5" xfId="29521"/>
    <cellStyle name="Comma 4 3 4 5 3" xfId="6276"/>
    <cellStyle name="Comma 4 3 4 5 3 2" xfId="14712"/>
    <cellStyle name="Comma 4 3 4 5 3 3" xfId="23153"/>
    <cellStyle name="Comma 4 3 4 5 3 4" xfId="31593"/>
    <cellStyle name="Comma 4 3 4 5 4" xfId="10494"/>
    <cellStyle name="Comma 4 3 4 5 5" xfId="18936"/>
    <cellStyle name="Comma 4 3 4 5 6" xfId="27376"/>
    <cellStyle name="Comma 4 3 4 6" xfId="2404"/>
    <cellStyle name="Comma 4 3 4 6 2" xfId="6689"/>
    <cellStyle name="Comma 4 3 4 6 2 2" xfId="15125"/>
    <cellStyle name="Comma 4 3 4 6 2 3" xfId="23566"/>
    <cellStyle name="Comma 4 3 4 6 2 4" xfId="32006"/>
    <cellStyle name="Comma 4 3 4 6 3" xfId="10907"/>
    <cellStyle name="Comma 4 3 4 6 4" xfId="19349"/>
    <cellStyle name="Comma 4 3 4 6 5" xfId="27789"/>
    <cellStyle name="Comma 4 3 4 7" xfId="2700"/>
    <cellStyle name="Comma 4 3 4 8" xfId="2782"/>
    <cellStyle name="Comma 4 3 4 8 2" xfId="7006"/>
    <cellStyle name="Comma 4 3 4 8 2 2" xfId="15442"/>
    <cellStyle name="Comma 4 3 4 8 2 3" xfId="23883"/>
    <cellStyle name="Comma 4 3 4 8 2 4" xfId="32323"/>
    <cellStyle name="Comma 4 3 4 8 3" xfId="11224"/>
    <cellStyle name="Comma 4 3 4 8 4" xfId="19666"/>
    <cellStyle name="Comma 4 3 4 8 5" xfId="28106"/>
    <cellStyle name="Comma 4 3 4 9" xfId="4623"/>
    <cellStyle name="Comma 4 3 4 9 2" xfId="13059"/>
    <cellStyle name="Comma 4 3 4 9 3" xfId="21500"/>
    <cellStyle name="Comma 4 3 4 9 4" xfId="29940"/>
    <cellStyle name="Comma 4 3 5" xfId="152"/>
    <cellStyle name="Comma 4 3 5 10" xfId="8842"/>
    <cellStyle name="Comma 4 3 5 11" xfId="17284"/>
    <cellStyle name="Comma 4 3 5 12" xfId="25724"/>
    <cellStyle name="Comma 4 3 5 2" xfId="689"/>
    <cellStyle name="Comma 4 3 5 2 2" xfId="2960"/>
    <cellStyle name="Comma 4 3 5 2 2 2" xfId="7183"/>
    <cellStyle name="Comma 4 3 5 2 2 2 2" xfId="15619"/>
    <cellStyle name="Comma 4 3 5 2 2 2 3" xfId="24060"/>
    <cellStyle name="Comma 4 3 5 2 2 2 4" xfId="32500"/>
    <cellStyle name="Comma 4 3 5 2 2 3" xfId="11401"/>
    <cellStyle name="Comma 4 3 5 2 2 4" xfId="19843"/>
    <cellStyle name="Comma 4 3 5 2 2 5" xfId="28283"/>
    <cellStyle name="Comma 4 3 5 2 3" xfId="5038"/>
    <cellStyle name="Comma 4 3 5 2 3 2" xfId="13474"/>
    <cellStyle name="Comma 4 3 5 2 3 3" xfId="21915"/>
    <cellStyle name="Comma 4 3 5 2 3 4" xfId="30355"/>
    <cellStyle name="Comma 4 3 5 2 4" xfId="9256"/>
    <cellStyle name="Comma 4 3 5 2 5" xfId="17698"/>
    <cellStyle name="Comma 4 3 5 2 6" xfId="26138"/>
    <cellStyle name="Comma 4 3 5 3" xfId="1142"/>
    <cellStyle name="Comma 4 3 5 3 2" xfId="3373"/>
    <cellStyle name="Comma 4 3 5 3 2 2" xfId="7596"/>
    <cellStyle name="Comma 4 3 5 3 2 2 2" xfId="16032"/>
    <cellStyle name="Comma 4 3 5 3 2 2 3" xfId="24473"/>
    <cellStyle name="Comma 4 3 5 3 2 2 4" xfId="32913"/>
    <cellStyle name="Comma 4 3 5 3 2 3" xfId="11814"/>
    <cellStyle name="Comma 4 3 5 3 2 4" xfId="20256"/>
    <cellStyle name="Comma 4 3 5 3 2 5" xfId="28696"/>
    <cellStyle name="Comma 4 3 5 3 3" xfId="5451"/>
    <cellStyle name="Comma 4 3 5 3 3 2" xfId="13887"/>
    <cellStyle name="Comma 4 3 5 3 3 3" xfId="22328"/>
    <cellStyle name="Comma 4 3 5 3 3 4" xfId="30768"/>
    <cellStyle name="Comma 4 3 5 3 4" xfId="9669"/>
    <cellStyle name="Comma 4 3 5 3 5" xfId="18111"/>
    <cellStyle name="Comma 4 3 5 3 6" xfId="26551"/>
    <cellStyle name="Comma 4 3 5 4" xfId="1556"/>
    <cellStyle name="Comma 4 3 5 4 2" xfId="3786"/>
    <cellStyle name="Comma 4 3 5 4 2 2" xfId="8009"/>
    <cellStyle name="Comma 4 3 5 4 2 2 2" xfId="16445"/>
    <cellStyle name="Comma 4 3 5 4 2 2 3" xfId="24886"/>
    <cellStyle name="Comma 4 3 5 4 2 2 4" xfId="33326"/>
    <cellStyle name="Comma 4 3 5 4 2 3" xfId="12227"/>
    <cellStyle name="Comma 4 3 5 4 2 4" xfId="20669"/>
    <cellStyle name="Comma 4 3 5 4 2 5" xfId="29109"/>
    <cellStyle name="Comma 4 3 5 4 3" xfId="5864"/>
    <cellStyle name="Comma 4 3 5 4 3 2" xfId="14300"/>
    <cellStyle name="Comma 4 3 5 4 3 3" xfId="22741"/>
    <cellStyle name="Comma 4 3 5 4 3 4" xfId="31181"/>
    <cellStyle name="Comma 4 3 5 4 4" xfId="10082"/>
    <cellStyle name="Comma 4 3 5 4 5" xfId="18524"/>
    <cellStyle name="Comma 4 3 5 4 6" xfId="26964"/>
    <cellStyle name="Comma 4 3 5 5" xfId="1970"/>
    <cellStyle name="Comma 4 3 5 5 2" xfId="4199"/>
    <cellStyle name="Comma 4 3 5 5 2 2" xfId="8422"/>
    <cellStyle name="Comma 4 3 5 5 2 2 2" xfId="16858"/>
    <cellStyle name="Comma 4 3 5 5 2 2 3" xfId="25299"/>
    <cellStyle name="Comma 4 3 5 5 2 2 4" xfId="33739"/>
    <cellStyle name="Comma 4 3 5 5 2 3" xfId="12640"/>
    <cellStyle name="Comma 4 3 5 5 2 4" xfId="21082"/>
    <cellStyle name="Comma 4 3 5 5 2 5" xfId="29522"/>
    <cellStyle name="Comma 4 3 5 5 3" xfId="6277"/>
    <cellStyle name="Comma 4 3 5 5 3 2" xfId="14713"/>
    <cellStyle name="Comma 4 3 5 5 3 3" xfId="23154"/>
    <cellStyle name="Comma 4 3 5 5 3 4" xfId="31594"/>
    <cellStyle name="Comma 4 3 5 5 4" xfId="10495"/>
    <cellStyle name="Comma 4 3 5 5 5" xfId="18937"/>
    <cellStyle name="Comma 4 3 5 5 6" xfId="27377"/>
    <cellStyle name="Comma 4 3 5 6" xfId="2405"/>
    <cellStyle name="Comma 4 3 5 6 2" xfId="6690"/>
    <cellStyle name="Comma 4 3 5 6 2 2" xfId="15126"/>
    <cellStyle name="Comma 4 3 5 6 2 3" xfId="23567"/>
    <cellStyle name="Comma 4 3 5 6 2 4" xfId="32007"/>
    <cellStyle name="Comma 4 3 5 6 3" xfId="10908"/>
    <cellStyle name="Comma 4 3 5 6 4" xfId="19350"/>
    <cellStyle name="Comma 4 3 5 6 5" xfId="27790"/>
    <cellStyle name="Comma 4 3 5 7" xfId="2701"/>
    <cellStyle name="Comma 4 3 5 8" xfId="2783"/>
    <cellStyle name="Comma 4 3 5 8 2" xfId="7007"/>
    <cellStyle name="Comma 4 3 5 8 2 2" xfId="15443"/>
    <cellStyle name="Comma 4 3 5 8 2 3" xfId="23884"/>
    <cellStyle name="Comma 4 3 5 8 2 4" xfId="32324"/>
    <cellStyle name="Comma 4 3 5 8 3" xfId="11225"/>
    <cellStyle name="Comma 4 3 5 8 4" xfId="19667"/>
    <cellStyle name="Comma 4 3 5 8 5" xfId="28107"/>
    <cellStyle name="Comma 4 3 5 9" xfId="4624"/>
    <cellStyle name="Comma 4 3 5 9 2" xfId="13060"/>
    <cellStyle name="Comma 4 3 5 9 3" xfId="21501"/>
    <cellStyle name="Comma 4 3 5 9 4" xfId="29941"/>
    <cellStyle name="Comma 4 4" xfId="153"/>
    <cellStyle name="Comma 4 4 10" xfId="2784"/>
    <cellStyle name="Comma 4 4 10 2" xfId="7008"/>
    <cellStyle name="Comma 4 4 10 2 2" xfId="15444"/>
    <cellStyle name="Comma 4 4 10 2 3" xfId="23885"/>
    <cellStyle name="Comma 4 4 10 2 4" xfId="32325"/>
    <cellStyle name="Comma 4 4 10 3" xfId="11226"/>
    <cellStyle name="Comma 4 4 10 4" xfId="19668"/>
    <cellStyle name="Comma 4 4 10 5" xfId="28108"/>
    <cellStyle name="Comma 4 4 11" xfId="4625"/>
    <cellStyle name="Comma 4 4 11 2" xfId="13061"/>
    <cellStyle name="Comma 4 4 11 3" xfId="21502"/>
    <cellStyle name="Comma 4 4 11 4" xfId="29942"/>
    <cellStyle name="Comma 4 4 12" xfId="8843"/>
    <cellStyle name="Comma 4 4 13" xfId="17285"/>
    <cellStyle name="Comma 4 4 14" xfId="25725"/>
    <cellStyle name="Comma 4 4 2" xfId="154"/>
    <cellStyle name="Comma 4 4 2 10" xfId="4626"/>
    <cellStyle name="Comma 4 4 2 10 2" xfId="13062"/>
    <cellStyle name="Comma 4 4 2 10 3" xfId="21503"/>
    <cellStyle name="Comma 4 4 2 10 4" xfId="29943"/>
    <cellStyle name="Comma 4 4 2 11" xfId="8844"/>
    <cellStyle name="Comma 4 4 2 12" xfId="17286"/>
    <cellStyle name="Comma 4 4 2 13" xfId="25726"/>
    <cellStyle name="Comma 4 4 2 2" xfId="155"/>
    <cellStyle name="Comma 4 4 2 2 10" xfId="8845"/>
    <cellStyle name="Comma 4 4 2 2 11" xfId="17287"/>
    <cellStyle name="Comma 4 4 2 2 12" xfId="25727"/>
    <cellStyle name="Comma 4 4 2 2 2" xfId="692"/>
    <cellStyle name="Comma 4 4 2 2 2 2" xfId="2963"/>
    <cellStyle name="Comma 4 4 2 2 2 2 2" xfId="7186"/>
    <cellStyle name="Comma 4 4 2 2 2 2 2 2" xfId="15622"/>
    <cellStyle name="Comma 4 4 2 2 2 2 2 3" xfId="24063"/>
    <cellStyle name="Comma 4 4 2 2 2 2 2 4" xfId="32503"/>
    <cellStyle name="Comma 4 4 2 2 2 2 3" xfId="11404"/>
    <cellStyle name="Comma 4 4 2 2 2 2 4" xfId="19846"/>
    <cellStyle name="Comma 4 4 2 2 2 2 5" xfId="28286"/>
    <cellStyle name="Comma 4 4 2 2 2 3" xfId="5041"/>
    <cellStyle name="Comma 4 4 2 2 2 3 2" xfId="13477"/>
    <cellStyle name="Comma 4 4 2 2 2 3 3" xfId="21918"/>
    <cellStyle name="Comma 4 4 2 2 2 3 4" xfId="30358"/>
    <cellStyle name="Comma 4 4 2 2 2 4" xfId="9259"/>
    <cellStyle name="Comma 4 4 2 2 2 5" xfId="17701"/>
    <cellStyle name="Comma 4 4 2 2 2 6" xfId="26141"/>
    <cellStyle name="Comma 4 4 2 2 3" xfId="1145"/>
    <cellStyle name="Comma 4 4 2 2 3 2" xfId="3376"/>
    <cellStyle name="Comma 4 4 2 2 3 2 2" xfId="7599"/>
    <cellStyle name="Comma 4 4 2 2 3 2 2 2" xfId="16035"/>
    <cellStyle name="Comma 4 4 2 2 3 2 2 3" xfId="24476"/>
    <cellStyle name="Comma 4 4 2 2 3 2 2 4" xfId="32916"/>
    <cellStyle name="Comma 4 4 2 2 3 2 3" xfId="11817"/>
    <cellStyle name="Comma 4 4 2 2 3 2 4" xfId="20259"/>
    <cellStyle name="Comma 4 4 2 2 3 2 5" xfId="28699"/>
    <cellStyle name="Comma 4 4 2 2 3 3" xfId="5454"/>
    <cellStyle name="Comma 4 4 2 2 3 3 2" xfId="13890"/>
    <cellStyle name="Comma 4 4 2 2 3 3 3" xfId="22331"/>
    <cellStyle name="Comma 4 4 2 2 3 3 4" xfId="30771"/>
    <cellStyle name="Comma 4 4 2 2 3 4" xfId="9672"/>
    <cellStyle name="Comma 4 4 2 2 3 5" xfId="18114"/>
    <cellStyle name="Comma 4 4 2 2 3 6" xfId="26554"/>
    <cellStyle name="Comma 4 4 2 2 4" xfId="1559"/>
    <cellStyle name="Comma 4 4 2 2 4 2" xfId="3789"/>
    <cellStyle name="Comma 4 4 2 2 4 2 2" xfId="8012"/>
    <cellStyle name="Comma 4 4 2 2 4 2 2 2" xfId="16448"/>
    <cellStyle name="Comma 4 4 2 2 4 2 2 3" xfId="24889"/>
    <cellStyle name="Comma 4 4 2 2 4 2 2 4" xfId="33329"/>
    <cellStyle name="Comma 4 4 2 2 4 2 3" xfId="12230"/>
    <cellStyle name="Comma 4 4 2 2 4 2 4" xfId="20672"/>
    <cellStyle name="Comma 4 4 2 2 4 2 5" xfId="29112"/>
    <cellStyle name="Comma 4 4 2 2 4 3" xfId="5867"/>
    <cellStyle name="Comma 4 4 2 2 4 3 2" xfId="14303"/>
    <cellStyle name="Comma 4 4 2 2 4 3 3" xfId="22744"/>
    <cellStyle name="Comma 4 4 2 2 4 3 4" xfId="31184"/>
    <cellStyle name="Comma 4 4 2 2 4 4" xfId="10085"/>
    <cellStyle name="Comma 4 4 2 2 4 5" xfId="18527"/>
    <cellStyle name="Comma 4 4 2 2 4 6" xfId="26967"/>
    <cellStyle name="Comma 4 4 2 2 5" xfId="1973"/>
    <cellStyle name="Comma 4 4 2 2 5 2" xfId="4202"/>
    <cellStyle name="Comma 4 4 2 2 5 2 2" xfId="8425"/>
    <cellStyle name="Comma 4 4 2 2 5 2 2 2" xfId="16861"/>
    <cellStyle name="Comma 4 4 2 2 5 2 2 3" xfId="25302"/>
    <cellStyle name="Comma 4 4 2 2 5 2 2 4" xfId="33742"/>
    <cellStyle name="Comma 4 4 2 2 5 2 3" xfId="12643"/>
    <cellStyle name="Comma 4 4 2 2 5 2 4" xfId="21085"/>
    <cellStyle name="Comma 4 4 2 2 5 2 5" xfId="29525"/>
    <cellStyle name="Comma 4 4 2 2 5 3" xfId="6280"/>
    <cellStyle name="Comma 4 4 2 2 5 3 2" xfId="14716"/>
    <cellStyle name="Comma 4 4 2 2 5 3 3" xfId="23157"/>
    <cellStyle name="Comma 4 4 2 2 5 3 4" xfId="31597"/>
    <cellStyle name="Comma 4 4 2 2 5 4" xfId="10498"/>
    <cellStyle name="Comma 4 4 2 2 5 5" xfId="18940"/>
    <cellStyle name="Comma 4 4 2 2 5 6" xfId="27380"/>
    <cellStyle name="Comma 4 4 2 2 6" xfId="2408"/>
    <cellStyle name="Comma 4 4 2 2 6 2" xfId="6693"/>
    <cellStyle name="Comma 4 4 2 2 6 2 2" xfId="15129"/>
    <cellStyle name="Comma 4 4 2 2 6 2 3" xfId="23570"/>
    <cellStyle name="Comma 4 4 2 2 6 2 4" xfId="32010"/>
    <cellStyle name="Comma 4 4 2 2 6 3" xfId="10911"/>
    <cellStyle name="Comma 4 4 2 2 6 4" xfId="19353"/>
    <cellStyle name="Comma 4 4 2 2 6 5" xfId="27793"/>
    <cellStyle name="Comma 4 4 2 2 7" xfId="2704"/>
    <cellStyle name="Comma 4 4 2 2 8" xfId="2786"/>
    <cellStyle name="Comma 4 4 2 2 8 2" xfId="7010"/>
    <cellStyle name="Comma 4 4 2 2 8 2 2" xfId="15446"/>
    <cellStyle name="Comma 4 4 2 2 8 2 3" xfId="23887"/>
    <cellStyle name="Comma 4 4 2 2 8 2 4" xfId="32327"/>
    <cellStyle name="Comma 4 4 2 2 8 3" xfId="11228"/>
    <cellStyle name="Comma 4 4 2 2 8 4" xfId="19670"/>
    <cellStyle name="Comma 4 4 2 2 8 5" xfId="28110"/>
    <cellStyle name="Comma 4 4 2 2 9" xfId="4627"/>
    <cellStyle name="Comma 4 4 2 2 9 2" xfId="13063"/>
    <cellStyle name="Comma 4 4 2 2 9 3" xfId="21504"/>
    <cellStyle name="Comma 4 4 2 2 9 4" xfId="29944"/>
    <cellStyle name="Comma 4 4 2 3" xfId="691"/>
    <cellStyle name="Comma 4 4 2 3 2" xfId="2962"/>
    <cellStyle name="Comma 4 4 2 3 2 2" xfId="7185"/>
    <cellStyle name="Comma 4 4 2 3 2 2 2" xfId="15621"/>
    <cellStyle name="Comma 4 4 2 3 2 2 3" xfId="24062"/>
    <cellStyle name="Comma 4 4 2 3 2 2 4" xfId="32502"/>
    <cellStyle name="Comma 4 4 2 3 2 3" xfId="11403"/>
    <cellStyle name="Comma 4 4 2 3 2 4" xfId="19845"/>
    <cellStyle name="Comma 4 4 2 3 2 5" xfId="28285"/>
    <cellStyle name="Comma 4 4 2 3 3" xfId="5040"/>
    <cellStyle name="Comma 4 4 2 3 3 2" xfId="13476"/>
    <cellStyle name="Comma 4 4 2 3 3 3" xfId="21917"/>
    <cellStyle name="Comma 4 4 2 3 3 4" xfId="30357"/>
    <cellStyle name="Comma 4 4 2 3 4" xfId="9258"/>
    <cellStyle name="Comma 4 4 2 3 5" xfId="17700"/>
    <cellStyle name="Comma 4 4 2 3 6" xfId="26140"/>
    <cellStyle name="Comma 4 4 2 4" xfId="1144"/>
    <cellStyle name="Comma 4 4 2 4 2" xfId="3375"/>
    <cellStyle name="Comma 4 4 2 4 2 2" xfId="7598"/>
    <cellStyle name="Comma 4 4 2 4 2 2 2" xfId="16034"/>
    <cellStyle name="Comma 4 4 2 4 2 2 3" xfId="24475"/>
    <cellStyle name="Comma 4 4 2 4 2 2 4" xfId="32915"/>
    <cellStyle name="Comma 4 4 2 4 2 3" xfId="11816"/>
    <cellStyle name="Comma 4 4 2 4 2 4" xfId="20258"/>
    <cellStyle name="Comma 4 4 2 4 2 5" xfId="28698"/>
    <cellStyle name="Comma 4 4 2 4 3" xfId="5453"/>
    <cellStyle name="Comma 4 4 2 4 3 2" xfId="13889"/>
    <cellStyle name="Comma 4 4 2 4 3 3" xfId="22330"/>
    <cellStyle name="Comma 4 4 2 4 3 4" xfId="30770"/>
    <cellStyle name="Comma 4 4 2 4 4" xfId="9671"/>
    <cellStyle name="Comma 4 4 2 4 5" xfId="18113"/>
    <cellStyle name="Comma 4 4 2 4 6" xfId="26553"/>
    <cellStyle name="Comma 4 4 2 5" xfId="1558"/>
    <cellStyle name="Comma 4 4 2 5 2" xfId="3788"/>
    <cellStyle name="Comma 4 4 2 5 2 2" xfId="8011"/>
    <cellStyle name="Comma 4 4 2 5 2 2 2" xfId="16447"/>
    <cellStyle name="Comma 4 4 2 5 2 2 3" xfId="24888"/>
    <cellStyle name="Comma 4 4 2 5 2 2 4" xfId="33328"/>
    <cellStyle name="Comma 4 4 2 5 2 3" xfId="12229"/>
    <cellStyle name="Comma 4 4 2 5 2 4" xfId="20671"/>
    <cellStyle name="Comma 4 4 2 5 2 5" xfId="29111"/>
    <cellStyle name="Comma 4 4 2 5 3" xfId="5866"/>
    <cellStyle name="Comma 4 4 2 5 3 2" xfId="14302"/>
    <cellStyle name="Comma 4 4 2 5 3 3" xfId="22743"/>
    <cellStyle name="Comma 4 4 2 5 3 4" xfId="31183"/>
    <cellStyle name="Comma 4 4 2 5 4" xfId="10084"/>
    <cellStyle name="Comma 4 4 2 5 5" xfId="18526"/>
    <cellStyle name="Comma 4 4 2 5 6" xfId="26966"/>
    <cellStyle name="Comma 4 4 2 6" xfId="1972"/>
    <cellStyle name="Comma 4 4 2 6 2" xfId="4201"/>
    <cellStyle name="Comma 4 4 2 6 2 2" xfId="8424"/>
    <cellStyle name="Comma 4 4 2 6 2 2 2" xfId="16860"/>
    <cellStyle name="Comma 4 4 2 6 2 2 3" xfId="25301"/>
    <cellStyle name="Comma 4 4 2 6 2 2 4" xfId="33741"/>
    <cellStyle name="Comma 4 4 2 6 2 3" xfId="12642"/>
    <cellStyle name="Comma 4 4 2 6 2 4" xfId="21084"/>
    <cellStyle name="Comma 4 4 2 6 2 5" xfId="29524"/>
    <cellStyle name="Comma 4 4 2 6 3" xfId="6279"/>
    <cellStyle name="Comma 4 4 2 6 3 2" xfId="14715"/>
    <cellStyle name="Comma 4 4 2 6 3 3" xfId="23156"/>
    <cellStyle name="Comma 4 4 2 6 3 4" xfId="31596"/>
    <cellStyle name="Comma 4 4 2 6 4" xfId="10497"/>
    <cellStyle name="Comma 4 4 2 6 5" xfId="18939"/>
    <cellStyle name="Comma 4 4 2 6 6" xfId="27379"/>
    <cellStyle name="Comma 4 4 2 7" xfId="2407"/>
    <cellStyle name="Comma 4 4 2 7 2" xfId="6692"/>
    <cellStyle name="Comma 4 4 2 7 2 2" xfId="15128"/>
    <cellStyle name="Comma 4 4 2 7 2 3" xfId="23569"/>
    <cellStyle name="Comma 4 4 2 7 2 4" xfId="32009"/>
    <cellStyle name="Comma 4 4 2 7 3" xfId="10910"/>
    <cellStyle name="Comma 4 4 2 7 4" xfId="19352"/>
    <cellStyle name="Comma 4 4 2 7 5" xfId="27792"/>
    <cellStyle name="Comma 4 4 2 8" xfId="2703"/>
    <cellStyle name="Comma 4 4 2 9" xfId="2785"/>
    <cellStyle name="Comma 4 4 2 9 2" xfId="7009"/>
    <cellStyle name="Comma 4 4 2 9 2 2" xfId="15445"/>
    <cellStyle name="Comma 4 4 2 9 2 3" xfId="23886"/>
    <cellStyle name="Comma 4 4 2 9 2 4" xfId="32326"/>
    <cellStyle name="Comma 4 4 2 9 3" xfId="11227"/>
    <cellStyle name="Comma 4 4 2 9 4" xfId="19669"/>
    <cellStyle name="Comma 4 4 2 9 5" xfId="28109"/>
    <cellStyle name="Comma 4 4 3" xfId="156"/>
    <cellStyle name="Comma 4 4 3 10" xfId="8846"/>
    <cellStyle name="Comma 4 4 3 11" xfId="17288"/>
    <cellStyle name="Comma 4 4 3 12" xfId="25728"/>
    <cellStyle name="Comma 4 4 3 2" xfId="693"/>
    <cellStyle name="Comma 4 4 3 2 2" xfId="2964"/>
    <cellStyle name="Comma 4 4 3 2 2 2" xfId="7187"/>
    <cellStyle name="Comma 4 4 3 2 2 2 2" xfId="15623"/>
    <cellStyle name="Comma 4 4 3 2 2 2 3" xfId="24064"/>
    <cellStyle name="Comma 4 4 3 2 2 2 4" xfId="32504"/>
    <cellStyle name="Comma 4 4 3 2 2 3" xfId="11405"/>
    <cellStyle name="Comma 4 4 3 2 2 4" xfId="19847"/>
    <cellStyle name="Comma 4 4 3 2 2 5" xfId="28287"/>
    <cellStyle name="Comma 4 4 3 2 3" xfId="5042"/>
    <cellStyle name="Comma 4 4 3 2 3 2" xfId="13478"/>
    <cellStyle name="Comma 4 4 3 2 3 3" xfId="21919"/>
    <cellStyle name="Comma 4 4 3 2 3 4" xfId="30359"/>
    <cellStyle name="Comma 4 4 3 2 4" xfId="9260"/>
    <cellStyle name="Comma 4 4 3 2 5" xfId="17702"/>
    <cellStyle name="Comma 4 4 3 2 6" xfId="26142"/>
    <cellStyle name="Comma 4 4 3 3" xfId="1146"/>
    <cellStyle name="Comma 4 4 3 3 2" xfId="3377"/>
    <cellStyle name="Comma 4 4 3 3 2 2" xfId="7600"/>
    <cellStyle name="Comma 4 4 3 3 2 2 2" xfId="16036"/>
    <cellStyle name="Comma 4 4 3 3 2 2 3" xfId="24477"/>
    <cellStyle name="Comma 4 4 3 3 2 2 4" xfId="32917"/>
    <cellStyle name="Comma 4 4 3 3 2 3" xfId="11818"/>
    <cellStyle name="Comma 4 4 3 3 2 4" xfId="20260"/>
    <cellStyle name="Comma 4 4 3 3 2 5" xfId="28700"/>
    <cellStyle name="Comma 4 4 3 3 3" xfId="5455"/>
    <cellStyle name="Comma 4 4 3 3 3 2" xfId="13891"/>
    <cellStyle name="Comma 4 4 3 3 3 3" xfId="22332"/>
    <cellStyle name="Comma 4 4 3 3 3 4" xfId="30772"/>
    <cellStyle name="Comma 4 4 3 3 4" xfId="9673"/>
    <cellStyle name="Comma 4 4 3 3 5" xfId="18115"/>
    <cellStyle name="Comma 4 4 3 3 6" xfId="26555"/>
    <cellStyle name="Comma 4 4 3 4" xfId="1560"/>
    <cellStyle name="Comma 4 4 3 4 2" xfId="3790"/>
    <cellStyle name="Comma 4 4 3 4 2 2" xfId="8013"/>
    <cellStyle name="Comma 4 4 3 4 2 2 2" xfId="16449"/>
    <cellStyle name="Comma 4 4 3 4 2 2 3" xfId="24890"/>
    <cellStyle name="Comma 4 4 3 4 2 2 4" xfId="33330"/>
    <cellStyle name="Comma 4 4 3 4 2 3" xfId="12231"/>
    <cellStyle name="Comma 4 4 3 4 2 4" xfId="20673"/>
    <cellStyle name="Comma 4 4 3 4 2 5" xfId="29113"/>
    <cellStyle name="Comma 4 4 3 4 3" xfId="5868"/>
    <cellStyle name="Comma 4 4 3 4 3 2" xfId="14304"/>
    <cellStyle name="Comma 4 4 3 4 3 3" xfId="22745"/>
    <cellStyle name="Comma 4 4 3 4 3 4" xfId="31185"/>
    <cellStyle name="Comma 4 4 3 4 4" xfId="10086"/>
    <cellStyle name="Comma 4 4 3 4 5" xfId="18528"/>
    <cellStyle name="Comma 4 4 3 4 6" xfId="26968"/>
    <cellStyle name="Comma 4 4 3 5" xfId="1974"/>
    <cellStyle name="Comma 4 4 3 5 2" xfId="4203"/>
    <cellStyle name="Comma 4 4 3 5 2 2" xfId="8426"/>
    <cellStyle name="Comma 4 4 3 5 2 2 2" xfId="16862"/>
    <cellStyle name="Comma 4 4 3 5 2 2 3" xfId="25303"/>
    <cellStyle name="Comma 4 4 3 5 2 2 4" xfId="33743"/>
    <cellStyle name="Comma 4 4 3 5 2 3" xfId="12644"/>
    <cellStyle name="Comma 4 4 3 5 2 4" xfId="21086"/>
    <cellStyle name="Comma 4 4 3 5 2 5" xfId="29526"/>
    <cellStyle name="Comma 4 4 3 5 3" xfId="6281"/>
    <cellStyle name="Comma 4 4 3 5 3 2" xfId="14717"/>
    <cellStyle name="Comma 4 4 3 5 3 3" xfId="23158"/>
    <cellStyle name="Comma 4 4 3 5 3 4" xfId="31598"/>
    <cellStyle name="Comma 4 4 3 5 4" xfId="10499"/>
    <cellStyle name="Comma 4 4 3 5 5" xfId="18941"/>
    <cellStyle name="Comma 4 4 3 5 6" xfId="27381"/>
    <cellStyle name="Comma 4 4 3 6" xfId="2409"/>
    <cellStyle name="Comma 4 4 3 6 2" xfId="6694"/>
    <cellStyle name="Comma 4 4 3 6 2 2" xfId="15130"/>
    <cellStyle name="Comma 4 4 3 6 2 3" xfId="23571"/>
    <cellStyle name="Comma 4 4 3 6 2 4" xfId="32011"/>
    <cellStyle name="Comma 4 4 3 6 3" xfId="10912"/>
    <cellStyle name="Comma 4 4 3 6 4" xfId="19354"/>
    <cellStyle name="Comma 4 4 3 6 5" xfId="27794"/>
    <cellStyle name="Comma 4 4 3 7" xfId="2705"/>
    <cellStyle name="Comma 4 4 3 8" xfId="2787"/>
    <cellStyle name="Comma 4 4 3 8 2" xfId="7011"/>
    <cellStyle name="Comma 4 4 3 8 2 2" xfId="15447"/>
    <cellStyle name="Comma 4 4 3 8 2 3" xfId="23888"/>
    <cellStyle name="Comma 4 4 3 8 2 4" xfId="32328"/>
    <cellStyle name="Comma 4 4 3 8 3" xfId="11229"/>
    <cellStyle name="Comma 4 4 3 8 4" xfId="19671"/>
    <cellStyle name="Comma 4 4 3 8 5" xfId="28111"/>
    <cellStyle name="Comma 4 4 3 9" xfId="4628"/>
    <cellStyle name="Comma 4 4 3 9 2" xfId="13064"/>
    <cellStyle name="Comma 4 4 3 9 3" xfId="21505"/>
    <cellStyle name="Comma 4 4 3 9 4" xfId="29945"/>
    <cellStyle name="Comma 4 4 4" xfId="690"/>
    <cellStyle name="Comma 4 4 4 2" xfId="2961"/>
    <cellStyle name="Comma 4 4 4 2 2" xfId="7184"/>
    <cellStyle name="Comma 4 4 4 2 2 2" xfId="15620"/>
    <cellStyle name="Comma 4 4 4 2 2 3" xfId="24061"/>
    <cellStyle name="Comma 4 4 4 2 2 4" xfId="32501"/>
    <cellStyle name="Comma 4 4 4 2 3" xfId="11402"/>
    <cellStyle name="Comma 4 4 4 2 4" xfId="19844"/>
    <cellStyle name="Comma 4 4 4 2 5" xfId="28284"/>
    <cellStyle name="Comma 4 4 4 3" xfId="5039"/>
    <cellStyle name="Comma 4 4 4 3 2" xfId="13475"/>
    <cellStyle name="Comma 4 4 4 3 3" xfId="21916"/>
    <cellStyle name="Comma 4 4 4 3 4" xfId="30356"/>
    <cellStyle name="Comma 4 4 4 4" xfId="9257"/>
    <cellStyle name="Comma 4 4 4 5" xfId="17699"/>
    <cellStyle name="Comma 4 4 4 6" xfId="26139"/>
    <cellStyle name="Comma 4 4 5" xfId="1143"/>
    <cellStyle name="Comma 4 4 5 2" xfId="3374"/>
    <cellStyle name="Comma 4 4 5 2 2" xfId="7597"/>
    <cellStyle name="Comma 4 4 5 2 2 2" xfId="16033"/>
    <cellStyle name="Comma 4 4 5 2 2 3" xfId="24474"/>
    <cellStyle name="Comma 4 4 5 2 2 4" xfId="32914"/>
    <cellStyle name="Comma 4 4 5 2 3" xfId="11815"/>
    <cellStyle name="Comma 4 4 5 2 4" xfId="20257"/>
    <cellStyle name="Comma 4 4 5 2 5" xfId="28697"/>
    <cellStyle name="Comma 4 4 5 3" xfId="5452"/>
    <cellStyle name="Comma 4 4 5 3 2" xfId="13888"/>
    <cellStyle name="Comma 4 4 5 3 3" xfId="22329"/>
    <cellStyle name="Comma 4 4 5 3 4" xfId="30769"/>
    <cellStyle name="Comma 4 4 5 4" xfId="9670"/>
    <cellStyle name="Comma 4 4 5 5" xfId="18112"/>
    <cellStyle name="Comma 4 4 5 6" xfId="26552"/>
    <cellStyle name="Comma 4 4 6" xfId="1557"/>
    <cellStyle name="Comma 4 4 6 2" xfId="3787"/>
    <cellStyle name="Comma 4 4 6 2 2" xfId="8010"/>
    <cellStyle name="Comma 4 4 6 2 2 2" xfId="16446"/>
    <cellStyle name="Comma 4 4 6 2 2 3" xfId="24887"/>
    <cellStyle name="Comma 4 4 6 2 2 4" xfId="33327"/>
    <cellStyle name="Comma 4 4 6 2 3" xfId="12228"/>
    <cellStyle name="Comma 4 4 6 2 4" xfId="20670"/>
    <cellStyle name="Comma 4 4 6 2 5" xfId="29110"/>
    <cellStyle name="Comma 4 4 6 3" xfId="5865"/>
    <cellStyle name="Comma 4 4 6 3 2" xfId="14301"/>
    <cellStyle name="Comma 4 4 6 3 3" xfId="22742"/>
    <cellStyle name="Comma 4 4 6 3 4" xfId="31182"/>
    <cellStyle name="Comma 4 4 6 4" xfId="10083"/>
    <cellStyle name="Comma 4 4 6 5" xfId="18525"/>
    <cellStyle name="Comma 4 4 6 6" xfId="26965"/>
    <cellStyle name="Comma 4 4 7" xfId="1971"/>
    <cellStyle name="Comma 4 4 7 2" xfId="4200"/>
    <cellStyle name="Comma 4 4 7 2 2" xfId="8423"/>
    <cellStyle name="Comma 4 4 7 2 2 2" xfId="16859"/>
    <cellStyle name="Comma 4 4 7 2 2 3" xfId="25300"/>
    <cellStyle name="Comma 4 4 7 2 2 4" xfId="33740"/>
    <cellStyle name="Comma 4 4 7 2 3" xfId="12641"/>
    <cellStyle name="Comma 4 4 7 2 4" xfId="21083"/>
    <cellStyle name="Comma 4 4 7 2 5" xfId="29523"/>
    <cellStyle name="Comma 4 4 7 3" xfId="6278"/>
    <cellStyle name="Comma 4 4 7 3 2" xfId="14714"/>
    <cellStyle name="Comma 4 4 7 3 3" xfId="23155"/>
    <cellStyle name="Comma 4 4 7 3 4" xfId="31595"/>
    <cellStyle name="Comma 4 4 7 4" xfId="10496"/>
    <cellStyle name="Comma 4 4 7 5" xfId="18938"/>
    <cellStyle name="Comma 4 4 7 6" xfId="27378"/>
    <cellStyle name="Comma 4 4 8" xfId="2406"/>
    <cellStyle name="Comma 4 4 8 2" xfId="6691"/>
    <cellStyle name="Comma 4 4 8 2 2" xfId="15127"/>
    <cellStyle name="Comma 4 4 8 2 3" xfId="23568"/>
    <cellStyle name="Comma 4 4 8 2 4" xfId="32008"/>
    <cellStyle name="Comma 4 4 8 3" xfId="10909"/>
    <cellStyle name="Comma 4 4 8 4" xfId="19351"/>
    <cellStyle name="Comma 4 4 8 5" xfId="27791"/>
    <cellStyle name="Comma 4 4 9" xfId="2702"/>
    <cellStyle name="Comma 4 5" xfId="157"/>
    <cellStyle name="Comma 4 5 10" xfId="4629"/>
    <cellStyle name="Comma 4 5 10 2" xfId="13065"/>
    <cellStyle name="Comma 4 5 10 3" xfId="21506"/>
    <cellStyle name="Comma 4 5 10 4" xfId="29946"/>
    <cellStyle name="Comma 4 5 11" xfId="8847"/>
    <cellStyle name="Comma 4 5 12" xfId="17289"/>
    <cellStyle name="Comma 4 5 13" xfId="25729"/>
    <cellStyle name="Comma 4 5 2" xfId="158"/>
    <cellStyle name="Comma 4 5 2 10" xfId="8848"/>
    <cellStyle name="Comma 4 5 2 11" xfId="17290"/>
    <cellStyle name="Comma 4 5 2 12" xfId="25730"/>
    <cellStyle name="Comma 4 5 2 2" xfId="695"/>
    <cellStyle name="Comma 4 5 2 2 2" xfId="2966"/>
    <cellStyle name="Comma 4 5 2 2 2 2" xfId="7189"/>
    <cellStyle name="Comma 4 5 2 2 2 2 2" xfId="15625"/>
    <cellStyle name="Comma 4 5 2 2 2 2 3" xfId="24066"/>
    <cellStyle name="Comma 4 5 2 2 2 2 4" xfId="32506"/>
    <cellStyle name="Comma 4 5 2 2 2 3" xfId="11407"/>
    <cellStyle name="Comma 4 5 2 2 2 4" xfId="19849"/>
    <cellStyle name="Comma 4 5 2 2 2 5" xfId="28289"/>
    <cellStyle name="Comma 4 5 2 2 3" xfId="5044"/>
    <cellStyle name="Comma 4 5 2 2 3 2" xfId="13480"/>
    <cellStyle name="Comma 4 5 2 2 3 3" xfId="21921"/>
    <cellStyle name="Comma 4 5 2 2 3 4" xfId="30361"/>
    <cellStyle name="Comma 4 5 2 2 4" xfId="9262"/>
    <cellStyle name="Comma 4 5 2 2 5" xfId="17704"/>
    <cellStyle name="Comma 4 5 2 2 6" xfId="26144"/>
    <cellStyle name="Comma 4 5 2 3" xfId="1148"/>
    <cellStyle name="Comma 4 5 2 3 2" xfId="3379"/>
    <cellStyle name="Comma 4 5 2 3 2 2" xfId="7602"/>
    <cellStyle name="Comma 4 5 2 3 2 2 2" xfId="16038"/>
    <cellStyle name="Comma 4 5 2 3 2 2 3" xfId="24479"/>
    <cellStyle name="Comma 4 5 2 3 2 2 4" xfId="32919"/>
    <cellStyle name="Comma 4 5 2 3 2 3" xfId="11820"/>
    <cellStyle name="Comma 4 5 2 3 2 4" xfId="20262"/>
    <cellStyle name="Comma 4 5 2 3 2 5" xfId="28702"/>
    <cellStyle name="Comma 4 5 2 3 3" xfId="5457"/>
    <cellStyle name="Comma 4 5 2 3 3 2" xfId="13893"/>
    <cellStyle name="Comma 4 5 2 3 3 3" xfId="22334"/>
    <cellStyle name="Comma 4 5 2 3 3 4" xfId="30774"/>
    <cellStyle name="Comma 4 5 2 3 4" xfId="9675"/>
    <cellStyle name="Comma 4 5 2 3 5" xfId="18117"/>
    <cellStyle name="Comma 4 5 2 3 6" xfId="26557"/>
    <cellStyle name="Comma 4 5 2 4" xfId="1562"/>
    <cellStyle name="Comma 4 5 2 4 2" xfId="3792"/>
    <cellStyle name="Comma 4 5 2 4 2 2" xfId="8015"/>
    <cellStyle name="Comma 4 5 2 4 2 2 2" xfId="16451"/>
    <cellStyle name="Comma 4 5 2 4 2 2 3" xfId="24892"/>
    <cellStyle name="Comma 4 5 2 4 2 2 4" xfId="33332"/>
    <cellStyle name="Comma 4 5 2 4 2 3" xfId="12233"/>
    <cellStyle name="Comma 4 5 2 4 2 4" xfId="20675"/>
    <cellStyle name="Comma 4 5 2 4 2 5" xfId="29115"/>
    <cellStyle name="Comma 4 5 2 4 3" xfId="5870"/>
    <cellStyle name="Comma 4 5 2 4 3 2" xfId="14306"/>
    <cellStyle name="Comma 4 5 2 4 3 3" xfId="22747"/>
    <cellStyle name="Comma 4 5 2 4 3 4" xfId="31187"/>
    <cellStyle name="Comma 4 5 2 4 4" xfId="10088"/>
    <cellStyle name="Comma 4 5 2 4 5" xfId="18530"/>
    <cellStyle name="Comma 4 5 2 4 6" xfId="26970"/>
    <cellStyle name="Comma 4 5 2 5" xfId="1976"/>
    <cellStyle name="Comma 4 5 2 5 2" xfId="4205"/>
    <cellStyle name="Comma 4 5 2 5 2 2" xfId="8428"/>
    <cellStyle name="Comma 4 5 2 5 2 2 2" xfId="16864"/>
    <cellStyle name="Comma 4 5 2 5 2 2 3" xfId="25305"/>
    <cellStyle name="Comma 4 5 2 5 2 2 4" xfId="33745"/>
    <cellStyle name="Comma 4 5 2 5 2 3" xfId="12646"/>
    <cellStyle name="Comma 4 5 2 5 2 4" xfId="21088"/>
    <cellStyle name="Comma 4 5 2 5 2 5" xfId="29528"/>
    <cellStyle name="Comma 4 5 2 5 3" xfId="6283"/>
    <cellStyle name="Comma 4 5 2 5 3 2" xfId="14719"/>
    <cellStyle name="Comma 4 5 2 5 3 3" xfId="23160"/>
    <cellStyle name="Comma 4 5 2 5 3 4" xfId="31600"/>
    <cellStyle name="Comma 4 5 2 5 4" xfId="10501"/>
    <cellStyle name="Comma 4 5 2 5 5" xfId="18943"/>
    <cellStyle name="Comma 4 5 2 5 6" xfId="27383"/>
    <cellStyle name="Comma 4 5 2 6" xfId="2411"/>
    <cellStyle name="Comma 4 5 2 6 2" xfId="6696"/>
    <cellStyle name="Comma 4 5 2 6 2 2" xfId="15132"/>
    <cellStyle name="Comma 4 5 2 6 2 3" xfId="23573"/>
    <cellStyle name="Comma 4 5 2 6 2 4" xfId="32013"/>
    <cellStyle name="Comma 4 5 2 6 3" xfId="10914"/>
    <cellStyle name="Comma 4 5 2 6 4" xfId="19356"/>
    <cellStyle name="Comma 4 5 2 6 5" xfId="27796"/>
    <cellStyle name="Comma 4 5 2 7" xfId="2707"/>
    <cellStyle name="Comma 4 5 2 8" xfId="2789"/>
    <cellStyle name="Comma 4 5 2 8 2" xfId="7013"/>
    <cellStyle name="Comma 4 5 2 8 2 2" xfId="15449"/>
    <cellStyle name="Comma 4 5 2 8 2 3" xfId="23890"/>
    <cellStyle name="Comma 4 5 2 8 2 4" xfId="32330"/>
    <cellStyle name="Comma 4 5 2 8 3" xfId="11231"/>
    <cellStyle name="Comma 4 5 2 8 4" xfId="19673"/>
    <cellStyle name="Comma 4 5 2 8 5" xfId="28113"/>
    <cellStyle name="Comma 4 5 2 9" xfId="4630"/>
    <cellStyle name="Comma 4 5 2 9 2" xfId="13066"/>
    <cellStyle name="Comma 4 5 2 9 3" xfId="21507"/>
    <cellStyle name="Comma 4 5 2 9 4" xfId="29947"/>
    <cellStyle name="Comma 4 5 3" xfId="694"/>
    <cellStyle name="Comma 4 5 3 2" xfId="2965"/>
    <cellStyle name="Comma 4 5 3 2 2" xfId="7188"/>
    <cellStyle name="Comma 4 5 3 2 2 2" xfId="15624"/>
    <cellStyle name="Comma 4 5 3 2 2 3" xfId="24065"/>
    <cellStyle name="Comma 4 5 3 2 2 4" xfId="32505"/>
    <cellStyle name="Comma 4 5 3 2 3" xfId="11406"/>
    <cellStyle name="Comma 4 5 3 2 4" xfId="19848"/>
    <cellStyle name="Comma 4 5 3 2 5" xfId="28288"/>
    <cellStyle name="Comma 4 5 3 3" xfId="5043"/>
    <cellStyle name="Comma 4 5 3 3 2" xfId="13479"/>
    <cellStyle name="Comma 4 5 3 3 3" xfId="21920"/>
    <cellStyle name="Comma 4 5 3 3 4" xfId="30360"/>
    <cellStyle name="Comma 4 5 3 4" xfId="9261"/>
    <cellStyle name="Comma 4 5 3 5" xfId="17703"/>
    <cellStyle name="Comma 4 5 3 6" xfId="26143"/>
    <cellStyle name="Comma 4 5 4" xfId="1147"/>
    <cellStyle name="Comma 4 5 4 2" xfId="3378"/>
    <cellStyle name="Comma 4 5 4 2 2" xfId="7601"/>
    <cellStyle name="Comma 4 5 4 2 2 2" xfId="16037"/>
    <cellStyle name="Comma 4 5 4 2 2 3" xfId="24478"/>
    <cellStyle name="Comma 4 5 4 2 2 4" xfId="32918"/>
    <cellStyle name="Comma 4 5 4 2 3" xfId="11819"/>
    <cellStyle name="Comma 4 5 4 2 4" xfId="20261"/>
    <cellStyle name="Comma 4 5 4 2 5" xfId="28701"/>
    <cellStyle name="Comma 4 5 4 3" xfId="5456"/>
    <cellStyle name="Comma 4 5 4 3 2" xfId="13892"/>
    <cellStyle name="Comma 4 5 4 3 3" xfId="22333"/>
    <cellStyle name="Comma 4 5 4 3 4" xfId="30773"/>
    <cellStyle name="Comma 4 5 4 4" xfId="9674"/>
    <cellStyle name="Comma 4 5 4 5" xfId="18116"/>
    <cellStyle name="Comma 4 5 4 6" xfId="26556"/>
    <cellStyle name="Comma 4 5 5" xfId="1561"/>
    <cellStyle name="Comma 4 5 5 2" xfId="3791"/>
    <cellStyle name="Comma 4 5 5 2 2" xfId="8014"/>
    <cellStyle name="Comma 4 5 5 2 2 2" xfId="16450"/>
    <cellStyle name="Comma 4 5 5 2 2 3" xfId="24891"/>
    <cellStyle name="Comma 4 5 5 2 2 4" xfId="33331"/>
    <cellStyle name="Comma 4 5 5 2 3" xfId="12232"/>
    <cellStyle name="Comma 4 5 5 2 4" xfId="20674"/>
    <cellStyle name="Comma 4 5 5 2 5" xfId="29114"/>
    <cellStyle name="Comma 4 5 5 3" xfId="5869"/>
    <cellStyle name="Comma 4 5 5 3 2" xfId="14305"/>
    <cellStyle name="Comma 4 5 5 3 3" xfId="22746"/>
    <cellStyle name="Comma 4 5 5 3 4" xfId="31186"/>
    <cellStyle name="Comma 4 5 5 4" xfId="10087"/>
    <cellStyle name="Comma 4 5 5 5" xfId="18529"/>
    <cellStyle name="Comma 4 5 5 6" xfId="26969"/>
    <cellStyle name="Comma 4 5 6" xfId="1975"/>
    <cellStyle name="Comma 4 5 6 2" xfId="4204"/>
    <cellStyle name="Comma 4 5 6 2 2" xfId="8427"/>
    <cellStyle name="Comma 4 5 6 2 2 2" xfId="16863"/>
    <cellStyle name="Comma 4 5 6 2 2 3" xfId="25304"/>
    <cellStyle name="Comma 4 5 6 2 2 4" xfId="33744"/>
    <cellStyle name="Comma 4 5 6 2 3" xfId="12645"/>
    <cellStyle name="Comma 4 5 6 2 4" xfId="21087"/>
    <cellStyle name="Comma 4 5 6 2 5" xfId="29527"/>
    <cellStyle name="Comma 4 5 6 3" xfId="6282"/>
    <cellStyle name="Comma 4 5 6 3 2" xfId="14718"/>
    <cellStyle name="Comma 4 5 6 3 3" xfId="23159"/>
    <cellStyle name="Comma 4 5 6 3 4" xfId="31599"/>
    <cellStyle name="Comma 4 5 6 4" xfId="10500"/>
    <cellStyle name="Comma 4 5 6 5" xfId="18942"/>
    <cellStyle name="Comma 4 5 6 6" xfId="27382"/>
    <cellStyle name="Comma 4 5 7" xfId="2410"/>
    <cellStyle name="Comma 4 5 7 2" xfId="6695"/>
    <cellStyle name="Comma 4 5 7 2 2" xfId="15131"/>
    <cellStyle name="Comma 4 5 7 2 3" xfId="23572"/>
    <cellStyle name="Comma 4 5 7 2 4" xfId="32012"/>
    <cellStyle name="Comma 4 5 7 3" xfId="10913"/>
    <cellStyle name="Comma 4 5 7 4" xfId="19355"/>
    <cellStyle name="Comma 4 5 7 5" xfId="27795"/>
    <cellStyle name="Comma 4 5 8" xfId="2706"/>
    <cellStyle name="Comma 4 5 9" xfId="2788"/>
    <cellStyle name="Comma 4 5 9 2" xfId="7012"/>
    <cellStyle name="Comma 4 5 9 2 2" xfId="15448"/>
    <cellStyle name="Comma 4 5 9 2 3" xfId="23889"/>
    <cellStyle name="Comma 4 5 9 2 4" xfId="32329"/>
    <cellStyle name="Comma 4 5 9 3" xfId="11230"/>
    <cellStyle name="Comma 4 5 9 4" xfId="19672"/>
    <cellStyle name="Comma 4 5 9 5" xfId="28112"/>
    <cellStyle name="Comma 4 6" xfId="159"/>
    <cellStyle name="Comma 4 6 10" xfId="8849"/>
    <cellStyle name="Comma 4 6 11" xfId="17291"/>
    <cellStyle name="Comma 4 6 12" xfId="25731"/>
    <cellStyle name="Comma 4 6 2" xfId="696"/>
    <cellStyle name="Comma 4 6 2 2" xfId="2967"/>
    <cellStyle name="Comma 4 6 2 2 2" xfId="7190"/>
    <cellStyle name="Comma 4 6 2 2 2 2" xfId="15626"/>
    <cellStyle name="Comma 4 6 2 2 2 3" xfId="24067"/>
    <cellStyle name="Comma 4 6 2 2 2 4" xfId="32507"/>
    <cellStyle name="Comma 4 6 2 2 3" xfId="11408"/>
    <cellStyle name="Comma 4 6 2 2 4" xfId="19850"/>
    <cellStyle name="Comma 4 6 2 2 5" xfId="28290"/>
    <cellStyle name="Comma 4 6 2 3" xfId="5045"/>
    <cellStyle name="Comma 4 6 2 3 2" xfId="13481"/>
    <cellStyle name="Comma 4 6 2 3 3" xfId="21922"/>
    <cellStyle name="Comma 4 6 2 3 4" xfId="30362"/>
    <cellStyle name="Comma 4 6 2 4" xfId="9263"/>
    <cellStyle name="Comma 4 6 2 5" xfId="17705"/>
    <cellStyle name="Comma 4 6 2 6" xfId="26145"/>
    <cellStyle name="Comma 4 6 3" xfId="1149"/>
    <cellStyle name="Comma 4 6 3 2" xfId="3380"/>
    <cellStyle name="Comma 4 6 3 2 2" xfId="7603"/>
    <cellStyle name="Comma 4 6 3 2 2 2" xfId="16039"/>
    <cellStyle name="Comma 4 6 3 2 2 3" xfId="24480"/>
    <cellStyle name="Comma 4 6 3 2 2 4" xfId="32920"/>
    <cellStyle name="Comma 4 6 3 2 3" xfId="11821"/>
    <cellStyle name="Comma 4 6 3 2 4" xfId="20263"/>
    <cellStyle name="Comma 4 6 3 2 5" xfId="28703"/>
    <cellStyle name="Comma 4 6 3 3" xfId="5458"/>
    <cellStyle name="Comma 4 6 3 3 2" xfId="13894"/>
    <cellStyle name="Comma 4 6 3 3 3" xfId="22335"/>
    <cellStyle name="Comma 4 6 3 3 4" xfId="30775"/>
    <cellStyle name="Comma 4 6 3 4" xfId="9676"/>
    <cellStyle name="Comma 4 6 3 5" xfId="18118"/>
    <cellStyle name="Comma 4 6 3 6" xfId="26558"/>
    <cellStyle name="Comma 4 6 4" xfId="1563"/>
    <cellStyle name="Comma 4 6 4 2" xfId="3793"/>
    <cellStyle name="Comma 4 6 4 2 2" xfId="8016"/>
    <cellStyle name="Comma 4 6 4 2 2 2" xfId="16452"/>
    <cellStyle name="Comma 4 6 4 2 2 3" xfId="24893"/>
    <cellStyle name="Comma 4 6 4 2 2 4" xfId="33333"/>
    <cellStyle name="Comma 4 6 4 2 3" xfId="12234"/>
    <cellStyle name="Comma 4 6 4 2 4" xfId="20676"/>
    <cellStyle name="Comma 4 6 4 2 5" xfId="29116"/>
    <cellStyle name="Comma 4 6 4 3" xfId="5871"/>
    <cellStyle name="Comma 4 6 4 3 2" xfId="14307"/>
    <cellStyle name="Comma 4 6 4 3 3" xfId="22748"/>
    <cellStyle name="Comma 4 6 4 3 4" xfId="31188"/>
    <cellStyle name="Comma 4 6 4 4" xfId="10089"/>
    <cellStyle name="Comma 4 6 4 5" xfId="18531"/>
    <cellStyle name="Comma 4 6 4 6" xfId="26971"/>
    <cellStyle name="Comma 4 6 5" xfId="1977"/>
    <cellStyle name="Comma 4 6 5 2" xfId="4206"/>
    <cellStyle name="Comma 4 6 5 2 2" xfId="8429"/>
    <cellStyle name="Comma 4 6 5 2 2 2" xfId="16865"/>
    <cellStyle name="Comma 4 6 5 2 2 3" xfId="25306"/>
    <cellStyle name="Comma 4 6 5 2 2 4" xfId="33746"/>
    <cellStyle name="Comma 4 6 5 2 3" xfId="12647"/>
    <cellStyle name="Comma 4 6 5 2 4" xfId="21089"/>
    <cellStyle name="Comma 4 6 5 2 5" xfId="29529"/>
    <cellStyle name="Comma 4 6 5 3" xfId="6284"/>
    <cellStyle name="Comma 4 6 5 3 2" xfId="14720"/>
    <cellStyle name="Comma 4 6 5 3 3" xfId="23161"/>
    <cellStyle name="Comma 4 6 5 3 4" xfId="31601"/>
    <cellStyle name="Comma 4 6 5 4" xfId="10502"/>
    <cellStyle name="Comma 4 6 5 5" xfId="18944"/>
    <cellStyle name="Comma 4 6 5 6" xfId="27384"/>
    <cellStyle name="Comma 4 6 6" xfId="2412"/>
    <cellStyle name="Comma 4 6 6 2" xfId="6697"/>
    <cellStyle name="Comma 4 6 6 2 2" xfId="15133"/>
    <cellStyle name="Comma 4 6 6 2 3" xfId="23574"/>
    <cellStyle name="Comma 4 6 6 2 4" xfId="32014"/>
    <cellStyle name="Comma 4 6 6 3" xfId="10915"/>
    <cellStyle name="Comma 4 6 6 4" xfId="19357"/>
    <cellStyle name="Comma 4 6 6 5" xfId="27797"/>
    <cellStyle name="Comma 4 6 7" xfId="2708"/>
    <cellStyle name="Comma 4 6 8" xfId="2790"/>
    <cellStyle name="Comma 4 6 8 2" xfId="7014"/>
    <cellStyle name="Comma 4 6 8 2 2" xfId="15450"/>
    <cellStyle name="Comma 4 6 8 2 3" xfId="23891"/>
    <cellStyle name="Comma 4 6 8 2 4" xfId="32331"/>
    <cellStyle name="Comma 4 6 8 3" xfId="11232"/>
    <cellStyle name="Comma 4 6 8 4" xfId="19674"/>
    <cellStyle name="Comma 4 6 8 5" xfId="28114"/>
    <cellStyle name="Comma 4 6 9" xfId="4631"/>
    <cellStyle name="Comma 4 6 9 2" xfId="13067"/>
    <cellStyle name="Comma 4 6 9 3" xfId="21508"/>
    <cellStyle name="Comma 4 6 9 4" xfId="29948"/>
    <cellStyle name="Comma 4 7" xfId="160"/>
    <cellStyle name="Comma 4 7 10" xfId="8850"/>
    <cellStyle name="Comma 4 7 11" xfId="17292"/>
    <cellStyle name="Comma 4 7 12" xfId="25732"/>
    <cellStyle name="Comma 4 7 2" xfId="697"/>
    <cellStyle name="Comma 4 7 2 2" xfId="2968"/>
    <cellStyle name="Comma 4 7 2 2 2" xfId="7191"/>
    <cellStyle name="Comma 4 7 2 2 2 2" xfId="15627"/>
    <cellStyle name="Comma 4 7 2 2 2 3" xfId="24068"/>
    <cellStyle name="Comma 4 7 2 2 2 4" xfId="32508"/>
    <cellStyle name="Comma 4 7 2 2 3" xfId="11409"/>
    <cellStyle name="Comma 4 7 2 2 4" xfId="19851"/>
    <cellStyle name="Comma 4 7 2 2 5" xfId="28291"/>
    <cellStyle name="Comma 4 7 2 3" xfId="5046"/>
    <cellStyle name="Comma 4 7 2 3 2" xfId="13482"/>
    <cellStyle name="Comma 4 7 2 3 3" xfId="21923"/>
    <cellStyle name="Comma 4 7 2 3 4" xfId="30363"/>
    <cellStyle name="Comma 4 7 2 4" xfId="9264"/>
    <cellStyle name="Comma 4 7 2 5" xfId="17706"/>
    <cellStyle name="Comma 4 7 2 6" xfId="26146"/>
    <cellStyle name="Comma 4 7 3" xfId="1150"/>
    <cellStyle name="Comma 4 7 3 2" xfId="3381"/>
    <cellStyle name="Comma 4 7 3 2 2" xfId="7604"/>
    <cellStyle name="Comma 4 7 3 2 2 2" xfId="16040"/>
    <cellStyle name="Comma 4 7 3 2 2 3" xfId="24481"/>
    <cellStyle name="Comma 4 7 3 2 2 4" xfId="32921"/>
    <cellStyle name="Comma 4 7 3 2 3" xfId="11822"/>
    <cellStyle name="Comma 4 7 3 2 4" xfId="20264"/>
    <cellStyle name="Comma 4 7 3 2 5" xfId="28704"/>
    <cellStyle name="Comma 4 7 3 3" xfId="5459"/>
    <cellStyle name="Comma 4 7 3 3 2" xfId="13895"/>
    <cellStyle name="Comma 4 7 3 3 3" xfId="22336"/>
    <cellStyle name="Comma 4 7 3 3 4" xfId="30776"/>
    <cellStyle name="Comma 4 7 3 4" xfId="9677"/>
    <cellStyle name="Comma 4 7 3 5" xfId="18119"/>
    <cellStyle name="Comma 4 7 3 6" xfId="26559"/>
    <cellStyle name="Comma 4 7 4" xfId="1564"/>
    <cellStyle name="Comma 4 7 4 2" xfId="3794"/>
    <cellStyle name="Comma 4 7 4 2 2" xfId="8017"/>
    <cellStyle name="Comma 4 7 4 2 2 2" xfId="16453"/>
    <cellStyle name="Comma 4 7 4 2 2 3" xfId="24894"/>
    <cellStyle name="Comma 4 7 4 2 2 4" xfId="33334"/>
    <cellStyle name="Comma 4 7 4 2 3" xfId="12235"/>
    <cellStyle name="Comma 4 7 4 2 4" xfId="20677"/>
    <cellStyle name="Comma 4 7 4 2 5" xfId="29117"/>
    <cellStyle name="Comma 4 7 4 3" xfId="5872"/>
    <cellStyle name="Comma 4 7 4 3 2" xfId="14308"/>
    <cellStyle name="Comma 4 7 4 3 3" xfId="22749"/>
    <cellStyle name="Comma 4 7 4 3 4" xfId="31189"/>
    <cellStyle name="Comma 4 7 4 4" xfId="10090"/>
    <cellStyle name="Comma 4 7 4 5" xfId="18532"/>
    <cellStyle name="Comma 4 7 4 6" xfId="26972"/>
    <cellStyle name="Comma 4 7 5" xfId="1978"/>
    <cellStyle name="Comma 4 7 5 2" xfId="4207"/>
    <cellStyle name="Comma 4 7 5 2 2" xfId="8430"/>
    <cellStyle name="Comma 4 7 5 2 2 2" xfId="16866"/>
    <cellStyle name="Comma 4 7 5 2 2 3" xfId="25307"/>
    <cellStyle name="Comma 4 7 5 2 2 4" xfId="33747"/>
    <cellStyle name="Comma 4 7 5 2 3" xfId="12648"/>
    <cellStyle name="Comma 4 7 5 2 4" xfId="21090"/>
    <cellStyle name="Comma 4 7 5 2 5" xfId="29530"/>
    <cellStyle name="Comma 4 7 5 3" xfId="6285"/>
    <cellStyle name="Comma 4 7 5 3 2" xfId="14721"/>
    <cellStyle name="Comma 4 7 5 3 3" xfId="23162"/>
    <cellStyle name="Comma 4 7 5 3 4" xfId="31602"/>
    <cellStyle name="Comma 4 7 5 4" xfId="10503"/>
    <cellStyle name="Comma 4 7 5 5" xfId="18945"/>
    <cellStyle name="Comma 4 7 5 6" xfId="27385"/>
    <cellStyle name="Comma 4 7 6" xfId="2413"/>
    <cellStyle name="Comma 4 7 6 2" xfId="6698"/>
    <cellStyle name="Comma 4 7 6 2 2" xfId="15134"/>
    <cellStyle name="Comma 4 7 6 2 3" xfId="23575"/>
    <cellStyle name="Comma 4 7 6 2 4" xfId="32015"/>
    <cellStyle name="Comma 4 7 6 3" xfId="10916"/>
    <cellStyle name="Comma 4 7 6 4" xfId="19358"/>
    <cellStyle name="Comma 4 7 6 5" xfId="27798"/>
    <cellStyle name="Comma 4 7 7" xfId="2709"/>
    <cellStyle name="Comma 4 7 8" xfId="2791"/>
    <cellStyle name="Comma 4 7 8 2" xfId="7015"/>
    <cellStyle name="Comma 4 7 8 2 2" xfId="15451"/>
    <cellStyle name="Comma 4 7 8 2 3" xfId="23892"/>
    <cellStyle name="Comma 4 7 8 2 4" xfId="32332"/>
    <cellStyle name="Comma 4 7 8 3" xfId="11233"/>
    <cellStyle name="Comma 4 7 8 4" xfId="19675"/>
    <cellStyle name="Comma 4 7 8 5" xfId="28115"/>
    <cellStyle name="Comma 4 7 9" xfId="4632"/>
    <cellStyle name="Comma 4 7 9 2" xfId="13068"/>
    <cellStyle name="Comma 4 7 9 3" xfId="21509"/>
    <cellStyle name="Comma 4 7 9 4" xfId="29949"/>
    <cellStyle name="Comma 5" xfId="161"/>
    <cellStyle name="Comma 5 2" xfId="162"/>
    <cellStyle name="Comma 5 2 2" xfId="698"/>
    <cellStyle name="Comma 6" xfId="163"/>
    <cellStyle name="Comma 7" xfId="4498"/>
    <cellStyle name="Comma 7 2" xfId="17160"/>
    <cellStyle name="Comma 7 2 2" xfId="25600"/>
    <cellStyle name="Comma 7 2 3" xfId="34040"/>
    <cellStyle name="Comma 7 3" xfId="17163"/>
    <cellStyle name="Comma 7 3 2" xfId="25603"/>
    <cellStyle name="Comma 7 3 3" xfId="34043"/>
    <cellStyle name="Comma 7 4" xfId="12936"/>
    <cellStyle name="Comma 7 5" xfId="21377"/>
    <cellStyle name="Comma 7 6" xfId="29817"/>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2 2" xfId="17153"/>
    <cellStyle name="Currency 14 2 3" xfId="25594"/>
    <cellStyle name="Currency 14 2 4" xfId="34034"/>
    <cellStyle name="Currency 14 3" xfId="8720"/>
    <cellStyle name="Currency 14 3 2" xfId="17156"/>
    <cellStyle name="Currency 14 3 3" xfId="25597"/>
    <cellStyle name="Currency 14 3 4" xfId="34037"/>
    <cellStyle name="Currency 14 4" xfId="12939"/>
    <cellStyle name="Currency 14 5" xfId="21380"/>
    <cellStyle name="Currency 14 6" xfId="298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0 2 2" xfId="15452"/>
    <cellStyle name="Currency 3 2 2 10 2 3" xfId="23893"/>
    <cellStyle name="Currency 3 2 2 10 2 4" xfId="32333"/>
    <cellStyle name="Currency 3 2 2 10 3" xfId="11234"/>
    <cellStyle name="Currency 3 2 2 10 4" xfId="19676"/>
    <cellStyle name="Currency 3 2 2 10 5" xfId="28116"/>
    <cellStyle name="Currency 3 2 2 11" xfId="4633"/>
    <cellStyle name="Currency 3 2 2 11 2" xfId="13069"/>
    <cellStyle name="Currency 3 2 2 11 3" xfId="21510"/>
    <cellStyle name="Currency 3 2 2 11 4" xfId="29950"/>
    <cellStyle name="Currency 3 2 2 12" xfId="8851"/>
    <cellStyle name="Currency 3 2 2 13" xfId="17293"/>
    <cellStyle name="Currency 3 2 2 14" xfId="25733"/>
    <cellStyle name="Currency 3 2 2 2" xfId="179"/>
    <cellStyle name="Currency 3 2 2 2 10" xfId="4634"/>
    <cellStyle name="Currency 3 2 2 2 10 2" xfId="13070"/>
    <cellStyle name="Currency 3 2 2 2 10 3" xfId="21511"/>
    <cellStyle name="Currency 3 2 2 2 10 4" xfId="29951"/>
    <cellStyle name="Currency 3 2 2 2 11" xfId="8852"/>
    <cellStyle name="Currency 3 2 2 2 12" xfId="17294"/>
    <cellStyle name="Currency 3 2 2 2 13" xfId="25734"/>
    <cellStyle name="Currency 3 2 2 2 2" xfId="180"/>
    <cellStyle name="Currency 3 2 2 2 2 10" xfId="8853"/>
    <cellStyle name="Currency 3 2 2 2 2 11" xfId="17295"/>
    <cellStyle name="Currency 3 2 2 2 2 12" xfId="25735"/>
    <cellStyle name="Currency 3 2 2 2 2 2" xfId="710"/>
    <cellStyle name="Currency 3 2 2 2 2 2 2" xfId="2971"/>
    <cellStyle name="Currency 3 2 2 2 2 2 2 2" xfId="7194"/>
    <cellStyle name="Currency 3 2 2 2 2 2 2 2 2" xfId="15630"/>
    <cellStyle name="Currency 3 2 2 2 2 2 2 2 3" xfId="24071"/>
    <cellStyle name="Currency 3 2 2 2 2 2 2 2 4" xfId="32511"/>
    <cellStyle name="Currency 3 2 2 2 2 2 2 3" xfId="11412"/>
    <cellStyle name="Currency 3 2 2 2 2 2 2 4" xfId="19854"/>
    <cellStyle name="Currency 3 2 2 2 2 2 2 5" xfId="28294"/>
    <cellStyle name="Currency 3 2 2 2 2 2 3" xfId="5049"/>
    <cellStyle name="Currency 3 2 2 2 2 2 3 2" xfId="13485"/>
    <cellStyle name="Currency 3 2 2 2 2 2 3 3" xfId="21926"/>
    <cellStyle name="Currency 3 2 2 2 2 2 3 4" xfId="30366"/>
    <cellStyle name="Currency 3 2 2 2 2 2 4" xfId="9267"/>
    <cellStyle name="Currency 3 2 2 2 2 2 5" xfId="17709"/>
    <cellStyle name="Currency 3 2 2 2 2 2 6" xfId="26149"/>
    <cellStyle name="Currency 3 2 2 2 2 3" xfId="1153"/>
    <cellStyle name="Currency 3 2 2 2 2 3 2" xfId="3384"/>
    <cellStyle name="Currency 3 2 2 2 2 3 2 2" xfId="7607"/>
    <cellStyle name="Currency 3 2 2 2 2 3 2 2 2" xfId="16043"/>
    <cellStyle name="Currency 3 2 2 2 2 3 2 2 3" xfId="24484"/>
    <cellStyle name="Currency 3 2 2 2 2 3 2 2 4" xfId="32924"/>
    <cellStyle name="Currency 3 2 2 2 2 3 2 3" xfId="11825"/>
    <cellStyle name="Currency 3 2 2 2 2 3 2 4" xfId="20267"/>
    <cellStyle name="Currency 3 2 2 2 2 3 2 5" xfId="28707"/>
    <cellStyle name="Currency 3 2 2 2 2 3 3" xfId="5462"/>
    <cellStyle name="Currency 3 2 2 2 2 3 3 2" xfId="13898"/>
    <cellStyle name="Currency 3 2 2 2 2 3 3 3" xfId="22339"/>
    <cellStyle name="Currency 3 2 2 2 2 3 3 4" xfId="30779"/>
    <cellStyle name="Currency 3 2 2 2 2 3 4" xfId="9680"/>
    <cellStyle name="Currency 3 2 2 2 2 3 5" xfId="18122"/>
    <cellStyle name="Currency 3 2 2 2 2 3 6" xfId="26562"/>
    <cellStyle name="Currency 3 2 2 2 2 4" xfId="1567"/>
    <cellStyle name="Currency 3 2 2 2 2 4 2" xfId="3797"/>
    <cellStyle name="Currency 3 2 2 2 2 4 2 2" xfId="8020"/>
    <cellStyle name="Currency 3 2 2 2 2 4 2 2 2" xfId="16456"/>
    <cellStyle name="Currency 3 2 2 2 2 4 2 2 3" xfId="24897"/>
    <cellStyle name="Currency 3 2 2 2 2 4 2 2 4" xfId="33337"/>
    <cellStyle name="Currency 3 2 2 2 2 4 2 3" xfId="12238"/>
    <cellStyle name="Currency 3 2 2 2 2 4 2 4" xfId="20680"/>
    <cellStyle name="Currency 3 2 2 2 2 4 2 5" xfId="29120"/>
    <cellStyle name="Currency 3 2 2 2 2 4 3" xfId="5875"/>
    <cellStyle name="Currency 3 2 2 2 2 4 3 2" xfId="14311"/>
    <cellStyle name="Currency 3 2 2 2 2 4 3 3" xfId="22752"/>
    <cellStyle name="Currency 3 2 2 2 2 4 3 4" xfId="31192"/>
    <cellStyle name="Currency 3 2 2 2 2 4 4" xfId="10093"/>
    <cellStyle name="Currency 3 2 2 2 2 4 5" xfId="18535"/>
    <cellStyle name="Currency 3 2 2 2 2 4 6" xfId="26975"/>
    <cellStyle name="Currency 3 2 2 2 2 5" xfId="1981"/>
    <cellStyle name="Currency 3 2 2 2 2 5 2" xfId="4210"/>
    <cellStyle name="Currency 3 2 2 2 2 5 2 2" xfId="8433"/>
    <cellStyle name="Currency 3 2 2 2 2 5 2 2 2" xfId="16869"/>
    <cellStyle name="Currency 3 2 2 2 2 5 2 2 3" xfId="25310"/>
    <cellStyle name="Currency 3 2 2 2 2 5 2 2 4" xfId="33750"/>
    <cellStyle name="Currency 3 2 2 2 2 5 2 3" xfId="12651"/>
    <cellStyle name="Currency 3 2 2 2 2 5 2 4" xfId="21093"/>
    <cellStyle name="Currency 3 2 2 2 2 5 2 5" xfId="29533"/>
    <cellStyle name="Currency 3 2 2 2 2 5 3" xfId="6288"/>
    <cellStyle name="Currency 3 2 2 2 2 5 3 2" xfId="14724"/>
    <cellStyle name="Currency 3 2 2 2 2 5 3 3" xfId="23165"/>
    <cellStyle name="Currency 3 2 2 2 2 5 3 4" xfId="31605"/>
    <cellStyle name="Currency 3 2 2 2 2 5 4" xfId="10506"/>
    <cellStyle name="Currency 3 2 2 2 2 5 5" xfId="18948"/>
    <cellStyle name="Currency 3 2 2 2 2 5 6" xfId="27388"/>
    <cellStyle name="Currency 3 2 2 2 2 6" xfId="2416"/>
    <cellStyle name="Currency 3 2 2 2 2 6 2" xfId="6701"/>
    <cellStyle name="Currency 3 2 2 2 2 6 2 2" xfId="15137"/>
    <cellStyle name="Currency 3 2 2 2 2 6 2 3" xfId="23578"/>
    <cellStyle name="Currency 3 2 2 2 2 6 2 4" xfId="32018"/>
    <cellStyle name="Currency 3 2 2 2 2 6 3" xfId="10919"/>
    <cellStyle name="Currency 3 2 2 2 2 6 4" xfId="19361"/>
    <cellStyle name="Currency 3 2 2 2 2 6 5" xfId="27801"/>
    <cellStyle name="Currency 3 2 2 2 2 7" xfId="2713"/>
    <cellStyle name="Currency 3 2 2 2 2 8" xfId="2794"/>
    <cellStyle name="Currency 3 2 2 2 2 8 2" xfId="7018"/>
    <cellStyle name="Currency 3 2 2 2 2 8 2 2" xfId="15454"/>
    <cellStyle name="Currency 3 2 2 2 2 8 2 3" xfId="23895"/>
    <cellStyle name="Currency 3 2 2 2 2 8 2 4" xfId="32335"/>
    <cellStyle name="Currency 3 2 2 2 2 8 3" xfId="11236"/>
    <cellStyle name="Currency 3 2 2 2 2 8 4" xfId="19678"/>
    <cellStyle name="Currency 3 2 2 2 2 8 5" xfId="28118"/>
    <cellStyle name="Currency 3 2 2 2 2 9" xfId="4635"/>
    <cellStyle name="Currency 3 2 2 2 2 9 2" xfId="13071"/>
    <cellStyle name="Currency 3 2 2 2 2 9 3" xfId="21512"/>
    <cellStyle name="Currency 3 2 2 2 2 9 4" xfId="29952"/>
    <cellStyle name="Currency 3 2 2 2 3" xfId="709"/>
    <cellStyle name="Currency 3 2 2 2 3 2" xfId="2970"/>
    <cellStyle name="Currency 3 2 2 2 3 2 2" xfId="7193"/>
    <cellStyle name="Currency 3 2 2 2 3 2 2 2" xfId="15629"/>
    <cellStyle name="Currency 3 2 2 2 3 2 2 3" xfId="24070"/>
    <cellStyle name="Currency 3 2 2 2 3 2 2 4" xfId="32510"/>
    <cellStyle name="Currency 3 2 2 2 3 2 3" xfId="11411"/>
    <cellStyle name="Currency 3 2 2 2 3 2 4" xfId="19853"/>
    <cellStyle name="Currency 3 2 2 2 3 2 5" xfId="28293"/>
    <cellStyle name="Currency 3 2 2 2 3 3" xfId="5048"/>
    <cellStyle name="Currency 3 2 2 2 3 3 2" xfId="13484"/>
    <cellStyle name="Currency 3 2 2 2 3 3 3" xfId="21925"/>
    <cellStyle name="Currency 3 2 2 2 3 3 4" xfId="30365"/>
    <cellStyle name="Currency 3 2 2 2 3 4" xfId="9266"/>
    <cellStyle name="Currency 3 2 2 2 3 5" xfId="17708"/>
    <cellStyle name="Currency 3 2 2 2 3 6" xfId="26148"/>
    <cellStyle name="Currency 3 2 2 2 4" xfId="1152"/>
    <cellStyle name="Currency 3 2 2 2 4 2" xfId="3383"/>
    <cellStyle name="Currency 3 2 2 2 4 2 2" xfId="7606"/>
    <cellStyle name="Currency 3 2 2 2 4 2 2 2" xfId="16042"/>
    <cellStyle name="Currency 3 2 2 2 4 2 2 3" xfId="24483"/>
    <cellStyle name="Currency 3 2 2 2 4 2 2 4" xfId="32923"/>
    <cellStyle name="Currency 3 2 2 2 4 2 3" xfId="11824"/>
    <cellStyle name="Currency 3 2 2 2 4 2 4" xfId="20266"/>
    <cellStyle name="Currency 3 2 2 2 4 2 5" xfId="28706"/>
    <cellStyle name="Currency 3 2 2 2 4 3" xfId="5461"/>
    <cellStyle name="Currency 3 2 2 2 4 3 2" xfId="13897"/>
    <cellStyle name="Currency 3 2 2 2 4 3 3" xfId="22338"/>
    <cellStyle name="Currency 3 2 2 2 4 3 4" xfId="30778"/>
    <cellStyle name="Currency 3 2 2 2 4 4" xfId="9679"/>
    <cellStyle name="Currency 3 2 2 2 4 5" xfId="18121"/>
    <cellStyle name="Currency 3 2 2 2 4 6" xfId="26561"/>
    <cellStyle name="Currency 3 2 2 2 5" xfId="1566"/>
    <cellStyle name="Currency 3 2 2 2 5 2" xfId="3796"/>
    <cellStyle name="Currency 3 2 2 2 5 2 2" xfId="8019"/>
    <cellStyle name="Currency 3 2 2 2 5 2 2 2" xfId="16455"/>
    <cellStyle name="Currency 3 2 2 2 5 2 2 3" xfId="24896"/>
    <cellStyle name="Currency 3 2 2 2 5 2 2 4" xfId="33336"/>
    <cellStyle name="Currency 3 2 2 2 5 2 3" xfId="12237"/>
    <cellStyle name="Currency 3 2 2 2 5 2 4" xfId="20679"/>
    <cellStyle name="Currency 3 2 2 2 5 2 5" xfId="29119"/>
    <cellStyle name="Currency 3 2 2 2 5 3" xfId="5874"/>
    <cellStyle name="Currency 3 2 2 2 5 3 2" xfId="14310"/>
    <cellStyle name="Currency 3 2 2 2 5 3 3" xfId="22751"/>
    <cellStyle name="Currency 3 2 2 2 5 3 4" xfId="31191"/>
    <cellStyle name="Currency 3 2 2 2 5 4" xfId="10092"/>
    <cellStyle name="Currency 3 2 2 2 5 5" xfId="18534"/>
    <cellStyle name="Currency 3 2 2 2 5 6" xfId="26974"/>
    <cellStyle name="Currency 3 2 2 2 6" xfId="1980"/>
    <cellStyle name="Currency 3 2 2 2 6 2" xfId="4209"/>
    <cellStyle name="Currency 3 2 2 2 6 2 2" xfId="8432"/>
    <cellStyle name="Currency 3 2 2 2 6 2 2 2" xfId="16868"/>
    <cellStyle name="Currency 3 2 2 2 6 2 2 3" xfId="25309"/>
    <cellStyle name="Currency 3 2 2 2 6 2 2 4" xfId="33749"/>
    <cellStyle name="Currency 3 2 2 2 6 2 3" xfId="12650"/>
    <cellStyle name="Currency 3 2 2 2 6 2 4" xfId="21092"/>
    <cellStyle name="Currency 3 2 2 2 6 2 5" xfId="29532"/>
    <cellStyle name="Currency 3 2 2 2 6 3" xfId="6287"/>
    <cellStyle name="Currency 3 2 2 2 6 3 2" xfId="14723"/>
    <cellStyle name="Currency 3 2 2 2 6 3 3" xfId="23164"/>
    <cellStyle name="Currency 3 2 2 2 6 3 4" xfId="31604"/>
    <cellStyle name="Currency 3 2 2 2 6 4" xfId="10505"/>
    <cellStyle name="Currency 3 2 2 2 6 5" xfId="18947"/>
    <cellStyle name="Currency 3 2 2 2 6 6" xfId="27387"/>
    <cellStyle name="Currency 3 2 2 2 7" xfId="2415"/>
    <cellStyle name="Currency 3 2 2 2 7 2" xfId="6700"/>
    <cellStyle name="Currency 3 2 2 2 7 2 2" xfId="15136"/>
    <cellStyle name="Currency 3 2 2 2 7 2 3" xfId="23577"/>
    <cellStyle name="Currency 3 2 2 2 7 2 4" xfId="32017"/>
    <cellStyle name="Currency 3 2 2 2 7 3" xfId="10918"/>
    <cellStyle name="Currency 3 2 2 2 7 4" xfId="19360"/>
    <cellStyle name="Currency 3 2 2 2 7 5" xfId="27800"/>
    <cellStyle name="Currency 3 2 2 2 8" xfId="2712"/>
    <cellStyle name="Currency 3 2 2 2 9" xfId="2793"/>
    <cellStyle name="Currency 3 2 2 2 9 2" xfId="7017"/>
    <cellStyle name="Currency 3 2 2 2 9 2 2" xfId="15453"/>
    <cellStyle name="Currency 3 2 2 2 9 2 3" xfId="23894"/>
    <cellStyle name="Currency 3 2 2 2 9 2 4" xfId="32334"/>
    <cellStyle name="Currency 3 2 2 2 9 3" xfId="11235"/>
    <cellStyle name="Currency 3 2 2 2 9 4" xfId="19677"/>
    <cellStyle name="Currency 3 2 2 2 9 5" xfId="28117"/>
    <cellStyle name="Currency 3 2 2 3" xfId="181"/>
    <cellStyle name="Currency 3 2 2 3 10" xfId="8854"/>
    <cellStyle name="Currency 3 2 2 3 11" xfId="17296"/>
    <cellStyle name="Currency 3 2 2 3 12" xfId="25736"/>
    <cellStyle name="Currency 3 2 2 3 2" xfId="711"/>
    <cellStyle name="Currency 3 2 2 3 2 2" xfId="2972"/>
    <cellStyle name="Currency 3 2 2 3 2 2 2" xfId="7195"/>
    <cellStyle name="Currency 3 2 2 3 2 2 2 2" xfId="15631"/>
    <cellStyle name="Currency 3 2 2 3 2 2 2 3" xfId="24072"/>
    <cellStyle name="Currency 3 2 2 3 2 2 2 4" xfId="32512"/>
    <cellStyle name="Currency 3 2 2 3 2 2 3" xfId="11413"/>
    <cellStyle name="Currency 3 2 2 3 2 2 4" xfId="19855"/>
    <cellStyle name="Currency 3 2 2 3 2 2 5" xfId="28295"/>
    <cellStyle name="Currency 3 2 2 3 2 3" xfId="5050"/>
    <cellStyle name="Currency 3 2 2 3 2 3 2" xfId="13486"/>
    <cellStyle name="Currency 3 2 2 3 2 3 3" xfId="21927"/>
    <cellStyle name="Currency 3 2 2 3 2 3 4" xfId="30367"/>
    <cellStyle name="Currency 3 2 2 3 2 4" xfId="9268"/>
    <cellStyle name="Currency 3 2 2 3 2 5" xfId="17710"/>
    <cellStyle name="Currency 3 2 2 3 2 6" xfId="26150"/>
    <cellStyle name="Currency 3 2 2 3 3" xfId="1154"/>
    <cellStyle name="Currency 3 2 2 3 3 2" xfId="3385"/>
    <cellStyle name="Currency 3 2 2 3 3 2 2" xfId="7608"/>
    <cellStyle name="Currency 3 2 2 3 3 2 2 2" xfId="16044"/>
    <cellStyle name="Currency 3 2 2 3 3 2 2 3" xfId="24485"/>
    <cellStyle name="Currency 3 2 2 3 3 2 2 4" xfId="32925"/>
    <cellStyle name="Currency 3 2 2 3 3 2 3" xfId="11826"/>
    <cellStyle name="Currency 3 2 2 3 3 2 4" xfId="20268"/>
    <cellStyle name="Currency 3 2 2 3 3 2 5" xfId="28708"/>
    <cellStyle name="Currency 3 2 2 3 3 3" xfId="5463"/>
    <cellStyle name="Currency 3 2 2 3 3 3 2" xfId="13899"/>
    <cellStyle name="Currency 3 2 2 3 3 3 3" xfId="22340"/>
    <cellStyle name="Currency 3 2 2 3 3 3 4" xfId="30780"/>
    <cellStyle name="Currency 3 2 2 3 3 4" xfId="9681"/>
    <cellStyle name="Currency 3 2 2 3 3 5" xfId="18123"/>
    <cellStyle name="Currency 3 2 2 3 3 6" xfId="26563"/>
    <cellStyle name="Currency 3 2 2 3 4" xfId="1568"/>
    <cellStyle name="Currency 3 2 2 3 4 2" xfId="3798"/>
    <cellStyle name="Currency 3 2 2 3 4 2 2" xfId="8021"/>
    <cellStyle name="Currency 3 2 2 3 4 2 2 2" xfId="16457"/>
    <cellStyle name="Currency 3 2 2 3 4 2 2 3" xfId="24898"/>
    <cellStyle name="Currency 3 2 2 3 4 2 2 4" xfId="33338"/>
    <cellStyle name="Currency 3 2 2 3 4 2 3" xfId="12239"/>
    <cellStyle name="Currency 3 2 2 3 4 2 4" xfId="20681"/>
    <cellStyle name="Currency 3 2 2 3 4 2 5" xfId="29121"/>
    <cellStyle name="Currency 3 2 2 3 4 3" xfId="5876"/>
    <cellStyle name="Currency 3 2 2 3 4 3 2" xfId="14312"/>
    <cellStyle name="Currency 3 2 2 3 4 3 3" xfId="22753"/>
    <cellStyle name="Currency 3 2 2 3 4 3 4" xfId="31193"/>
    <cellStyle name="Currency 3 2 2 3 4 4" xfId="10094"/>
    <cellStyle name="Currency 3 2 2 3 4 5" xfId="18536"/>
    <cellStyle name="Currency 3 2 2 3 4 6" xfId="26976"/>
    <cellStyle name="Currency 3 2 2 3 5" xfId="1982"/>
    <cellStyle name="Currency 3 2 2 3 5 2" xfId="4211"/>
    <cellStyle name="Currency 3 2 2 3 5 2 2" xfId="8434"/>
    <cellStyle name="Currency 3 2 2 3 5 2 2 2" xfId="16870"/>
    <cellStyle name="Currency 3 2 2 3 5 2 2 3" xfId="25311"/>
    <cellStyle name="Currency 3 2 2 3 5 2 2 4" xfId="33751"/>
    <cellStyle name="Currency 3 2 2 3 5 2 3" xfId="12652"/>
    <cellStyle name="Currency 3 2 2 3 5 2 4" xfId="21094"/>
    <cellStyle name="Currency 3 2 2 3 5 2 5" xfId="29534"/>
    <cellStyle name="Currency 3 2 2 3 5 3" xfId="6289"/>
    <cellStyle name="Currency 3 2 2 3 5 3 2" xfId="14725"/>
    <cellStyle name="Currency 3 2 2 3 5 3 3" xfId="23166"/>
    <cellStyle name="Currency 3 2 2 3 5 3 4" xfId="31606"/>
    <cellStyle name="Currency 3 2 2 3 5 4" xfId="10507"/>
    <cellStyle name="Currency 3 2 2 3 5 5" xfId="18949"/>
    <cellStyle name="Currency 3 2 2 3 5 6" xfId="27389"/>
    <cellStyle name="Currency 3 2 2 3 6" xfId="2417"/>
    <cellStyle name="Currency 3 2 2 3 6 2" xfId="6702"/>
    <cellStyle name="Currency 3 2 2 3 6 2 2" xfId="15138"/>
    <cellStyle name="Currency 3 2 2 3 6 2 3" xfId="23579"/>
    <cellStyle name="Currency 3 2 2 3 6 2 4" xfId="32019"/>
    <cellStyle name="Currency 3 2 2 3 6 3" xfId="10920"/>
    <cellStyle name="Currency 3 2 2 3 6 4" xfId="19362"/>
    <cellStyle name="Currency 3 2 2 3 6 5" xfId="27802"/>
    <cellStyle name="Currency 3 2 2 3 7" xfId="2714"/>
    <cellStyle name="Currency 3 2 2 3 8" xfId="2795"/>
    <cellStyle name="Currency 3 2 2 3 8 2" xfId="7019"/>
    <cellStyle name="Currency 3 2 2 3 8 2 2" xfId="15455"/>
    <cellStyle name="Currency 3 2 2 3 8 2 3" xfId="23896"/>
    <cellStyle name="Currency 3 2 2 3 8 2 4" xfId="32336"/>
    <cellStyle name="Currency 3 2 2 3 8 3" xfId="11237"/>
    <cellStyle name="Currency 3 2 2 3 8 4" xfId="19679"/>
    <cellStyle name="Currency 3 2 2 3 8 5" xfId="28119"/>
    <cellStyle name="Currency 3 2 2 3 9" xfId="4636"/>
    <cellStyle name="Currency 3 2 2 3 9 2" xfId="13072"/>
    <cellStyle name="Currency 3 2 2 3 9 3" xfId="21513"/>
    <cellStyle name="Currency 3 2 2 3 9 4" xfId="29953"/>
    <cellStyle name="Currency 3 2 2 4" xfId="708"/>
    <cellStyle name="Currency 3 2 2 4 2" xfId="2969"/>
    <cellStyle name="Currency 3 2 2 4 2 2" xfId="7192"/>
    <cellStyle name="Currency 3 2 2 4 2 2 2" xfId="15628"/>
    <cellStyle name="Currency 3 2 2 4 2 2 3" xfId="24069"/>
    <cellStyle name="Currency 3 2 2 4 2 2 4" xfId="32509"/>
    <cellStyle name="Currency 3 2 2 4 2 3" xfId="11410"/>
    <cellStyle name="Currency 3 2 2 4 2 4" xfId="19852"/>
    <cellStyle name="Currency 3 2 2 4 2 5" xfId="28292"/>
    <cellStyle name="Currency 3 2 2 4 3" xfId="5047"/>
    <cellStyle name="Currency 3 2 2 4 3 2" xfId="13483"/>
    <cellStyle name="Currency 3 2 2 4 3 3" xfId="21924"/>
    <cellStyle name="Currency 3 2 2 4 3 4" xfId="30364"/>
    <cellStyle name="Currency 3 2 2 4 4" xfId="9265"/>
    <cellStyle name="Currency 3 2 2 4 5" xfId="17707"/>
    <cellStyle name="Currency 3 2 2 4 6" xfId="26147"/>
    <cellStyle name="Currency 3 2 2 5" xfId="1151"/>
    <cellStyle name="Currency 3 2 2 5 2" xfId="3382"/>
    <cellStyle name="Currency 3 2 2 5 2 2" xfId="7605"/>
    <cellStyle name="Currency 3 2 2 5 2 2 2" xfId="16041"/>
    <cellStyle name="Currency 3 2 2 5 2 2 3" xfId="24482"/>
    <cellStyle name="Currency 3 2 2 5 2 2 4" xfId="32922"/>
    <cellStyle name="Currency 3 2 2 5 2 3" xfId="11823"/>
    <cellStyle name="Currency 3 2 2 5 2 4" xfId="20265"/>
    <cellStyle name="Currency 3 2 2 5 2 5" xfId="28705"/>
    <cellStyle name="Currency 3 2 2 5 3" xfId="5460"/>
    <cellStyle name="Currency 3 2 2 5 3 2" xfId="13896"/>
    <cellStyle name="Currency 3 2 2 5 3 3" xfId="22337"/>
    <cellStyle name="Currency 3 2 2 5 3 4" xfId="30777"/>
    <cellStyle name="Currency 3 2 2 5 4" xfId="9678"/>
    <cellStyle name="Currency 3 2 2 5 5" xfId="18120"/>
    <cellStyle name="Currency 3 2 2 5 6" xfId="26560"/>
    <cellStyle name="Currency 3 2 2 6" xfId="1565"/>
    <cellStyle name="Currency 3 2 2 6 2" xfId="3795"/>
    <cellStyle name="Currency 3 2 2 6 2 2" xfId="8018"/>
    <cellStyle name="Currency 3 2 2 6 2 2 2" xfId="16454"/>
    <cellStyle name="Currency 3 2 2 6 2 2 3" xfId="24895"/>
    <cellStyle name="Currency 3 2 2 6 2 2 4" xfId="33335"/>
    <cellStyle name="Currency 3 2 2 6 2 3" xfId="12236"/>
    <cellStyle name="Currency 3 2 2 6 2 4" xfId="20678"/>
    <cellStyle name="Currency 3 2 2 6 2 5" xfId="29118"/>
    <cellStyle name="Currency 3 2 2 6 3" xfId="5873"/>
    <cellStyle name="Currency 3 2 2 6 3 2" xfId="14309"/>
    <cellStyle name="Currency 3 2 2 6 3 3" xfId="22750"/>
    <cellStyle name="Currency 3 2 2 6 3 4" xfId="31190"/>
    <cellStyle name="Currency 3 2 2 6 4" xfId="10091"/>
    <cellStyle name="Currency 3 2 2 6 5" xfId="18533"/>
    <cellStyle name="Currency 3 2 2 6 6" xfId="26973"/>
    <cellStyle name="Currency 3 2 2 7" xfId="1979"/>
    <cellStyle name="Currency 3 2 2 7 2" xfId="4208"/>
    <cellStyle name="Currency 3 2 2 7 2 2" xfId="8431"/>
    <cellStyle name="Currency 3 2 2 7 2 2 2" xfId="16867"/>
    <cellStyle name="Currency 3 2 2 7 2 2 3" xfId="25308"/>
    <cellStyle name="Currency 3 2 2 7 2 2 4" xfId="33748"/>
    <cellStyle name="Currency 3 2 2 7 2 3" xfId="12649"/>
    <cellStyle name="Currency 3 2 2 7 2 4" xfId="21091"/>
    <cellStyle name="Currency 3 2 2 7 2 5" xfId="29531"/>
    <cellStyle name="Currency 3 2 2 7 3" xfId="6286"/>
    <cellStyle name="Currency 3 2 2 7 3 2" xfId="14722"/>
    <cellStyle name="Currency 3 2 2 7 3 3" xfId="23163"/>
    <cellStyle name="Currency 3 2 2 7 3 4" xfId="31603"/>
    <cellStyle name="Currency 3 2 2 7 4" xfId="10504"/>
    <cellStyle name="Currency 3 2 2 7 5" xfId="18946"/>
    <cellStyle name="Currency 3 2 2 7 6" xfId="27386"/>
    <cellStyle name="Currency 3 2 2 8" xfId="2414"/>
    <cellStyle name="Currency 3 2 2 8 2" xfId="6699"/>
    <cellStyle name="Currency 3 2 2 8 2 2" xfId="15135"/>
    <cellStyle name="Currency 3 2 2 8 2 3" xfId="23576"/>
    <cellStyle name="Currency 3 2 2 8 2 4" xfId="32016"/>
    <cellStyle name="Currency 3 2 2 8 3" xfId="10917"/>
    <cellStyle name="Currency 3 2 2 8 4" xfId="19359"/>
    <cellStyle name="Currency 3 2 2 8 5" xfId="27799"/>
    <cellStyle name="Currency 3 2 2 9" xfId="2711"/>
    <cellStyle name="Currency 3 2 3" xfId="182"/>
    <cellStyle name="Currency 3 2 3 10" xfId="4637"/>
    <cellStyle name="Currency 3 2 3 10 2" xfId="13073"/>
    <cellStyle name="Currency 3 2 3 10 3" xfId="21514"/>
    <cellStyle name="Currency 3 2 3 10 4" xfId="29954"/>
    <cellStyle name="Currency 3 2 3 11" xfId="8855"/>
    <cellStyle name="Currency 3 2 3 12" xfId="17297"/>
    <cellStyle name="Currency 3 2 3 13" xfId="25737"/>
    <cellStyle name="Currency 3 2 3 2" xfId="183"/>
    <cellStyle name="Currency 3 2 3 2 10" xfId="8856"/>
    <cellStyle name="Currency 3 2 3 2 11" xfId="17298"/>
    <cellStyle name="Currency 3 2 3 2 12" xfId="25738"/>
    <cellStyle name="Currency 3 2 3 2 2" xfId="713"/>
    <cellStyle name="Currency 3 2 3 2 2 2" xfId="2974"/>
    <cellStyle name="Currency 3 2 3 2 2 2 2" xfId="7197"/>
    <cellStyle name="Currency 3 2 3 2 2 2 2 2" xfId="15633"/>
    <cellStyle name="Currency 3 2 3 2 2 2 2 3" xfId="24074"/>
    <cellStyle name="Currency 3 2 3 2 2 2 2 4" xfId="32514"/>
    <cellStyle name="Currency 3 2 3 2 2 2 3" xfId="11415"/>
    <cellStyle name="Currency 3 2 3 2 2 2 4" xfId="19857"/>
    <cellStyle name="Currency 3 2 3 2 2 2 5" xfId="28297"/>
    <cellStyle name="Currency 3 2 3 2 2 3" xfId="5052"/>
    <cellStyle name="Currency 3 2 3 2 2 3 2" xfId="13488"/>
    <cellStyle name="Currency 3 2 3 2 2 3 3" xfId="21929"/>
    <cellStyle name="Currency 3 2 3 2 2 3 4" xfId="30369"/>
    <cellStyle name="Currency 3 2 3 2 2 4" xfId="9270"/>
    <cellStyle name="Currency 3 2 3 2 2 5" xfId="17712"/>
    <cellStyle name="Currency 3 2 3 2 2 6" xfId="26152"/>
    <cellStyle name="Currency 3 2 3 2 3" xfId="1156"/>
    <cellStyle name="Currency 3 2 3 2 3 2" xfId="3387"/>
    <cellStyle name="Currency 3 2 3 2 3 2 2" xfId="7610"/>
    <cellStyle name="Currency 3 2 3 2 3 2 2 2" xfId="16046"/>
    <cellStyle name="Currency 3 2 3 2 3 2 2 3" xfId="24487"/>
    <cellStyle name="Currency 3 2 3 2 3 2 2 4" xfId="32927"/>
    <cellStyle name="Currency 3 2 3 2 3 2 3" xfId="11828"/>
    <cellStyle name="Currency 3 2 3 2 3 2 4" xfId="20270"/>
    <cellStyle name="Currency 3 2 3 2 3 2 5" xfId="28710"/>
    <cellStyle name="Currency 3 2 3 2 3 3" xfId="5465"/>
    <cellStyle name="Currency 3 2 3 2 3 3 2" xfId="13901"/>
    <cellStyle name="Currency 3 2 3 2 3 3 3" xfId="22342"/>
    <cellStyle name="Currency 3 2 3 2 3 3 4" xfId="30782"/>
    <cellStyle name="Currency 3 2 3 2 3 4" xfId="9683"/>
    <cellStyle name="Currency 3 2 3 2 3 5" xfId="18125"/>
    <cellStyle name="Currency 3 2 3 2 3 6" xfId="26565"/>
    <cellStyle name="Currency 3 2 3 2 4" xfId="1570"/>
    <cellStyle name="Currency 3 2 3 2 4 2" xfId="3800"/>
    <cellStyle name="Currency 3 2 3 2 4 2 2" xfId="8023"/>
    <cellStyle name="Currency 3 2 3 2 4 2 2 2" xfId="16459"/>
    <cellStyle name="Currency 3 2 3 2 4 2 2 3" xfId="24900"/>
    <cellStyle name="Currency 3 2 3 2 4 2 2 4" xfId="33340"/>
    <cellStyle name="Currency 3 2 3 2 4 2 3" xfId="12241"/>
    <cellStyle name="Currency 3 2 3 2 4 2 4" xfId="20683"/>
    <cellStyle name="Currency 3 2 3 2 4 2 5" xfId="29123"/>
    <cellStyle name="Currency 3 2 3 2 4 3" xfId="5878"/>
    <cellStyle name="Currency 3 2 3 2 4 3 2" xfId="14314"/>
    <cellStyle name="Currency 3 2 3 2 4 3 3" xfId="22755"/>
    <cellStyle name="Currency 3 2 3 2 4 3 4" xfId="31195"/>
    <cellStyle name="Currency 3 2 3 2 4 4" xfId="10096"/>
    <cellStyle name="Currency 3 2 3 2 4 5" xfId="18538"/>
    <cellStyle name="Currency 3 2 3 2 4 6" xfId="26978"/>
    <cellStyle name="Currency 3 2 3 2 5" xfId="1984"/>
    <cellStyle name="Currency 3 2 3 2 5 2" xfId="4213"/>
    <cellStyle name="Currency 3 2 3 2 5 2 2" xfId="8436"/>
    <cellStyle name="Currency 3 2 3 2 5 2 2 2" xfId="16872"/>
    <cellStyle name="Currency 3 2 3 2 5 2 2 3" xfId="25313"/>
    <cellStyle name="Currency 3 2 3 2 5 2 2 4" xfId="33753"/>
    <cellStyle name="Currency 3 2 3 2 5 2 3" xfId="12654"/>
    <cellStyle name="Currency 3 2 3 2 5 2 4" xfId="21096"/>
    <cellStyle name="Currency 3 2 3 2 5 2 5" xfId="29536"/>
    <cellStyle name="Currency 3 2 3 2 5 3" xfId="6291"/>
    <cellStyle name="Currency 3 2 3 2 5 3 2" xfId="14727"/>
    <cellStyle name="Currency 3 2 3 2 5 3 3" xfId="23168"/>
    <cellStyle name="Currency 3 2 3 2 5 3 4" xfId="31608"/>
    <cellStyle name="Currency 3 2 3 2 5 4" xfId="10509"/>
    <cellStyle name="Currency 3 2 3 2 5 5" xfId="18951"/>
    <cellStyle name="Currency 3 2 3 2 5 6" xfId="27391"/>
    <cellStyle name="Currency 3 2 3 2 6" xfId="2419"/>
    <cellStyle name="Currency 3 2 3 2 6 2" xfId="6704"/>
    <cellStyle name="Currency 3 2 3 2 6 2 2" xfId="15140"/>
    <cellStyle name="Currency 3 2 3 2 6 2 3" xfId="23581"/>
    <cellStyle name="Currency 3 2 3 2 6 2 4" xfId="32021"/>
    <cellStyle name="Currency 3 2 3 2 6 3" xfId="10922"/>
    <cellStyle name="Currency 3 2 3 2 6 4" xfId="19364"/>
    <cellStyle name="Currency 3 2 3 2 6 5" xfId="27804"/>
    <cellStyle name="Currency 3 2 3 2 7" xfId="2716"/>
    <cellStyle name="Currency 3 2 3 2 8" xfId="2797"/>
    <cellStyle name="Currency 3 2 3 2 8 2" xfId="7021"/>
    <cellStyle name="Currency 3 2 3 2 8 2 2" xfId="15457"/>
    <cellStyle name="Currency 3 2 3 2 8 2 3" xfId="23898"/>
    <cellStyle name="Currency 3 2 3 2 8 2 4" xfId="32338"/>
    <cellStyle name="Currency 3 2 3 2 8 3" xfId="11239"/>
    <cellStyle name="Currency 3 2 3 2 8 4" xfId="19681"/>
    <cellStyle name="Currency 3 2 3 2 8 5" xfId="28121"/>
    <cellStyle name="Currency 3 2 3 2 9" xfId="4638"/>
    <cellStyle name="Currency 3 2 3 2 9 2" xfId="13074"/>
    <cellStyle name="Currency 3 2 3 2 9 3" xfId="21515"/>
    <cellStyle name="Currency 3 2 3 2 9 4" xfId="29955"/>
    <cellStyle name="Currency 3 2 3 3" xfId="712"/>
    <cellStyle name="Currency 3 2 3 3 2" xfId="2973"/>
    <cellStyle name="Currency 3 2 3 3 2 2" xfId="7196"/>
    <cellStyle name="Currency 3 2 3 3 2 2 2" xfId="15632"/>
    <cellStyle name="Currency 3 2 3 3 2 2 3" xfId="24073"/>
    <cellStyle name="Currency 3 2 3 3 2 2 4" xfId="32513"/>
    <cellStyle name="Currency 3 2 3 3 2 3" xfId="11414"/>
    <cellStyle name="Currency 3 2 3 3 2 4" xfId="19856"/>
    <cellStyle name="Currency 3 2 3 3 2 5" xfId="28296"/>
    <cellStyle name="Currency 3 2 3 3 3" xfId="5051"/>
    <cellStyle name="Currency 3 2 3 3 3 2" xfId="13487"/>
    <cellStyle name="Currency 3 2 3 3 3 3" xfId="21928"/>
    <cellStyle name="Currency 3 2 3 3 3 4" xfId="30368"/>
    <cellStyle name="Currency 3 2 3 3 4" xfId="9269"/>
    <cellStyle name="Currency 3 2 3 3 5" xfId="17711"/>
    <cellStyle name="Currency 3 2 3 3 6" xfId="26151"/>
    <cellStyle name="Currency 3 2 3 4" xfId="1155"/>
    <cellStyle name="Currency 3 2 3 4 2" xfId="3386"/>
    <cellStyle name="Currency 3 2 3 4 2 2" xfId="7609"/>
    <cellStyle name="Currency 3 2 3 4 2 2 2" xfId="16045"/>
    <cellStyle name="Currency 3 2 3 4 2 2 3" xfId="24486"/>
    <cellStyle name="Currency 3 2 3 4 2 2 4" xfId="32926"/>
    <cellStyle name="Currency 3 2 3 4 2 3" xfId="11827"/>
    <cellStyle name="Currency 3 2 3 4 2 4" xfId="20269"/>
    <cellStyle name="Currency 3 2 3 4 2 5" xfId="28709"/>
    <cellStyle name="Currency 3 2 3 4 3" xfId="5464"/>
    <cellStyle name="Currency 3 2 3 4 3 2" xfId="13900"/>
    <cellStyle name="Currency 3 2 3 4 3 3" xfId="22341"/>
    <cellStyle name="Currency 3 2 3 4 3 4" xfId="30781"/>
    <cellStyle name="Currency 3 2 3 4 4" xfId="9682"/>
    <cellStyle name="Currency 3 2 3 4 5" xfId="18124"/>
    <cellStyle name="Currency 3 2 3 4 6" xfId="26564"/>
    <cellStyle name="Currency 3 2 3 5" xfId="1569"/>
    <cellStyle name="Currency 3 2 3 5 2" xfId="3799"/>
    <cellStyle name="Currency 3 2 3 5 2 2" xfId="8022"/>
    <cellStyle name="Currency 3 2 3 5 2 2 2" xfId="16458"/>
    <cellStyle name="Currency 3 2 3 5 2 2 3" xfId="24899"/>
    <cellStyle name="Currency 3 2 3 5 2 2 4" xfId="33339"/>
    <cellStyle name="Currency 3 2 3 5 2 3" xfId="12240"/>
    <cellStyle name="Currency 3 2 3 5 2 4" xfId="20682"/>
    <cellStyle name="Currency 3 2 3 5 2 5" xfId="29122"/>
    <cellStyle name="Currency 3 2 3 5 3" xfId="5877"/>
    <cellStyle name="Currency 3 2 3 5 3 2" xfId="14313"/>
    <cellStyle name="Currency 3 2 3 5 3 3" xfId="22754"/>
    <cellStyle name="Currency 3 2 3 5 3 4" xfId="31194"/>
    <cellStyle name="Currency 3 2 3 5 4" xfId="10095"/>
    <cellStyle name="Currency 3 2 3 5 5" xfId="18537"/>
    <cellStyle name="Currency 3 2 3 5 6" xfId="26977"/>
    <cellStyle name="Currency 3 2 3 6" xfId="1983"/>
    <cellStyle name="Currency 3 2 3 6 2" xfId="4212"/>
    <cellStyle name="Currency 3 2 3 6 2 2" xfId="8435"/>
    <cellStyle name="Currency 3 2 3 6 2 2 2" xfId="16871"/>
    <cellStyle name="Currency 3 2 3 6 2 2 3" xfId="25312"/>
    <cellStyle name="Currency 3 2 3 6 2 2 4" xfId="33752"/>
    <cellStyle name="Currency 3 2 3 6 2 3" xfId="12653"/>
    <cellStyle name="Currency 3 2 3 6 2 4" xfId="21095"/>
    <cellStyle name="Currency 3 2 3 6 2 5" xfId="29535"/>
    <cellStyle name="Currency 3 2 3 6 3" xfId="6290"/>
    <cellStyle name="Currency 3 2 3 6 3 2" xfId="14726"/>
    <cellStyle name="Currency 3 2 3 6 3 3" xfId="23167"/>
    <cellStyle name="Currency 3 2 3 6 3 4" xfId="31607"/>
    <cellStyle name="Currency 3 2 3 6 4" xfId="10508"/>
    <cellStyle name="Currency 3 2 3 6 5" xfId="18950"/>
    <cellStyle name="Currency 3 2 3 6 6" xfId="27390"/>
    <cellStyle name="Currency 3 2 3 7" xfId="2418"/>
    <cellStyle name="Currency 3 2 3 7 2" xfId="6703"/>
    <cellStyle name="Currency 3 2 3 7 2 2" xfId="15139"/>
    <cellStyle name="Currency 3 2 3 7 2 3" xfId="23580"/>
    <cellStyle name="Currency 3 2 3 7 2 4" xfId="32020"/>
    <cellStyle name="Currency 3 2 3 7 3" xfId="10921"/>
    <cellStyle name="Currency 3 2 3 7 4" xfId="19363"/>
    <cellStyle name="Currency 3 2 3 7 5" xfId="27803"/>
    <cellStyle name="Currency 3 2 3 8" xfId="2715"/>
    <cellStyle name="Currency 3 2 3 9" xfId="2796"/>
    <cellStyle name="Currency 3 2 3 9 2" xfId="7020"/>
    <cellStyle name="Currency 3 2 3 9 2 2" xfId="15456"/>
    <cellStyle name="Currency 3 2 3 9 2 3" xfId="23897"/>
    <cellStyle name="Currency 3 2 3 9 2 4" xfId="32337"/>
    <cellStyle name="Currency 3 2 3 9 3" xfId="11238"/>
    <cellStyle name="Currency 3 2 3 9 4" xfId="19680"/>
    <cellStyle name="Currency 3 2 3 9 5" xfId="28120"/>
    <cellStyle name="Currency 3 2 4" xfId="184"/>
    <cellStyle name="Currency 3 2 4 10" xfId="8857"/>
    <cellStyle name="Currency 3 2 4 11" xfId="17299"/>
    <cellStyle name="Currency 3 2 4 12" xfId="25739"/>
    <cellStyle name="Currency 3 2 4 2" xfId="714"/>
    <cellStyle name="Currency 3 2 4 2 2" xfId="2975"/>
    <cellStyle name="Currency 3 2 4 2 2 2" xfId="7198"/>
    <cellStyle name="Currency 3 2 4 2 2 2 2" xfId="15634"/>
    <cellStyle name="Currency 3 2 4 2 2 2 3" xfId="24075"/>
    <cellStyle name="Currency 3 2 4 2 2 2 4" xfId="32515"/>
    <cellStyle name="Currency 3 2 4 2 2 3" xfId="11416"/>
    <cellStyle name="Currency 3 2 4 2 2 4" xfId="19858"/>
    <cellStyle name="Currency 3 2 4 2 2 5" xfId="28298"/>
    <cellStyle name="Currency 3 2 4 2 3" xfId="5053"/>
    <cellStyle name="Currency 3 2 4 2 3 2" xfId="13489"/>
    <cellStyle name="Currency 3 2 4 2 3 3" xfId="21930"/>
    <cellStyle name="Currency 3 2 4 2 3 4" xfId="30370"/>
    <cellStyle name="Currency 3 2 4 2 4" xfId="9271"/>
    <cellStyle name="Currency 3 2 4 2 5" xfId="17713"/>
    <cellStyle name="Currency 3 2 4 2 6" xfId="26153"/>
    <cellStyle name="Currency 3 2 4 3" xfId="1157"/>
    <cellStyle name="Currency 3 2 4 3 2" xfId="3388"/>
    <cellStyle name="Currency 3 2 4 3 2 2" xfId="7611"/>
    <cellStyle name="Currency 3 2 4 3 2 2 2" xfId="16047"/>
    <cellStyle name="Currency 3 2 4 3 2 2 3" xfId="24488"/>
    <cellStyle name="Currency 3 2 4 3 2 2 4" xfId="32928"/>
    <cellStyle name="Currency 3 2 4 3 2 3" xfId="11829"/>
    <cellStyle name="Currency 3 2 4 3 2 4" xfId="20271"/>
    <cellStyle name="Currency 3 2 4 3 2 5" xfId="28711"/>
    <cellStyle name="Currency 3 2 4 3 3" xfId="5466"/>
    <cellStyle name="Currency 3 2 4 3 3 2" xfId="13902"/>
    <cellStyle name="Currency 3 2 4 3 3 3" xfId="22343"/>
    <cellStyle name="Currency 3 2 4 3 3 4" xfId="30783"/>
    <cellStyle name="Currency 3 2 4 3 4" xfId="9684"/>
    <cellStyle name="Currency 3 2 4 3 5" xfId="18126"/>
    <cellStyle name="Currency 3 2 4 3 6" xfId="26566"/>
    <cellStyle name="Currency 3 2 4 4" xfId="1571"/>
    <cellStyle name="Currency 3 2 4 4 2" xfId="3801"/>
    <cellStyle name="Currency 3 2 4 4 2 2" xfId="8024"/>
    <cellStyle name="Currency 3 2 4 4 2 2 2" xfId="16460"/>
    <cellStyle name="Currency 3 2 4 4 2 2 3" xfId="24901"/>
    <cellStyle name="Currency 3 2 4 4 2 2 4" xfId="33341"/>
    <cellStyle name="Currency 3 2 4 4 2 3" xfId="12242"/>
    <cellStyle name="Currency 3 2 4 4 2 4" xfId="20684"/>
    <cellStyle name="Currency 3 2 4 4 2 5" xfId="29124"/>
    <cellStyle name="Currency 3 2 4 4 3" xfId="5879"/>
    <cellStyle name="Currency 3 2 4 4 3 2" xfId="14315"/>
    <cellStyle name="Currency 3 2 4 4 3 3" xfId="22756"/>
    <cellStyle name="Currency 3 2 4 4 3 4" xfId="31196"/>
    <cellStyle name="Currency 3 2 4 4 4" xfId="10097"/>
    <cellStyle name="Currency 3 2 4 4 5" xfId="18539"/>
    <cellStyle name="Currency 3 2 4 4 6" xfId="26979"/>
    <cellStyle name="Currency 3 2 4 5" xfId="1985"/>
    <cellStyle name="Currency 3 2 4 5 2" xfId="4214"/>
    <cellStyle name="Currency 3 2 4 5 2 2" xfId="8437"/>
    <cellStyle name="Currency 3 2 4 5 2 2 2" xfId="16873"/>
    <cellStyle name="Currency 3 2 4 5 2 2 3" xfId="25314"/>
    <cellStyle name="Currency 3 2 4 5 2 2 4" xfId="33754"/>
    <cellStyle name="Currency 3 2 4 5 2 3" xfId="12655"/>
    <cellStyle name="Currency 3 2 4 5 2 4" xfId="21097"/>
    <cellStyle name="Currency 3 2 4 5 2 5" xfId="29537"/>
    <cellStyle name="Currency 3 2 4 5 3" xfId="6292"/>
    <cellStyle name="Currency 3 2 4 5 3 2" xfId="14728"/>
    <cellStyle name="Currency 3 2 4 5 3 3" xfId="23169"/>
    <cellStyle name="Currency 3 2 4 5 3 4" xfId="31609"/>
    <cellStyle name="Currency 3 2 4 5 4" xfId="10510"/>
    <cellStyle name="Currency 3 2 4 5 5" xfId="18952"/>
    <cellStyle name="Currency 3 2 4 5 6" xfId="27392"/>
    <cellStyle name="Currency 3 2 4 6" xfId="2420"/>
    <cellStyle name="Currency 3 2 4 6 2" xfId="6705"/>
    <cellStyle name="Currency 3 2 4 6 2 2" xfId="15141"/>
    <cellStyle name="Currency 3 2 4 6 2 3" xfId="23582"/>
    <cellStyle name="Currency 3 2 4 6 2 4" xfId="32022"/>
    <cellStyle name="Currency 3 2 4 6 3" xfId="10923"/>
    <cellStyle name="Currency 3 2 4 6 4" xfId="19365"/>
    <cellStyle name="Currency 3 2 4 6 5" xfId="27805"/>
    <cellStyle name="Currency 3 2 4 7" xfId="2717"/>
    <cellStyle name="Currency 3 2 4 8" xfId="2798"/>
    <cellStyle name="Currency 3 2 4 8 2" xfId="7022"/>
    <cellStyle name="Currency 3 2 4 8 2 2" xfId="15458"/>
    <cellStyle name="Currency 3 2 4 8 2 3" xfId="23899"/>
    <cellStyle name="Currency 3 2 4 8 2 4" xfId="32339"/>
    <cellStyle name="Currency 3 2 4 8 3" xfId="11240"/>
    <cellStyle name="Currency 3 2 4 8 4" xfId="19682"/>
    <cellStyle name="Currency 3 2 4 8 5" xfId="28122"/>
    <cellStyle name="Currency 3 2 4 9" xfId="4639"/>
    <cellStyle name="Currency 3 2 4 9 2" xfId="13075"/>
    <cellStyle name="Currency 3 2 4 9 3" xfId="21516"/>
    <cellStyle name="Currency 3 2 4 9 4" xfId="29956"/>
    <cellStyle name="Currency 3 2 5" xfId="185"/>
    <cellStyle name="Currency 3 2 5 10" xfId="8858"/>
    <cellStyle name="Currency 3 2 5 11" xfId="17300"/>
    <cellStyle name="Currency 3 2 5 12" xfId="25740"/>
    <cellStyle name="Currency 3 2 5 2" xfId="715"/>
    <cellStyle name="Currency 3 2 5 2 2" xfId="2976"/>
    <cellStyle name="Currency 3 2 5 2 2 2" xfId="7199"/>
    <cellStyle name="Currency 3 2 5 2 2 2 2" xfId="15635"/>
    <cellStyle name="Currency 3 2 5 2 2 2 3" xfId="24076"/>
    <cellStyle name="Currency 3 2 5 2 2 2 4" xfId="32516"/>
    <cellStyle name="Currency 3 2 5 2 2 3" xfId="11417"/>
    <cellStyle name="Currency 3 2 5 2 2 4" xfId="19859"/>
    <cellStyle name="Currency 3 2 5 2 2 5" xfId="28299"/>
    <cellStyle name="Currency 3 2 5 2 3" xfId="5054"/>
    <cellStyle name="Currency 3 2 5 2 3 2" xfId="13490"/>
    <cellStyle name="Currency 3 2 5 2 3 3" xfId="21931"/>
    <cellStyle name="Currency 3 2 5 2 3 4" xfId="30371"/>
    <cellStyle name="Currency 3 2 5 2 4" xfId="9272"/>
    <cellStyle name="Currency 3 2 5 2 5" xfId="17714"/>
    <cellStyle name="Currency 3 2 5 2 6" xfId="26154"/>
    <cellStyle name="Currency 3 2 5 3" xfId="1158"/>
    <cellStyle name="Currency 3 2 5 3 2" xfId="3389"/>
    <cellStyle name="Currency 3 2 5 3 2 2" xfId="7612"/>
    <cellStyle name="Currency 3 2 5 3 2 2 2" xfId="16048"/>
    <cellStyle name="Currency 3 2 5 3 2 2 3" xfId="24489"/>
    <cellStyle name="Currency 3 2 5 3 2 2 4" xfId="32929"/>
    <cellStyle name="Currency 3 2 5 3 2 3" xfId="11830"/>
    <cellStyle name="Currency 3 2 5 3 2 4" xfId="20272"/>
    <cellStyle name="Currency 3 2 5 3 2 5" xfId="28712"/>
    <cellStyle name="Currency 3 2 5 3 3" xfId="5467"/>
    <cellStyle name="Currency 3 2 5 3 3 2" xfId="13903"/>
    <cellStyle name="Currency 3 2 5 3 3 3" xfId="22344"/>
    <cellStyle name="Currency 3 2 5 3 3 4" xfId="30784"/>
    <cellStyle name="Currency 3 2 5 3 4" xfId="9685"/>
    <cellStyle name="Currency 3 2 5 3 5" xfId="18127"/>
    <cellStyle name="Currency 3 2 5 3 6" xfId="26567"/>
    <cellStyle name="Currency 3 2 5 4" xfId="1572"/>
    <cellStyle name="Currency 3 2 5 4 2" xfId="3802"/>
    <cellStyle name="Currency 3 2 5 4 2 2" xfId="8025"/>
    <cellStyle name="Currency 3 2 5 4 2 2 2" xfId="16461"/>
    <cellStyle name="Currency 3 2 5 4 2 2 3" xfId="24902"/>
    <cellStyle name="Currency 3 2 5 4 2 2 4" xfId="33342"/>
    <cellStyle name="Currency 3 2 5 4 2 3" xfId="12243"/>
    <cellStyle name="Currency 3 2 5 4 2 4" xfId="20685"/>
    <cellStyle name="Currency 3 2 5 4 2 5" xfId="29125"/>
    <cellStyle name="Currency 3 2 5 4 3" xfId="5880"/>
    <cellStyle name="Currency 3 2 5 4 3 2" xfId="14316"/>
    <cellStyle name="Currency 3 2 5 4 3 3" xfId="22757"/>
    <cellStyle name="Currency 3 2 5 4 3 4" xfId="31197"/>
    <cellStyle name="Currency 3 2 5 4 4" xfId="10098"/>
    <cellStyle name="Currency 3 2 5 4 5" xfId="18540"/>
    <cellStyle name="Currency 3 2 5 4 6" xfId="26980"/>
    <cellStyle name="Currency 3 2 5 5" xfId="1986"/>
    <cellStyle name="Currency 3 2 5 5 2" xfId="4215"/>
    <cellStyle name="Currency 3 2 5 5 2 2" xfId="8438"/>
    <cellStyle name="Currency 3 2 5 5 2 2 2" xfId="16874"/>
    <cellStyle name="Currency 3 2 5 5 2 2 3" xfId="25315"/>
    <cellStyle name="Currency 3 2 5 5 2 2 4" xfId="33755"/>
    <cellStyle name="Currency 3 2 5 5 2 3" xfId="12656"/>
    <cellStyle name="Currency 3 2 5 5 2 4" xfId="21098"/>
    <cellStyle name="Currency 3 2 5 5 2 5" xfId="29538"/>
    <cellStyle name="Currency 3 2 5 5 3" xfId="6293"/>
    <cellStyle name="Currency 3 2 5 5 3 2" xfId="14729"/>
    <cellStyle name="Currency 3 2 5 5 3 3" xfId="23170"/>
    <cellStyle name="Currency 3 2 5 5 3 4" xfId="31610"/>
    <cellStyle name="Currency 3 2 5 5 4" xfId="10511"/>
    <cellStyle name="Currency 3 2 5 5 5" xfId="18953"/>
    <cellStyle name="Currency 3 2 5 5 6" xfId="27393"/>
    <cellStyle name="Currency 3 2 5 6" xfId="2421"/>
    <cellStyle name="Currency 3 2 5 6 2" xfId="6706"/>
    <cellStyle name="Currency 3 2 5 6 2 2" xfId="15142"/>
    <cellStyle name="Currency 3 2 5 6 2 3" xfId="23583"/>
    <cellStyle name="Currency 3 2 5 6 2 4" xfId="32023"/>
    <cellStyle name="Currency 3 2 5 6 3" xfId="10924"/>
    <cellStyle name="Currency 3 2 5 6 4" xfId="19366"/>
    <cellStyle name="Currency 3 2 5 6 5" xfId="27806"/>
    <cellStyle name="Currency 3 2 5 7" xfId="2718"/>
    <cellStyle name="Currency 3 2 5 8" xfId="2799"/>
    <cellStyle name="Currency 3 2 5 8 2" xfId="7023"/>
    <cellStyle name="Currency 3 2 5 8 2 2" xfId="15459"/>
    <cellStyle name="Currency 3 2 5 8 2 3" xfId="23900"/>
    <cellStyle name="Currency 3 2 5 8 2 4" xfId="32340"/>
    <cellStyle name="Currency 3 2 5 8 3" xfId="11241"/>
    <cellStyle name="Currency 3 2 5 8 4" xfId="19683"/>
    <cellStyle name="Currency 3 2 5 8 5" xfId="28123"/>
    <cellStyle name="Currency 3 2 5 9" xfId="4640"/>
    <cellStyle name="Currency 3 2 5 9 2" xfId="13076"/>
    <cellStyle name="Currency 3 2 5 9 3" xfId="21517"/>
    <cellStyle name="Currency 3 2 5 9 4" xfId="29957"/>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0 2 2" xfId="15460"/>
    <cellStyle name="Currency 5 2 2 2 10 2 3" xfId="23901"/>
    <cellStyle name="Currency 5 2 2 2 10 2 4" xfId="32341"/>
    <cellStyle name="Currency 5 2 2 2 10 3" xfId="11242"/>
    <cellStyle name="Currency 5 2 2 2 10 4" xfId="19684"/>
    <cellStyle name="Currency 5 2 2 2 10 5" xfId="28124"/>
    <cellStyle name="Currency 5 2 2 2 11" xfId="4641"/>
    <cellStyle name="Currency 5 2 2 2 11 2" xfId="13077"/>
    <cellStyle name="Currency 5 2 2 2 11 3" xfId="21518"/>
    <cellStyle name="Currency 5 2 2 2 11 4" xfId="29958"/>
    <cellStyle name="Currency 5 2 2 2 12" xfId="8859"/>
    <cellStyle name="Currency 5 2 2 2 13" xfId="17301"/>
    <cellStyle name="Currency 5 2 2 2 14" xfId="25741"/>
    <cellStyle name="Currency 5 2 2 2 2" xfId="197"/>
    <cellStyle name="Currency 5 2 2 2 2 10" xfId="4642"/>
    <cellStyle name="Currency 5 2 2 2 2 10 2" xfId="13078"/>
    <cellStyle name="Currency 5 2 2 2 2 10 3" xfId="21519"/>
    <cellStyle name="Currency 5 2 2 2 2 10 4" xfId="29959"/>
    <cellStyle name="Currency 5 2 2 2 2 11" xfId="8860"/>
    <cellStyle name="Currency 5 2 2 2 2 12" xfId="17302"/>
    <cellStyle name="Currency 5 2 2 2 2 13" xfId="25742"/>
    <cellStyle name="Currency 5 2 2 2 2 2" xfId="198"/>
    <cellStyle name="Currency 5 2 2 2 2 2 10" xfId="8861"/>
    <cellStyle name="Currency 5 2 2 2 2 2 11" xfId="17303"/>
    <cellStyle name="Currency 5 2 2 2 2 2 12" xfId="25743"/>
    <cellStyle name="Currency 5 2 2 2 2 2 2" xfId="725"/>
    <cellStyle name="Currency 5 2 2 2 2 2 2 2" xfId="2979"/>
    <cellStyle name="Currency 5 2 2 2 2 2 2 2 2" xfId="7202"/>
    <cellStyle name="Currency 5 2 2 2 2 2 2 2 2 2" xfId="15638"/>
    <cellStyle name="Currency 5 2 2 2 2 2 2 2 2 3" xfId="24079"/>
    <cellStyle name="Currency 5 2 2 2 2 2 2 2 2 4" xfId="32519"/>
    <cellStyle name="Currency 5 2 2 2 2 2 2 2 3" xfId="11420"/>
    <cellStyle name="Currency 5 2 2 2 2 2 2 2 4" xfId="19862"/>
    <cellStyle name="Currency 5 2 2 2 2 2 2 2 5" xfId="28302"/>
    <cellStyle name="Currency 5 2 2 2 2 2 2 3" xfId="5057"/>
    <cellStyle name="Currency 5 2 2 2 2 2 2 3 2" xfId="13493"/>
    <cellStyle name="Currency 5 2 2 2 2 2 2 3 3" xfId="21934"/>
    <cellStyle name="Currency 5 2 2 2 2 2 2 3 4" xfId="30374"/>
    <cellStyle name="Currency 5 2 2 2 2 2 2 4" xfId="9275"/>
    <cellStyle name="Currency 5 2 2 2 2 2 2 5" xfId="17717"/>
    <cellStyle name="Currency 5 2 2 2 2 2 2 6" xfId="26157"/>
    <cellStyle name="Currency 5 2 2 2 2 2 3" xfId="1161"/>
    <cellStyle name="Currency 5 2 2 2 2 2 3 2" xfId="3392"/>
    <cellStyle name="Currency 5 2 2 2 2 2 3 2 2" xfId="7615"/>
    <cellStyle name="Currency 5 2 2 2 2 2 3 2 2 2" xfId="16051"/>
    <cellStyle name="Currency 5 2 2 2 2 2 3 2 2 3" xfId="24492"/>
    <cellStyle name="Currency 5 2 2 2 2 2 3 2 2 4" xfId="32932"/>
    <cellStyle name="Currency 5 2 2 2 2 2 3 2 3" xfId="11833"/>
    <cellStyle name="Currency 5 2 2 2 2 2 3 2 4" xfId="20275"/>
    <cellStyle name="Currency 5 2 2 2 2 2 3 2 5" xfId="28715"/>
    <cellStyle name="Currency 5 2 2 2 2 2 3 3" xfId="5470"/>
    <cellStyle name="Currency 5 2 2 2 2 2 3 3 2" xfId="13906"/>
    <cellStyle name="Currency 5 2 2 2 2 2 3 3 3" xfId="22347"/>
    <cellStyle name="Currency 5 2 2 2 2 2 3 3 4" xfId="30787"/>
    <cellStyle name="Currency 5 2 2 2 2 2 3 4" xfId="9688"/>
    <cellStyle name="Currency 5 2 2 2 2 2 3 5" xfId="18130"/>
    <cellStyle name="Currency 5 2 2 2 2 2 3 6" xfId="26570"/>
    <cellStyle name="Currency 5 2 2 2 2 2 4" xfId="1575"/>
    <cellStyle name="Currency 5 2 2 2 2 2 4 2" xfId="3805"/>
    <cellStyle name="Currency 5 2 2 2 2 2 4 2 2" xfId="8028"/>
    <cellStyle name="Currency 5 2 2 2 2 2 4 2 2 2" xfId="16464"/>
    <cellStyle name="Currency 5 2 2 2 2 2 4 2 2 3" xfId="24905"/>
    <cellStyle name="Currency 5 2 2 2 2 2 4 2 2 4" xfId="33345"/>
    <cellStyle name="Currency 5 2 2 2 2 2 4 2 3" xfId="12246"/>
    <cellStyle name="Currency 5 2 2 2 2 2 4 2 4" xfId="20688"/>
    <cellStyle name="Currency 5 2 2 2 2 2 4 2 5" xfId="29128"/>
    <cellStyle name="Currency 5 2 2 2 2 2 4 3" xfId="5883"/>
    <cellStyle name="Currency 5 2 2 2 2 2 4 3 2" xfId="14319"/>
    <cellStyle name="Currency 5 2 2 2 2 2 4 3 3" xfId="22760"/>
    <cellStyle name="Currency 5 2 2 2 2 2 4 3 4" xfId="31200"/>
    <cellStyle name="Currency 5 2 2 2 2 2 4 4" xfId="10101"/>
    <cellStyle name="Currency 5 2 2 2 2 2 4 5" xfId="18543"/>
    <cellStyle name="Currency 5 2 2 2 2 2 4 6" xfId="26983"/>
    <cellStyle name="Currency 5 2 2 2 2 2 5" xfId="1989"/>
    <cellStyle name="Currency 5 2 2 2 2 2 5 2" xfId="4218"/>
    <cellStyle name="Currency 5 2 2 2 2 2 5 2 2" xfId="8441"/>
    <cellStyle name="Currency 5 2 2 2 2 2 5 2 2 2" xfId="16877"/>
    <cellStyle name="Currency 5 2 2 2 2 2 5 2 2 3" xfId="25318"/>
    <cellStyle name="Currency 5 2 2 2 2 2 5 2 2 4" xfId="33758"/>
    <cellStyle name="Currency 5 2 2 2 2 2 5 2 3" xfId="12659"/>
    <cellStyle name="Currency 5 2 2 2 2 2 5 2 4" xfId="21101"/>
    <cellStyle name="Currency 5 2 2 2 2 2 5 2 5" xfId="29541"/>
    <cellStyle name="Currency 5 2 2 2 2 2 5 3" xfId="6296"/>
    <cellStyle name="Currency 5 2 2 2 2 2 5 3 2" xfId="14732"/>
    <cellStyle name="Currency 5 2 2 2 2 2 5 3 3" xfId="23173"/>
    <cellStyle name="Currency 5 2 2 2 2 2 5 3 4" xfId="31613"/>
    <cellStyle name="Currency 5 2 2 2 2 2 5 4" xfId="10514"/>
    <cellStyle name="Currency 5 2 2 2 2 2 5 5" xfId="18956"/>
    <cellStyle name="Currency 5 2 2 2 2 2 5 6" xfId="27396"/>
    <cellStyle name="Currency 5 2 2 2 2 2 6" xfId="2424"/>
    <cellStyle name="Currency 5 2 2 2 2 2 6 2" xfId="6709"/>
    <cellStyle name="Currency 5 2 2 2 2 2 6 2 2" xfId="15145"/>
    <cellStyle name="Currency 5 2 2 2 2 2 6 2 3" xfId="23586"/>
    <cellStyle name="Currency 5 2 2 2 2 2 6 2 4" xfId="32026"/>
    <cellStyle name="Currency 5 2 2 2 2 2 6 3" xfId="10927"/>
    <cellStyle name="Currency 5 2 2 2 2 2 6 4" xfId="19369"/>
    <cellStyle name="Currency 5 2 2 2 2 2 6 5" xfId="27809"/>
    <cellStyle name="Currency 5 2 2 2 2 2 7" xfId="2721"/>
    <cellStyle name="Currency 5 2 2 2 2 2 8" xfId="2802"/>
    <cellStyle name="Currency 5 2 2 2 2 2 8 2" xfId="7026"/>
    <cellStyle name="Currency 5 2 2 2 2 2 8 2 2" xfId="15462"/>
    <cellStyle name="Currency 5 2 2 2 2 2 8 2 3" xfId="23903"/>
    <cellStyle name="Currency 5 2 2 2 2 2 8 2 4" xfId="32343"/>
    <cellStyle name="Currency 5 2 2 2 2 2 8 3" xfId="11244"/>
    <cellStyle name="Currency 5 2 2 2 2 2 8 4" xfId="19686"/>
    <cellStyle name="Currency 5 2 2 2 2 2 8 5" xfId="28126"/>
    <cellStyle name="Currency 5 2 2 2 2 2 9" xfId="4643"/>
    <cellStyle name="Currency 5 2 2 2 2 2 9 2" xfId="13079"/>
    <cellStyle name="Currency 5 2 2 2 2 2 9 3" xfId="21520"/>
    <cellStyle name="Currency 5 2 2 2 2 2 9 4" xfId="29960"/>
    <cellStyle name="Currency 5 2 2 2 2 3" xfId="724"/>
    <cellStyle name="Currency 5 2 2 2 2 3 2" xfId="2978"/>
    <cellStyle name="Currency 5 2 2 2 2 3 2 2" xfId="7201"/>
    <cellStyle name="Currency 5 2 2 2 2 3 2 2 2" xfId="15637"/>
    <cellStyle name="Currency 5 2 2 2 2 3 2 2 3" xfId="24078"/>
    <cellStyle name="Currency 5 2 2 2 2 3 2 2 4" xfId="32518"/>
    <cellStyle name="Currency 5 2 2 2 2 3 2 3" xfId="11419"/>
    <cellStyle name="Currency 5 2 2 2 2 3 2 4" xfId="19861"/>
    <cellStyle name="Currency 5 2 2 2 2 3 2 5" xfId="28301"/>
    <cellStyle name="Currency 5 2 2 2 2 3 3" xfId="5056"/>
    <cellStyle name="Currency 5 2 2 2 2 3 3 2" xfId="13492"/>
    <cellStyle name="Currency 5 2 2 2 2 3 3 3" xfId="21933"/>
    <cellStyle name="Currency 5 2 2 2 2 3 3 4" xfId="30373"/>
    <cellStyle name="Currency 5 2 2 2 2 3 4" xfId="9274"/>
    <cellStyle name="Currency 5 2 2 2 2 3 5" xfId="17716"/>
    <cellStyle name="Currency 5 2 2 2 2 3 6" xfId="26156"/>
    <cellStyle name="Currency 5 2 2 2 2 4" xfId="1160"/>
    <cellStyle name="Currency 5 2 2 2 2 4 2" xfId="3391"/>
    <cellStyle name="Currency 5 2 2 2 2 4 2 2" xfId="7614"/>
    <cellStyle name="Currency 5 2 2 2 2 4 2 2 2" xfId="16050"/>
    <cellStyle name="Currency 5 2 2 2 2 4 2 2 3" xfId="24491"/>
    <cellStyle name="Currency 5 2 2 2 2 4 2 2 4" xfId="32931"/>
    <cellStyle name="Currency 5 2 2 2 2 4 2 3" xfId="11832"/>
    <cellStyle name="Currency 5 2 2 2 2 4 2 4" xfId="20274"/>
    <cellStyle name="Currency 5 2 2 2 2 4 2 5" xfId="28714"/>
    <cellStyle name="Currency 5 2 2 2 2 4 3" xfId="5469"/>
    <cellStyle name="Currency 5 2 2 2 2 4 3 2" xfId="13905"/>
    <cellStyle name="Currency 5 2 2 2 2 4 3 3" xfId="22346"/>
    <cellStyle name="Currency 5 2 2 2 2 4 3 4" xfId="30786"/>
    <cellStyle name="Currency 5 2 2 2 2 4 4" xfId="9687"/>
    <cellStyle name="Currency 5 2 2 2 2 4 5" xfId="18129"/>
    <cellStyle name="Currency 5 2 2 2 2 4 6" xfId="26569"/>
    <cellStyle name="Currency 5 2 2 2 2 5" xfId="1574"/>
    <cellStyle name="Currency 5 2 2 2 2 5 2" xfId="3804"/>
    <cellStyle name="Currency 5 2 2 2 2 5 2 2" xfId="8027"/>
    <cellStyle name="Currency 5 2 2 2 2 5 2 2 2" xfId="16463"/>
    <cellStyle name="Currency 5 2 2 2 2 5 2 2 3" xfId="24904"/>
    <cellStyle name="Currency 5 2 2 2 2 5 2 2 4" xfId="33344"/>
    <cellStyle name="Currency 5 2 2 2 2 5 2 3" xfId="12245"/>
    <cellStyle name="Currency 5 2 2 2 2 5 2 4" xfId="20687"/>
    <cellStyle name="Currency 5 2 2 2 2 5 2 5" xfId="29127"/>
    <cellStyle name="Currency 5 2 2 2 2 5 3" xfId="5882"/>
    <cellStyle name="Currency 5 2 2 2 2 5 3 2" xfId="14318"/>
    <cellStyle name="Currency 5 2 2 2 2 5 3 3" xfId="22759"/>
    <cellStyle name="Currency 5 2 2 2 2 5 3 4" xfId="31199"/>
    <cellStyle name="Currency 5 2 2 2 2 5 4" xfId="10100"/>
    <cellStyle name="Currency 5 2 2 2 2 5 5" xfId="18542"/>
    <cellStyle name="Currency 5 2 2 2 2 5 6" xfId="26982"/>
    <cellStyle name="Currency 5 2 2 2 2 6" xfId="1988"/>
    <cellStyle name="Currency 5 2 2 2 2 6 2" xfId="4217"/>
    <cellStyle name="Currency 5 2 2 2 2 6 2 2" xfId="8440"/>
    <cellStyle name="Currency 5 2 2 2 2 6 2 2 2" xfId="16876"/>
    <cellStyle name="Currency 5 2 2 2 2 6 2 2 3" xfId="25317"/>
    <cellStyle name="Currency 5 2 2 2 2 6 2 2 4" xfId="33757"/>
    <cellStyle name="Currency 5 2 2 2 2 6 2 3" xfId="12658"/>
    <cellStyle name="Currency 5 2 2 2 2 6 2 4" xfId="21100"/>
    <cellStyle name="Currency 5 2 2 2 2 6 2 5" xfId="29540"/>
    <cellStyle name="Currency 5 2 2 2 2 6 3" xfId="6295"/>
    <cellStyle name="Currency 5 2 2 2 2 6 3 2" xfId="14731"/>
    <cellStyle name="Currency 5 2 2 2 2 6 3 3" xfId="23172"/>
    <cellStyle name="Currency 5 2 2 2 2 6 3 4" xfId="31612"/>
    <cellStyle name="Currency 5 2 2 2 2 6 4" xfId="10513"/>
    <cellStyle name="Currency 5 2 2 2 2 6 5" xfId="18955"/>
    <cellStyle name="Currency 5 2 2 2 2 6 6" xfId="27395"/>
    <cellStyle name="Currency 5 2 2 2 2 7" xfId="2423"/>
    <cellStyle name="Currency 5 2 2 2 2 7 2" xfId="6708"/>
    <cellStyle name="Currency 5 2 2 2 2 7 2 2" xfId="15144"/>
    <cellStyle name="Currency 5 2 2 2 2 7 2 3" xfId="23585"/>
    <cellStyle name="Currency 5 2 2 2 2 7 2 4" xfId="32025"/>
    <cellStyle name="Currency 5 2 2 2 2 7 3" xfId="10926"/>
    <cellStyle name="Currency 5 2 2 2 2 7 4" xfId="19368"/>
    <cellStyle name="Currency 5 2 2 2 2 7 5" xfId="27808"/>
    <cellStyle name="Currency 5 2 2 2 2 8" xfId="2720"/>
    <cellStyle name="Currency 5 2 2 2 2 9" xfId="2801"/>
    <cellStyle name="Currency 5 2 2 2 2 9 2" xfId="7025"/>
    <cellStyle name="Currency 5 2 2 2 2 9 2 2" xfId="15461"/>
    <cellStyle name="Currency 5 2 2 2 2 9 2 3" xfId="23902"/>
    <cellStyle name="Currency 5 2 2 2 2 9 2 4" xfId="32342"/>
    <cellStyle name="Currency 5 2 2 2 2 9 3" xfId="11243"/>
    <cellStyle name="Currency 5 2 2 2 2 9 4" xfId="19685"/>
    <cellStyle name="Currency 5 2 2 2 2 9 5" xfId="28125"/>
    <cellStyle name="Currency 5 2 2 2 3" xfId="199"/>
    <cellStyle name="Currency 5 2 2 2 3 10" xfId="8862"/>
    <cellStyle name="Currency 5 2 2 2 3 11" xfId="17304"/>
    <cellStyle name="Currency 5 2 2 2 3 12" xfId="25744"/>
    <cellStyle name="Currency 5 2 2 2 3 2" xfId="726"/>
    <cellStyle name="Currency 5 2 2 2 3 2 2" xfId="2980"/>
    <cellStyle name="Currency 5 2 2 2 3 2 2 2" xfId="7203"/>
    <cellStyle name="Currency 5 2 2 2 3 2 2 2 2" xfId="15639"/>
    <cellStyle name="Currency 5 2 2 2 3 2 2 2 3" xfId="24080"/>
    <cellStyle name="Currency 5 2 2 2 3 2 2 2 4" xfId="32520"/>
    <cellStyle name="Currency 5 2 2 2 3 2 2 3" xfId="11421"/>
    <cellStyle name="Currency 5 2 2 2 3 2 2 4" xfId="19863"/>
    <cellStyle name="Currency 5 2 2 2 3 2 2 5" xfId="28303"/>
    <cellStyle name="Currency 5 2 2 2 3 2 3" xfId="5058"/>
    <cellStyle name="Currency 5 2 2 2 3 2 3 2" xfId="13494"/>
    <cellStyle name="Currency 5 2 2 2 3 2 3 3" xfId="21935"/>
    <cellStyle name="Currency 5 2 2 2 3 2 3 4" xfId="30375"/>
    <cellStyle name="Currency 5 2 2 2 3 2 4" xfId="9276"/>
    <cellStyle name="Currency 5 2 2 2 3 2 5" xfId="17718"/>
    <cellStyle name="Currency 5 2 2 2 3 2 6" xfId="26158"/>
    <cellStyle name="Currency 5 2 2 2 3 3" xfId="1162"/>
    <cellStyle name="Currency 5 2 2 2 3 3 2" xfId="3393"/>
    <cellStyle name="Currency 5 2 2 2 3 3 2 2" xfId="7616"/>
    <cellStyle name="Currency 5 2 2 2 3 3 2 2 2" xfId="16052"/>
    <cellStyle name="Currency 5 2 2 2 3 3 2 2 3" xfId="24493"/>
    <cellStyle name="Currency 5 2 2 2 3 3 2 2 4" xfId="32933"/>
    <cellStyle name="Currency 5 2 2 2 3 3 2 3" xfId="11834"/>
    <cellStyle name="Currency 5 2 2 2 3 3 2 4" xfId="20276"/>
    <cellStyle name="Currency 5 2 2 2 3 3 2 5" xfId="28716"/>
    <cellStyle name="Currency 5 2 2 2 3 3 3" xfId="5471"/>
    <cellStyle name="Currency 5 2 2 2 3 3 3 2" xfId="13907"/>
    <cellStyle name="Currency 5 2 2 2 3 3 3 3" xfId="22348"/>
    <cellStyle name="Currency 5 2 2 2 3 3 3 4" xfId="30788"/>
    <cellStyle name="Currency 5 2 2 2 3 3 4" xfId="9689"/>
    <cellStyle name="Currency 5 2 2 2 3 3 5" xfId="18131"/>
    <cellStyle name="Currency 5 2 2 2 3 3 6" xfId="26571"/>
    <cellStyle name="Currency 5 2 2 2 3 4" xfId="1576"/>
    <cellStyle name="Currency 5 2 2 2 3 4 2" xfId="3806"/>
    <cellStyle name="Currency 5 2 2 2 3 4 2 2" xfId="8029"/>
    <cellStyle name="Currency 5 2 2 2 3 4 2 2 2" xfId="16465"/>
    <cellStyle name="Currency 5 2 2 2 3 4 2 2 3" xfId="24906"/>
    <cellStyle name="Currency 5 2 2 2 3 4 2 2 4" xfId="33346"/>
    <cellStyle name="Currency 5 2 2 2 3 4 2 3" xfId="12247"/>
    <cellStyle name="Currency 5 2 2 2 3 4 2 4" xfId="20689"/>
    <cellStyle name="Currency 5 2 2 2 3 4 2 5" xfId="29129"/>
    <cellStyle name="Currency 5 2 2 2 3 4 3" xfId="5884"/>
    <cellStyle name="Currency 5 2 2 2 3 4 3 2" xfId="14320"/>
    <cellStyle name="Currency 5 2 2 2 3 4 3 3" xfId="22761"/>
    <cellStyle name="Currency 5 2 2 2 3 4 3 4" xfId="31201"/>
    <cellStyle name="Currency 5 2 2 2 3 4 4" xfId="10102"/>
    <cellStyle name="Currency 5 2 2 2 3 4 5" xfId="18544"/>
    <cellStyle name="Currency 5 2 2 2 3 4 6" xfId="26984"/>
    <cellStyle name="Currency 5 2 2 2 3 5" xfId="1990"/>
    <cellStyle name="Currency 5 2 2 2 3 5 2" xfId="4219"/>
    <cellStyle name="Currency 5 2 2 2 3 5 2 2" xfId="8442"/>
    <cellStyle name="Currency 5 2 2 2 3 5 2 2 2" xfId="16878"/>
    <cellStyle name="Currency 5 2 2 2 3 5 2 2 3" xfId="25319"/>
    <cellStyle name="Currency 5 2 2 2 3 5 2 2 4" xfId="33759"/>
    <cellStyle name="Currency 5 2 2 2 3 5 2 3" xfId="12660"/>
    <cellStyle name="Currency 5 2 2 2 3 5 2 4" xfId="21102"/>
    <cellStyle name="Currency 5 2 2 2 3 5 2 5" xfId="29542"/>
    <cellStyle name="Currency 5 2 2 2 3 5 3" xfId="6297"/>
    <cellStyle name="Currency 5 2 2 2 3 5 3 2" xfId="14733"/>
    <cellStyle name="Currency 5 2 2 2 3 5 3 3" xfId="23174"/>
    <cellStyle name="Currency 5 2 2 2 3 5 3 4" xfId="31614"/>
    <cellStyle name="Currency 5 2 2 2 3 5 4" xfId="10515"/>
    <cellStyle name="Currency 5 2 2 2 3 5 5" xfId="18957"/>
    <cellStyle name="Currency 5 2 2 2 3 5 6" xfId="27397"/>
    <cellStyle name="Currency 5 2 2 2 3 6" xfId="2425"/>
    <cellStyle name="Currency 5 2 2 2 3 6 2" xfId="6710"/>
    <cellStyle name="Currency 5 2 2 2 3 6 2 2" xfId="15146"/>
    <cellStyle name="Currency 5 2 2 2 3 6 2 3" xfId="23587"/>
    <cellStyle name="Currency 5 2 2 2 3 6 2 4" xfId="32027"/>
    <cellStyle name="Currency 5 2 2 2 3 6 3" xfId="10928"/>
    <cellStyle name="Currency 5 2 2 2 3 6 4" xfId="19370"/>
    <cellStyle name="Currency 5 2 2 2 3 6 5" xfId="27810"/>
    <cellStyle name="Currency 5 2 2 2 3 7" xfId="2722"/>
    <cellStyle name="Currency 5 2 2 2 3 8" xfId="2803"/>
    <cellStyle name="Currency 5 2 2 2 3 8 2" xfId="7027"/>
    <cellStyle name="Currency 5 2 2 2 3 8 2 2" xfId="15463"/>
    <cellStyle name="Currency 5 2 2 2 3 8 2 3" xfId="23904"/>
    <cellStyle name="Currency 5 2 2 2 3 8 2 4" xfId="32344"/>
    <cellStyle name="Currency 5 2 2 2 3 8 3" xfId="11245"/>
    <cellStyle name="Currency 5 2 2 2 3 8 4" xfId="19687"/>
    <cellStyle name="Currency 5 2 2 2 3 8 5" xfId="28127"/>
    <cellStyle name="Currency 5 2 2 2 3 9" xfId="4644"/>
    <cellStyle name="Currency 5 2 2 2 3 9 2" xfId="13080"/>
    <cellStyle name="Currency 5 2 2 2 3 9 3" xfId="21521"/>
    <cellStyle name="Currency 5 2 2 2 3 9 4" xfId="29961"/>
    <cellStyle name="Currency 5 2 2 2 4" xfId="723"/>
    <cellStyle name="Currency 5 2 2 2 4 2" xfId="2977"/>
    <cellStyle name="Currency 5 2 2 2 4 2 2" xfId="7200"/>
    <cellStyle name="Currency 5 2 2 2 4 2 2 2" xfId="15636"/>
    <cellStyle name="Currency 5 2 2 2 4 2 2 3" xfId="24077"/>
    <cellStyle name="Currency 5 2 2 2 4 2 2 4" xfId="32517"/>
    <cellStyle name="Currency 5 2 2 2 4 2 3" xfId="11418"/>
    <cellStyle name="Currency 5 2 2 2 4 2 4" xfId="19860"/>
    <cellStyle name="Currency 5 2 2 2 4 2 5" xfId="28300"/>
    <cellStyle name="Currency 5 2 2 2 4 3" xfId="5055"/>
    <cellStyle name="Currency 5 2 2 2 4 3 2" xfId="13491"/>
    <cellStyle name="Currency 5 2 2 2 4 3 3" xfId="21932"/>
    <cellStyle name="Currency 5 2 2 2 4 3 4" xfId="30372"/>
    <cellStyle name="Currency 5 2 2 2 4 4" xfId="9273"/>
    <cellStyle name="Currency 5 2 2 2 4 5" xfId="17715"/>
    <cellStyle name="Currency 5 2 2 2 4 6" xfId="26155"/>
    <cellStyle name="Currency 5 2 2 2 5" xfId="1159"/>
    <cellStyle name="Currency 5 2 2 2 5 2" xfId="3390"/>
    <cellStyle name="Currency 5 2 2 2 5 2 2" xfId="7613"/>
    <cellStyle name="Currency 5 2 2 2 5 2 2 2" xfId="16049"/>
    <cellStyle name="Currency 5 2 2 2 5 2 2 3" xfId="24490"/>
    <cellStyle name="Currency 5 2 2 2 5 2 2 4" xfId="32930"/>
    <cellStyle name="Currency 5 2 2 2 5 2 3" xfId="11831"/>
    <cellStyle name="Currency 5 2 2 2 5 2 4" xfId="20273"/>
    <cellStyle name="Currency 5 2 2 2 5 2 5" xfId="28713"/>
    <cellStyle name="Currency 5 2 2 2 5 3" xfId="5468"/>
    <cellStyle name="Currency 5 2 2 2 5 3 2" xfId="13904"/>
    <cellStyle name="Currency 5 2 2 2 5 3 3" xfId="22345"/>
    <cellStyle name="Currency 5 2 2 2 5 3 4" xfId="30785"/>
    <cellStyle name="Currency 5 2 2 2 5 4" xfId="9686"/>
    <cellStyle name="Currency 5 2 2 2 5 5" xfId="18128"/>
    <cellStyle name="Currency 5 2 2 2 5 6" xfId="26568"/>
    <cellStyle name="Currency 5 2 2 2 6" xfId="1573"/>
    <cellStyle name="Currency 5 2 2 2 6 2" xfId="3803"/>
    <cellStyle name="Currency 5 2 2 2 6 2 2" xfId="8026"/>
    <cellStyle name="Currency 5 2 2 2 6 2 2 2" xfId="16462"/>
    <cellStyle name="Currency 5 2 2 2 6 2 2 3" xfId="24903"/>
    <cellStyle name="Currency 5 2 2 2 6 2 2 4" xfId="33343"/>
    <cellStyle name="Currency 5 2 2 2 6 2 3" xfId="12244"/>
    <cellStyle name="Currency 5 2 2 2 6 2 4" xfId="20686"/>
    <cellStyle name="Currency 5 2 2 2 6 2 5" xfId="29126"/>
    <cellStyle name="Currency 5 2 2 2 6 3" xfId="5881"/>
    <cellStyle name="Currency 5 2 2 2 6 3 2" xfId="14317"/>
    <cellStyle name="Currency 5 2 2 2 6 3 3" xfId="22758"/>
    <cellStyle name="Currency 5 2 2 2 6 3 4" xfId="31198"/>
    <cellStyle name="Currency 5 2 2 2 6 4" xfId="10099"/>
    <cellStyle name="Currency 5 2 2 2 6 5" xfId="18541"/>
    <cellStyle name="Currency 5 2 2 2 6 6" xfId="26981"/>
    <cellStyle name="Currency 5 2 2 2 7" xfId="1987"/>
    <cellStyle name="Currency 5 2 2 2 7 2" xfId="4216"/>
    <cellStyle name="Currency 5 2 2 2 7 2 2" xfId="8439"/>
    <cellStyle name="Currency 5 2 2 2 7 2 2 2" xfId="16875"/>
    <cellStyle name="Currency 5 2 2 2 7 2 2 3" xfId="25316"/>
    <cellStyle name="Currency 5 2 2 2 7 2 2 4" xfId="33756"/>
    <cellStyle name="Currency 5 2 2 2 7 2 3" xfId="12657"/>
    <cellStyle name="Currency 5 2 2 2 7 2 4" xfId="21099"/>
    <cellStyle name="Currency 5 2 2 2 7 2 5" xfId="29539"/>
    <cellStyle name="Currency 5 2 2 2 7 3" xfId="6294"/>
    <cellStyle name="Currency 5 2 2 2 7 3 2" xfId="14730"/>
    <cellStyle name="Currency 5 2 2 2 7 3 3" xfId="23171"/>
    <cellStyle name="Currency 5 2 2 2 7 3 4" xfId="31611"/>
    <cellStyle name="Currency 5 2 2 2 7 4" xfId="10512"/>
    <cellStyle name="Currency 5 2 2 2 7 5" xfId="18954"/>
    <cellStyle name="Currency 5 2 2 2 7 6" xfId="27394"/>
    <cellStyle name="Currency 5 2 2 2 8" xfId="2422"/>
    <cellStyle name="Currency 5 2 2 2 8 2" xfId="6707"/>
    <cellStyle name="Currency 5 2 2 2 8 2 2" xfId="15143"/>
    <cellStyle name="Currency 5 2 2 2 8 2 3" xfId="23584"/>
    <cellStyle name="Currency 5 2 2 2 8 2 4" xfId="32024"/>
    <cellStyle name="Currency 5 2 2 2 8 3" xfId="10925"/>
    <cellStyle name="Currency 5 2 2 2 8 4" xfId="19367"/>
    <cellStyle name="Currency 5 2 2 2 8 5" xfId="27807"/>
    <cellStyle name="Currency 5 2 2 2 9" xfId="2719"/>
    <cellStyle name="Currency 5 2 2 3" xfId="200"/>
    <cellStyle name="Currency 5 2 2 3 10" xfId="4645"/>
    <cellStyle name="Currency 5 2 2 3 10 2" xfId="13081"/>
    <cellStyle name="Currency 5 2 2 3 10 3" xfId="21522"/>
    <cellStyle name="Currency 5 2 2 3 10 4" xfId="29962"/>
    <cellStyle name="Currency 5 2 2 3 11" xfId="8863"/>
    <cellStyle name="Currency 5 2 2 3 12" xfId="17305"/>
    <cellStyle name="Currency 5 2 2 3 13" xfId="25745"/>
    <cellStyle name="Currency 5 2 2 3 2" xfId="201"/>
    <cellStyle name="Currency 5 2 2 3 2 10" xfId="8864"/>
    <cellStyle name="Currency 5 2 2 3 2 11" xfId="17306"/>
    <cellStyle name="Currency 5 2 2 3 2 12" xfId="25746"/>
    <cellStyle name="Currency 5 2 2 3 2 2" xfId="728"/>
    <cellStyle name="Currency 5 2 2 3 2 2 2" xfId="2982"/>
    <cellStyle name="Currency 5 2 2 3 2 2 2 2" xfId="7205"/>
    <cellStyle name="Currency 5 2 2 3 2 2 2 2 2" xfId="15641"/>
    <cellStyle name="Currency 5 2 2 3 2 2 2 2 3" xfId="24082"/>
    <cellStyle name="Currency 5 2 2 3 2 2 2 2 4" xfId="32522"/>
    <cellStyle name="Currency 5 2 2 3 2 2 2 3" xfId="11423"/>
    <cellStyle name="Currency 5 2 2 3 2 2 2 4" xfId="19865"/>
    <cellStyle name="Currency 5 2 2 3 2 2 2 5" xfId="28305"/>
    <cellStyle name="Currency 5 2 2 3 2 2 3" xfId="5060"/>
    <cellStyle name="Currency 5 2 2 3 2 2 3 2" xfId="13496"/>
    <cellStyle name="Currency 5 2 2 3 2 2 3 3" xfId="21937"/>
    <cellStyle name="Currency 5 2 2 3 2 2 3 4" xfId="30377"/>
    <cellStyle name="Currency 5 2 2 3 2 2 4" xfId="9278"/>
    <cellStyle name="Currency 5 2 2 3 2 2 5" xfId="17720"/>
    <cellStyle name="Currency 5 2 2 3 2 2 6" xfId="26160"/>
    <cellStyle name="Currency 5 2 2 3 2 3" xfId="1164"/>
    <cellStyle name="Currency 5 2 2 3 2 3 2" xfId="3395"/>
    <cellStyle name="Currency 5 2 2 3 2 3 2 2" xfId="7618"/>
    <cellStyle name="Currency 5 2 2 3 2 3 2 2 2" xfId="16054"/>
    <cellStyle name="Currency 5 2 2 3 2 3 2 2 3" xfId="24495"/>
    <cellStyle name="Currency 5 2 2 3 2 3 2 2 4" xfId="32935"/>
    <cellStyle name="Currency 5 2 2 3 2 3 2 3" xfId="11836"/>
    <cellStyle name="Currency 5 2 2 3 2 3 2 4" xfId="20278"/>
    <cellStyle name="Currency 5 2 2 3 2 3 2 5" xfId="28718"/>
    <cellStyle name="Currency 5 2 2 3 2 3 3" xfId="5473"/>
    <cellStyle name="Currency 5 2 2 3 2 3 3 2" xfId="13909"/>
    <cellStyle name="Currency 5 2 2 3 2 3 3 3" xfId="22350"/>
    <cellStyle name="Currency 5 2 2 3 2 3 3 4" xfId="30790"/>
    <cellStyle name="Currency 5 2 2 3 2 3 4" xfId="9691"/>
    <cellStyle name="Currency 5 2 2 3 2 3 5" xfId="18133"/>
    <cellStyle name="Currency 5 2 2 3 2 3 6" xfId="26573"/>
    <cellStyle name="Currency 5 2 2 3 2 4" xfId="1578"/>
    <cellStyle name="Currency 5 2 2 3 2 4 2" xfId="3808"/>
    <cellStyle name="Currency 5 2 2 3 2 4 2 2" xfId="8031"/>
    <cellStyle name="Currency 5 2 2 3 2 4 2 2 2" xfId="16467"/>
    <cellStyle name="Currency 5 2 2 3 2 4 2 2 3" xfId="24908"/>
    <cellStyle name="Currency 5 2 2 3 2 4 2 2 4" xfId="33348"/>
    <cellStyle name="Currency 5 2 2 3 2 4 2 3" xfId="12249"/>
    <cellStyle name="Currency 5 2 2 3 2 4 2 4" xfId="20691"/>
    <cellStyle name="Currency 5 2 2 3 2 4 2 5" xfId="29131"/>
    <cellStyle name="Currency 5 2 2 3 2 4 3" xfId="5886"/>
    <cellStyle name="Currency 5 2 2 3 2 4 3 2" xfId="14322"/>
    <cellStyle name="Currency 5 2 2 3 2 4 3 3" xfId="22763"/>
    <cellStyle name="Currency 5 2 2 3 2 4 3 4" xfId="31203"/>
    <cellStyle name="Currency 5 2 2 3 2 4 4" xfId="10104"/>
    <cellStyle name="Currency 5 2 2 3 2 4 5" xfId="18546"/>
    <cellStyle name="Currency 5 2 2 3 2 4 6" xfId="26986"/>
    <cellStyle name="Currency 5 2 2 3 2 5" xfId="1992"/>
    <cellStyle name="Currency 5 2 2 3 2 5 2" xfId="4221"/>
    <cellStyle name="Currency 5 2 2 3 2 5 2 2" xfId="8444"/>
    <cellStyle name="Currency 5 2 2 3 2 5 2 2 2" xfId="16880"/>
    <cellStyle name="Currency 5 2 2 3 2 5 2 2 3" xfId="25321"/>
    <cellStyle name="Currency 5 2 2 3 2 5 2 2 4" xfId="33761"/>
    <cellStyle name="Currency 5 2 2 3 2 5 2 3" xfId="12662"/>
    <cellStyle name="Currency 5 2 2 3 2 5 2 4" xfId="21104"/>
    <cellStyle name="Currency 5 2 2 3 2 5 2 5" xfId="29544"/>
    <cellStyle name="Currency 5 2 2 3 2 5 3" xfId="6299"/>
    <cellStyle name="Currency 5 2 2 3 2 5 3 2" xfId="14735"/>
    <cellStyle name="Currency 5 2 2 3 2 5 3 3" xfId="23176"/>
    <cellStyle name="Currency 5 2 2 3 2 5 3 4" xfId="31616"/>
    <cellStyle name="Currency 5 2 2 3 2 5 4" xfId="10517"/>
    <cellStyle name="Currency 5 2 2 3 2 5 5" xfId="18959"/>
    <cellStyle name="Currency 5 2 2 3 2 5 6" xfId="27399"/>
    <cellStyle name="Currency 5 2 2 3 2 6" xfId="2427"/>
    <cellStyle name="Currency 5 2 2 3 2 6 2" xfId="6712"/>
    <cellStyle name="Currency 5 2 2 3 2 6 2 2" xfId="15148"/>
    <cellStyle name="Currency 5 2 2 3 2 6 2 3" xfId="23589"/>
    <cellStyle name="Currency 5 2 2 3 2 6 2 4" xfId="32029"/>
    <cellStyle name="Currency 5 2 2 3 2 6 3" xfId="10930"/>
    <cellStyle name="Currency 5 2 2 3 2 6 4" xfId="19372"/>
    <cellStyle name="Currency 5 2 2 3 2 6 5" xfId="27812"/>
    <cellStyle name="Currency 5 2 2 3 2 7" xfId="2724"/>
    <cellStyle name="Currency 5 2 2 3 2 8" xfId="2805"/>
    <cellStyle name="Currency 5 2 2 3 2 8 2" xfId="7029"/>
    <cellStyle name="Currency 5 2 2 3 2 8 2 2" xfId="15465"/>
    <cellStyle name="Currency 5 2 2 3 2 8 2 3" xfId="23906"/>
    <cellStyle name="Currency 5 2 2 3 2 8 2 4" xfId="32346"/>
    <cellStyle name="Currency 5 2 2 3 2 8 3" xfId="11247"/>
    <cellStyle name="Currency 5 2 2 3 2 8 4" xfId="19689"/>
    <cellStyle name="Currency 5 2 2 3 2 8 5" xfId="28129"/>
    <cellStyle name="Currency 5 2 2 3 2 9" xfId="4646"/>
    <cellStyle name="Currency 5 2 2 3 2 9 2" xfId="13082"/>
    <cellStyle name="Currency 5 2 2 3 2 9 3" xfId="21523"/>
    <cellStyle name="Currency 5 2 2 3 2 9 4" xfId="29963"/>
    <cellStyle name="Currency 5 2 2 3 3" xfId="727"/>
    <cellStyle name="Currency 5 2 2 3 3 2" xfId="2981"/>
    <cellStyle name="Currency 5 2 2 3 3 2 2" xfId="7204"/>
    <cellStyle name="Currency 5 2 2 3 3 2 2 2" xfId="15640"/>
    <cellStyle name="Currency 5 2 2 3 3 2 2 3" xfId="24081"/>
    <cellStyle name="Currency 5 2 2 3 3 2 2 4" xfId="32521"/>
    <cellStyle name="Currency 5 2 2 3 3 2 3" xfId="11422"/>
    <cellStyle name="Currency 5 2 2 3 3 2 4" xfId="19864"/>
    <cellStyle name="Currency 5 2 2 3 3 2 5" xfId="28304"/>
    <cellStyle name="Currency 5 2 2 3 3 3" xfId="5059"/>
    <cellStyle name="Currency 5 2 2 3 3 3 2" xfId="13495"/>
    <cellStyle name="Currency 5 2 2 3 3 3 3" xfId="21936"/>
    <cellStyle name="Currency 5 2 2 3 3 3 4" xfId="30376"/>
    <cellStyle name="Currency 5 2 2 3 3 4" xfId="9277"/>
    <cellStyle name="Currency 5 2 2 3 3 5" xfId="17719"/>
    <cellStyle name="Currency 5 2 2 3 3 6" xfId="26159"/>
    <cellStyle name="Currency 5 2 2 3 4" xfId="1163"/>
    <cellStyle name="Currency 5 2 2 3 4 2" xfId="3394"/>
    <cellStyle name="Currency 5 2 2 3 4 2 2" xfId="7617"/>
    <cellStyle name="Currency 5 2 2 3 4 2 2 2" xfId="16053"/>
    <cellStyle name="Currency 5 2 2 3 4 2 2 3" xfId="24494"/>
    <cellStyle name="Currency 5 2 2 3 4 2 2 4" xfId="32934"/>
    <cellStyle name="Currency 5 2 2 3 4 2 3" xfId="11835"/>
    <cellStyle name="Currency 5 2 2 3 4 2 4" xfId="20277"/>
    <cellStyle name="Currency 5 2 2 3 4 2 5" xfId="28717"/>
    <cellStyle name="Currency 5 2 2 3 4 3" xfId="5472"/>
    <cellStyle name="Currency 5 2 2 3 4 3 2" xfId="13908"/>
    <cellStyle name="Currency 5 2 2 3 4 3 3" xfId="22349"/>
    <cellStyle name="Currency 5 2 2 3 4 3 4" xfId="30789"/>
    <cellStyle name="Currency 5 2 2 3 4 4" xfId="9690"/>
    <cellStyle name="Currency 5 2 2 3 4 5" xfId="18132"/>
    <cellStyle name="Currency 5 2 2 3 4 6" xfId="26572"/>
    <cellStyle name="Currency 5 2 2 3 5" xfId="1577"/>
    <cellStyle name="Currency 5 2 2 3 5 2" xfId="3807"/>
    <cellStyle name="Currency 5 2 2 3 5 2 2" xfId="8030"/>
    <cellStyle name="Currency 5 2 2 3 5 2 2 2" xfId="16466"/>
    <cellStyle name="Currency 5 2 2 3 5 2 2 3" xfId="24907"/>
    <cellStyle name="Currency 5 2 2 3 5 2 2 4" xfId="33347"/>
    <cellStyle name="Currency 5 2 2 3 5 2 3" xfId="12248"/>
    <cellStyle name="Currency 5 2 2 3 5 2 4" xfId="20690"/>
    <cellStyle name="Currency 5 2 2 3 5 2 5" xfId="29130"/>
    <cellStyle name="Currency 5 2 2 3 5 3" xfId="5885"/>
    <cellStyle name="Currency 5 2 2 3 5 3 2" xfId="14321"/>
    <cellStyle name="Currency 5 2 2 3 5 3 3" xfId="22762"/>
    <cellStyle name="Currency 5 2 2 3 5 3 4" xfId="31202"/>
    <cellStyle name="Currency 5 2 2 3 5 4" xfId="10103"/>
    <cellStyle name="Currency 5 2 2 3 5 5" xfId="18545"/>
    <cellStyle name="Currency 5 2 2 3 5 6" xfId="26985"/>
    <cellStyle name="Currency 5 2 2 3 6" xfId="1991"/>
    <cellStyle name="Currency 5 2 2 3 6 2" xfId="4220"/>
    <cellStyle name="Currency 5 2 2 3 6 2 2" xfId="8443"/>
    <cellStyle name="Currency 5 2 2 3 6 2 2 2" xfId="16879"/>
    <cellStyle name="Currency 5 2 2 3 6 2 2 3" xfId="25320"/>
    <cellStyle name="Currency 5 2 2 3 6 2 2 4" xfId="33760"/>
    <cellStyle name="Currency 5 2 2 3 6 2 3" xfId="12661"/>
    <cellStyle name="Currency 5 2 2 3 6 2 4" xfId="21103"/>
    <cellStyle name="Currency 5 2 2 3 6 2 5" xfId="29543"/>
    <cellStyle name="Currency 5 2 2 3 6 3" xfId="6298"/>
    <cellStyle name="Currency 5 2 2 3 6 3 2" xfId="14734"/>
    <cellStyle name="Currency 5 2 2 3 6 3 3" xfId="23175"/>
    <cellStyle name="Currency 5 2 2 3 6 3 4" xfId="31615"/>
    <cellStyle name="Currency 5 2 2 3 6 4" xfId="10516"/>
    <cellStyle name="Currency 5 2 2 3 6 5" xfId="18958"/>
    <cellStyle name="Currency 5 2 2 3 6 6" xfId="27398"/>
    <cellStyle name="Currency 5 2 2 3 7" xfId="2426"/>
    <cellStyle name="Currency 5 2 2 3 7 2" xfId="6711"/>
    <cellStyle name="Currency 5 2 2 3 7 2 2" xfId="15147"/>
    <cellStyle name="Currency 5 2 2 3 7 2 3" xfId="23588"/>
    <cellStyle name="Currency 5 2 2 3 7 2 4" xfId="32028"/>
    <cellStyle name="Currency 5 2 2 3 7 3" xfId="10929"/>
    <cellStyle name="Currency 5 2 2 3 7 4" xfId="19371"/>
    <cellStyle name="Currency 5 2 2 3 7 5" xfId="27811"/>
    <cellStyle name="Currency 5 2 2 3 8" xfId="2723"/>
    <cellStyle name="Currency 5 2 2 3 9" xfId="2804"/>
    <cellStyle name="Currency 5 2 2 3 9 2" xfId="7028"/>
    <cellStyle name="Currency 5 2 2 3 9 2 2" xfId="15464"/>
    <cellStyle name="Currency 5 2 2 3 9 2 3" xfId="23905"/>
    <cellStyle name="Currency 5 2 2 3 9 2 4" xfId="32345"/>
    <cellStyle name="Currency 5 2 2 3 9 3" xfId="11246"/>
    <cellStyle name="Currency 5 2 2 3 9 4" xfId="19688"/>
    <cellStyle name="Currency 5 2 2 3 9 5" xfId="28128"/>
    <cellStyle name="Currency 5 2 2 4" xfId="202"/>
    <cellStyle name="Currency 5 2 2 4 10" xfId="8865"/>
    <cellStyle name="Currency 5 2 2 4 11" xfId="17307"/>
    <cellStyle name="Currency 5 2 2 4 12" xfId="25747"/>
    <cellStyle name="Currency 5 2 2 4 2" xfId="729"/>
    <cellStyle name="Currency 5 2 2 4 2 2" xfId="2983"/>
    <cellStyle name="Currency 5 2 2 4 2 2 2" xfId="7206"/>
    <cellStyle name="Currency 5 2 2 4 2 2 2 2" xfId="15642"/>
    <cellStyle name="Currency 5 2 2 4 2 2 2 3" xfId="24083"/>
    <cellStyle name="Currency 5 2 2 4 2 2 2 4" xfId="32523"/>
    <cellStyle name="Currency 5 2 2 4 2 2 3" xfId="11424"/>
    <cellStyle name="Currency 5 2 2 4 2 2 4" xfId="19866"/>
    <cellStyle name="Currency 5 2 2 4 2 2 5" xfId="28306"/>
    <cellStyle name="Currency 5 2 2 4 2 3" xfId="5061"/>
    <cellStyle name="Currency 5 2 2 4 2 3 2" xfId="13497"/>
    <cellStyle name="Currency 5 2 2 4 2 3 3" xfId="21938"/>
    <cellStyle name="Currency 5 2 2 4 2 3 4" xfId="30378"/>
    <cellStyle name="Currency 5 2 2 4 2 4" xfId="9279"/>
    <cellStyle name="Currency 5 2 2 4 2 5" xfId="17721"/>
    <cellStyle name="Currency 5 2 2 4 2 6" xfId="26161"/>
    <cellStyle name="Currency 5 2 2 4 3" xfId="1165"/>
    <cellStyle name="Currency 5 2 2 4 3 2" xfId="3396"/>
    <cellStyle name="Currency 5 2 2 4 3 2 2" xfId="7619"/>
    <cellStyle name="Currency 5 2 2 4 3 2 2 2" xfId="16055"/>
    <cellStyle name="Currency 5 2 2 4 3 2 2 3" xfId="24496"/>
    <cellStyle name="Currency 5 2 2 4 3 2 2 4" xfId="32936"/>
    <cellStyle name="Currency 5 2 2 4 3 2 3" xfId="11837"/>
    <cellStyle name="Currency 5 2 2 4 3 2 4" xfId="20279"/>
    <cellStyle name="Currency 5 2 2 4 3 2 5" xfId="28719"/>
    <cellStyle name="Currency 5 2 2 4 3 3" xfId="5474"/>
    <cellStyle name="Currency 5 2 2 4 3 3 2" xfId="13910"/>
    <cellStyle name="Currency 5 2 2 4 3 3 3" xfId="22351"/>
    <cellStyle name="Currency 5 2 2 4 3 3 4" xfId="30791"/>
    <cellStyle name="Currency 5 2 2 4 3 4" xfId="9692"/>
    <cellStyle name="Currency 5 2 2 4 3 5" xfId="18134"/>
    <cellStyle name="Currency 5 2 2 4 3 6" xfId="26574"/>
    <cellStyle name="Currency 5 2 2 4 4" xfId="1579"/>
    <cellStyle name="Currency 5 2 2 4 4 2" xfId="3809"/>
    <cellStyle name="Currency 5 2 2 4 4 2 2" xfId="8032"/>
    <cellStyle name="Currency 5 2 2 4 4 2 2 2" xfId="16468"/>
    <cellStyle name="Currency 5 2 2 4 4 2 2 3" xfId="24909"/>
    <cellStyle name="Currency 5 2 2 4 4 2 2 4" xfId="33349"/>
    <cellStyle name="Currency 5 2 2 4 4 2 3" xfId="12250"/>
    <cellStyle name="Currency 5 2 2 4 4 2 4" xfId="20692"/>
    <cellStyle name="Currency 5 2 2 4 4 2 5" xfId="29132"/>
    <cellStyle name="Currency 5 2 2 4 4 3" xfId="5887"/>
    <cellStyle name="Currency 5 2 2 4 4 3 2" xfId="14323"/>
    <cellStyle name="Currency 5 2 2 4 4 3 3" xfId="22764"/>
    <cellStyle name="Currency 5 2 2 4 4 3 4" xfId="31204"/>
    <cellStyle name="Currency 5 2 2 4 4 4" xfId="10105"/>
    <cellStyle name="Currency 5 2 2 4 4 5" xfId="18547"/>
    <cellStyle name="Currency 5 2 2 4 4 6" xfId="26987"/>
    <cellStyle name="Currency 5 2 2 4 5" xfId="1993"/>
    <cellStyle name="Currency 5 2 2 4 5 2" xfId="4222"/>
    <cellStyle name="Currency 5 2 2 4 5 2 2" xfId="8445"/>
    <cellStyle name="Currency 5 2 2 4 5 2 2 2" xfId="16881"/>
    <cellStyle name="Currency 5 2 2 4 5 2 2 3" xfId="25322"/>
    <cellStyle name="Currency 5 2 2 4 5 2 2 4" xfId="33762"/>
    <cellStyle name="Currency 5 2 2 4 5 2 3" xfId="12663"/>
    <cellStyle name="Currency 5 2 2 4 5 2 4" xfId="21105"/>
    <cellStyle name="Currency 5 2 2 4 5 2 5" xfId="29545"/>
    <cellStyle name="Currency 5 2 2 4 5 3" xfId="6300"/>
    <cellStyle name="Currency 5 2 2 4 5 3 2" xfId="14736"/>
    <cellStyle name="Currency 5 2 2 4 5 3 3" xfId="23177"/>
    <cellStyle name="Currency 5 2 2 4 5 3 4" xfId="31617"/>
    <cellStyle name="Currency 5 2 2 4 5 4" xfId="10518"/>
    <cellStyle name="Currency 5 2 2 4 5 5" xfId="18960"/>
    <cellStyle name="Currency 5 2 2 4 5 6" xfId="27400"/>
    <cellStyle name="Currency 5 2 2 4 6" xfId="2428"/>
    <cellStyle name="Currency 5 2 2 4 6 2" xfId="6713"/>
    <cellStyle name="Currency 5 2 2 4 6 2 2" xfId="15149"/>
    <cellStyle name="Currency 5 2 2 4 6 2 3" xfId="23590"/>
    <cellStyle name="Currency 5 2 2 4 6 2 4" xfId="32030"/>
    <cellStyle name="Currency 5 2 2 4 6 3" xfId="10931"/>
    <cellStyle name="Currency 5 2 2 4 6 4" xfId="19373"/>
    <cellStyle name="Currency 5 2 2 4 6 5" xfId="27813"/>
    <cellStyle name="Currency 5 2 2 4 7" xfId="2725"/>
    <cellStyle name="Currency 5 2 2 4 8" xfId="2806"/>
    <cellStyle name="Currency 5 2 2 4 8 2" xfId="7030"/>
    <cellStyle name="Currency 5 2 2 4 8 2 2" xfId="15466"/>
    <cellStyle name="Currency 5 2 2 4 8 2 3" xfId="23907"/>
    <cellStyle name="Currency 5 2 2 4 8 2 4" xfId="32347"/>
    <cellStyle name="Currency 5 2 2 4 8 3" xfId="11248"/>
    <cellStyle name="Currency 5 2 2 4 8 4" xfId="19690"/>
    <cellStyle name="Currency 5 2 2 4 8 5" xfId="28130"/>
    <cellStyle name="Currency 5 2 2 4 9" xfId="4647"/>
    <cellStyle name="Currency 5 2 2 4 9 2" xfId="13083"/>
    <cellStyle name="Currency 5 2 2 4 9 3" xfId="21524"/>
    <cellStyle name="Currency 5 2 2 4 9 4" xfId="29964"/>
    <cellStyle name="Currency 5 2 2 5" xfId="203"/>
    <cellStyle name="Currency 5 2 2 5 10" xfId="8866"/>
    <cellStyle name="Currency 5 2 2 5 11" xfId="17308"/>
    <cellStyle name="Currency 5 2 2 5 12" xfId="25748"/>
    <cellStyle name="Currency 5 2 2 5 2" xfId="730"/>
    <cellStyle name="Currency 5 2 2 5 2 2" xfId="2984"/>
    <cellStyle name="Currency 5 2 2 5 2 2 2" xfId="7207"/>
    <cellStyle name="Currency 5 2 2 5 2 2 2 2" xfId="15643"/>
    <cellStyle name="Currency 5 2 2 5 2 2 2 3" xfId="24084"/>
    <cellStyle name="Currency 5 2 2 5 2 2 2 4" xfId="32524"/>
    <cellStyle name="Currency 5 2 2 5 2 2 3" xfId="11425"/>
    <cellStyle name="Currency 5 2 2 5 2 2 4" xfId="19867"/>
    <cellStyle name="Currency 5 2 2 5 2 2 5" xfId="28307"/>
    <cellStyle name="Currency 5 2 2 5 2 3" xfId="5062"/>
    <cellStyle name="Currency 5 2 2 5 2 3 2" xfId="13498"/>
    <cellStyle name="Currency 5 2 2 5 2 3 3" xfId="21939"/>
    <cellStyle name="Currency 5 2 2 5 2 3 4" xfId="30379"/>
    <cellStyle name="Currency 5 2 2 5 2 4" xfId="9280"/>
    <cellStyle name="Currency 5 2 2 5 2 5" xfId="17722"/>
    <cellStyle name="Currency 5 2 2 5 2 6" xfId="26162"/>
    <cellStyle name="Currency 5 2 2 5 3" xfId="1166"/>
    <cellStyle name="Currency 5 2 2 5 3 2" xfId="3397"/>
    <cellStyle name="Currency 5 2 2 5 3 2 2" xfId="7620"/>
    <cellStyle name="Currency 5 2 2 5 3 2 2 2" xfId="16056"/>
    <cellStyle name="Currency 5 2 2 5 3 2 2 3" xfId="24497"/>
    <cellStyle name="Currency 5 2 2 5 3 2 2 4" xfId="32937"/>
    <cellStyle name="Currency 5 2 2 5 3 2 3" xfId="11838"/>
    <cellStyle name="Currency 5 2 2 5 3 2 4" xfId="20280"/>
    <cellStyle name="Currency 5 2 2 5 3 2 5" xfId="28720"/>
    <cellStyle name="Currency 5 2 2 5 3 3" xfId="5475"/>
    <cellStyle name="Currency 5 2 2 5 3 3 2" xfId="13911"/>
    <cellStyle name="Currency 5 2 2 5 3 3 3" xfId="22352"/>
    <cellStyle name="Currency 5 2 2 5 3 3 4" xfId="30792"/>
    <cellStyle name="Currency 5 2 2 5 3 4" xfId="9693"/>
    <cellStyle name="Currency 5 2 2 5 3 5" xfId="18135"/>
    <cellStyle name="Currency 5 2 2 5 3 6" xfId="26575"/>
    <cellStyle name="Currency 5 2 2 5 4" xfId="1580"/>
    <cellStyle name="Currency 5 2 2 5 4 2" xfId="3810"/>
    <cellStyle name="Currency 5 2 2 5 4 2 2" xfId="8033"/>
    <cellStyle name="Currency 5 2 2 5 4 2 2 2" xfId="16469"/>
    <cellStyle name="Currency 5 2 2 5 4 2 2 3" xfId="24910"/>
    <cellStyle name="Currency 5 2 2 5 4 2 2 4" xfId="33350"/>
    <cellStyle name="Currency 5 2 2 5 4 2 3" xfId="12251"/>
    <cellStyle name="Currency 5 2 2 5 4 2 4" xfId="20693"/>
    <cellStyle name="Currency 5 2 2 5 4 2 5" xfId="29133"/>
    <cellStyle name="Currency 5 2 2 5 4 3" xfId="5888"/>
    <cellStyle name="Currency 5 2 2 5 4 3 2" xfId="14324"/>
    <cellStyle name="Currency 5 2 2 5 4 3 3" xfId="22765"/>
    <cellStyle name="Currency 5 2 2 5 4 3 4" xfId="31205"/>
    <cellStyle name="Currency 5 2 2 5 4 4" xfId="10106"/>
    <cellStyle name="Currency 5 2 2 5 4 5" xfId="18548"/>
    <cellStyle name="Currency 5 2 2 5 4 6" xfId="26988"/>
    <cellStyle name="Currency 5 2 2 5 5" xfId="1994"/>
    <cellStyle name="Currency 5 2 2 5 5 2" xfId="4223"/>
    <cellStyle name="Currency 5 2 2 5 5 2 2" xfId="8446"/>
    <cellStyle name="Currency 5 2 2 5 5 2 2 2" xfId="16882"/>
    <cellStyle name="Currency 5 2 2 5 5 2 2 3" xfId="25323"/>
    <cellStyle name="Currency 5 2 2 5 5 2 2 4" xfId="33763"/>
    <cellStyle name="Currency 5 2 2 5 5 2 3" xfId="12664"/>
    <cellStyle name="Currency 5 2 2 5 5 2 4" xfId="21106"/>
    <cellStyle name="Currency 5 2 2 5 5 2 5" xfId="29546"/>
    <cellStyle name="Currency 5 2 2 5 5 3" xfId="6301"/>
    <cellStyle name="Currency 5 2 2 5 5 3 2" xfId="14737"/>
    <cellStyle name="Currency 5 2 2 5 5 3 3" xfId="23178"/>
    <cellStyle name="Currency 5 2 2 5 5 3 4" xfId="31618"/>
    <cellStyle name="Currency 5 2 2 5 5 4" xfId="10519"/>
    <cellStyle name="Currency 5 2 2 5 5 5" xfId="18961"/>
    <cellStyle name="Currency 5 2 2 5 5 6" xfId="27401"/>
    <cellStyle name="Currency 5 2 2 5 6" xfId="2429"/>
    <cellStyle name="Currency 5 2 2 5 6 2" xfId="6714"/>
    <cellStyle name="Currency 5 2 2 5 6 2 2" xfId="15150"/>
    <cellStyle name="Currency 5 2 2 5 6 2 3" xfId="23591"/>
    <cellStyle name="Currency 5 2 2 5 6 2 4" xfId="32031"/>
    <cellStyle name="Currency 5 2 2 5 6 3" xfId="10932"/>
    <cellStyle name="Currency 5 2 2 5 6 4" xfId="19374"/>
    <cellStyle name="Currency 5 2 2 5 6 5" xfId="27814"/>
    <cellStyle name="Currency 5 2 2 5 7" xfId="2726"/>
    <cellStyle name="Currency 5 2 2 5 8" xfId="2807"/>
    <cellStyle name="Currency 5 2 2 5 8 2" xfId="7031"/>
    <cellStyle name="Currency 5 2 2 5 8 2 2" xfId="15467"/>
    <cellStyle name="Currency 5 2 2 5 8 2 3" xfId="23908"/>
    <cellStyle name="Currency 5 2 2 5 8 2 4" xfId="32348"/>
    <cellStyle name="Currency 5 2 2 5 8 3" xfId="11249"/>
    <cellStyle name="Currency 5 2 2 5 8 4" xfId="19691"/>
    <cellStyle name="Currency 5 2 2 5 8 5" xfId="28131"/>
    <cellStyle name="Currency 5 2 2 5 9" xfId="4648"/>
    <cellStyle name="Currency 5 2 2 5 9 2" xfId="13084"/>
    <cellStyle name="Currency 5 2 2 5 9 3" xfId="21525"/>
    <cellStyle name="Currency 5 2 2 5 9 4" xfId="29965"/>
    <cellStyle name="Currency 5 2 3" xfId="204"/>
    <cellStyle name="Currency 5 2 3 2" xfId="731"/>
    <cellStyle name="Currency 5 2 4" xfId="205"/>
    <cellStyle name="Currency 5 2 4 10" xfId="4649"/>
    <cellStyle name="Currency 5 2 4 10 2" xfId="13085"/>
    <cellStyle name="Currency 5 2 4 10 3" xfId="21526"/>
    <cellStyle name="Currency 5 2 4 10 4" xfId="29966"/>
    <cellStyle name="Currency 5 2 4 11" xfId="8867"/>
    <cellStyle name="Currency 5 2 4 12" xfId="17309"/>
    <cellStyle name="Currency 5 2 4 13" xfId="25749"/>
    <cellStyle name="Currency 5 2 4 2" xfId="206"/>
    <cellStyle name="Currency 5 2 4 2 10" xfId="8868"/>
    <cellStyle name="Currency 5 2 4 2 11" xfId="17310"/>
    <cellStyle name="Currency 5 2 4 2 12" xfId="25750"/>
    <cellStyle name="Currency 5 2 4 2 2" xfId="733"/>
    <cellStyle name="Currency 5 2 4 2 2 2" xfId="2986"/>
    <cellStyle name="Currency 5 2 4 2 2 2 2" xfId="7209"/>
    <cellStyle name="Currency 5 2 4 2 2 2 2 2" xfId="15645"/>
    <cellStyle name="Currency 5 2 4 2 2 2 2 3" xfId="24086"/>
    <cellStyle name="Currency 5 2 4 2 2 2 2 4" xfId="32526"/>
    <cellStyle name="Currency 5 2 4 2 2 2 3" xfId="11427"/>
    <cellStyle name="Currency 5 2 4 2 2 2 4" xfId="19869"/>
    <cellStyle name="Currency 5 2 4 2 2 2 5" xfId="28309"/>
    <cellStyle name="Currency 5 2 4 2 2 3" xfId="5064"/>
    <cellStyle name="Currency 5 2 4 2 2 3 2" xfId="13500"/>
    <cellStyle name="Currency 5 2 4 2 2 3 3" xfId="21941"/>
    <cellStyle name="Currency 5 2 4 2 2 3 4" xfId="30381"/>
    <cellStyle name="Currency 5 2 4 2 2 4" xfId="9282"/>
    <cellStyle name="Currency 5 2 4 2 2 5" xfId="17724"/>
    <cellStyle name="Currency 5 2 4 2 2 6" xfId="26164"/>
    <cellStyle name="Currency 5 2 4 2 3" xfId="1168"/>
    <cellStyle name="Currency 5 2 4 2 3 2" xfId="3399"/>
    <cellStyle name="Currency 5 2 4 2 3 2 2" xfId="7622"/>
    <cellStyle name="Currency 5 2 4 2 3 2 2 2" xfId="16058"/>
    <cellStyle name="Currency 5 2 4 2 3 2 2 3" xfId="24499"/>
    <cellStyle name="Currency 5 2 4 2 3 2 2 4" xfId="32939"/>
    <cellStyle name="Currency 5 2 4 2 3 2 3" xfId="11840"/>
    <cellStyle name="Currency 5 2 4 2 3 2 4" xfId="20282"/>
    <cellStyle name="Currency 5 2 4 2 3 2 5" xfId="28722"/>
    <cellStyle name="Currency 5 2 4 2 3 3" xfId="5477"/>
    <cellStyle name="Currency 5 2 4 2 3 3 2" xfId="13913"/>
    <cellStyle name="Currency 5 2 4 2 3 3 3" xfId="22354"/>
    <cellStyle name="Currency 5 2 4 2 3 3 4" xfId="30794"/>
    <cellStyle name="Currency 5 2 4 2 3 4" xfId="9695"/>
    <cellStyle name="Currency 5 2 4 2 3 5" xfId="18137"/>
    <cellStyle name="Currency 5 2 4 2 3 6" xfId="26577"/>
    <cellStyle name="Currency 5 2 4 2 4" xfId="1582"/>
    <cellStyle name="Currency 5 2 4 2 4 2" xfId="3812"/>
    <cellStyle name="Currency 5 2 4 2 4 2 2" xfId="8035"/>
    <cellStyle name="Currency 5 2 4 2 4 2 2 2" xfId="16471"/>
    <cellStyle name="Currency 5 2 4 2 4 2 2 3" xfId="24912"/>
    <cellStyle name="Currency 5 2 4 2 4 2 2 4" xfId="33352"/>
    <cellStyle name="Currency 5 2 4 2 4 2 3" xfId="12253"/>
    <cellStyle name="Currency 5 2 4 2 4 2 4" xfId="20695"/>
    <cellStyle name="Currency 5 2 4 2 4 2 5" xfId="29135"/>
    <cellStyle name="Currency 5 2 4 2 4 3" xfId="5890"/>
    <cellStyle name="Currency 5 2 4 2 4 3 2" xfId="14326"/>
    <cellStyle name="Currency 5 2 4 2 4 3 3" xfId="22767"/>
    <cellStyle name="Currency 5 2 4 2 4 3 4" xfId="31207"/>
    <cellStyle name="Currency 5 2 4 2 4 4" xfId="10108"/>
    <cellStyle name="Currency 5 2 4 2 4 5" xfId="18550"/>
    <cellStyle name="Currency 5 2 4 2 4 6" xfId="26990"/>
    <cellStyle name="Currency 5 2 4 2 5" xfId="1996"/>
    <cellStyle name="Currency 5 2 4 2 5 2" xfId="4225"/>
    <cellStyle name="Currency 5 2 4 2 5 2 2" xfId="8448"/>
    <cellStyle name="Currency 5 2 4 2 5 2 2 2" xfId="16884"/>
    <cellStyle name="Currency 5 2 4 2 5 2 2 3" xfId="25325"/>
    <cellStyle name="Currency 5 2 4 2 5 2 2 4" xfId="33765"/>
    <cellStyle name="Currency 5 2 4 2 5 2 3" xfId="12666"/>
    <cellStyle name="Currency 5 2 4 2 5 2 4" xfId="21108"/>
    <cellStyle name="Currency 5 2 4 2 5 2 5" xfId="29548"/>
    <cellStyle name="Currency 5 2 4 2 5 3" xfId="6303"/>
    <cellStyle name="Currency 5 2 4 2 5 3 2" xfId="14739"/>
    <cellStyle name="Currency 5 2 4 2 5 3 3" xfId="23180"/>
    <cellStyle name="Currency 5 2 4 2 5 3 4" xfId="31620"/>
    <cellStyle name="Currency 5 2 4 2 5 4" xfId="10521"/>
    <cellStyle name="Currency 5 2 4 2 5 5" xfId="18963"/>
    <cellStyle name="Currency 5 2 4 2 5 6" xfId="27403"/>
    <cellStyle name="Currency 5 2 4 2 6" xfId="2431"/>
    <cellStyle name="Currency 5 2 4 2 6 2" xfId="6716"/>
    <cellStyle name="Currency 5 2 4 2 6 2 2" xfId="15152"/>
    <cellStyle name="Currency 5 2 4 2 6 2 3" xfId="23593"/>
    <cellStyle name="Currency 5 2 4 2 6 2 4" xfId="32033"/>
    <cellStyle name="Currency 5 2 4 2 6 3" xfId="10934"/>
    <cellStyle name="Currency 5 2 4 2 6 4" xfId="19376"/>
    <cellStyle name="Currency 5 2 4 2 6 5" xfId="27816"/>
    <cellStyle name="Currency 5 2 4 2 7" xfId="2728"/>
    <cellStyle name="Currency 5 2 4 2 8" xfId="2809"/>
    <cellStyle name="Currency 5 2 4 2 8 2" xfId="7033"/>
    <cellStyle name="Currency 5 2 4 2 8 2 2" xfId="15469"/>
    <cellStyle name="Currency 5 2 4 2 8 2 3" xfId="23910"/>
    <cellStyle name="Currency 5 2 4 2 8 2 4" xfId="32350"/>
    <cellStyle name="Currency 5 2 4 2 8 3" xfId="11251"/>
    <cellStyle name="Currency 5 2 4 2 8 4" xfId="19693"/>
    <cellStyle name="Currency 5 2 4 2 8 5" xfId="28133"/>
    <cellStyle name="Currency 5 2 4 2 9" xfId="4650"/>
    <cellStyle name="Currency 5 2 4 2 9 2" xfId="13086"/>
    <cellStyle name="Currency 5 2 4 2 9 3" xfId="21527"/>
    <cellStyle name="Currency 5 2 4 2 9 4" xfId="29967"/>
    <cellStyle name="Currency 5 2 4 3" xfId="732"/>
    <cellStyle name="Currency 5 2 4 3 2" xfId="2985"/>
    <cellStyle name="Currency 5 2 4 3 2 2" xfId="7208"/>
    <cellStyle name="Currency 5 2 4 3 2 2 2" xfId="15644"/>
    <cellStyle name="Currency 5 2 4 3 2 2 3" xfId="24085"/>
    <cellStyle name="Currency 5 2 4 3 2 2 4" xfId="32525"/>
    <cellStyle name="Currency 5 2 4 3 2 3" xfId="11426"/>
    <cellStyle name="Currency 5 2 4 3 2 4" xfId="19868"/>
    <cellStyle name="Currency 5 2 4 3 2 5" xfId="28308"/>
    <cellStyle name="Currency 5 2 4 3 3" xfId="5063"/>
    <cellStyle name="Currency 5 2 4 3 3 2" xfId="13499"/>
    <cellStyle name="Currency 5 2 4 3 3 3" xfId="21940"/>
    <cellStyle name="Currency 5 2 4 3 3 4" xfId="30380"/>
    <cellStyle name="Currency 5 2 4 3 4" xfId="9281"/>
    <cellStyle name="Currency 5 2 4 3 5" xfId="17723"/>
    <cellStyle name="Currency 5 2 4 3 6" xfId="26163"/>
    <cellStyle name="Currency 5 2 4 4" xfId="1167"/>
    <cellStyle name="Currency 5 2 4 4 2" xfId="3398"/>
    <cellStyle name="Currency 5 2 4 4 2 2" xfId="7621"/>
    <cellStyle name="Currency 5 2 4 4 2 2 2" xfId="16057"/>
    <cellStyle name="Currency 5 2 4 4 2 2 3" xfId="24498"/>
    <cellStyle name="Currency 5 2 4 4 2 2 4" xfId="32938"/>
    <cellStyle name="Currency 5 2 4 4 2 3" xfId="11839"/>
    <cellStyle name="Currency 5 2 4 4 2 4" xfId="20281"/>
    <cellStyle name="Currency 5 2 4 4 2 5" xfId="28721"/>
    <cellStyle name="Currency 5 2 4 4 3" xfId="5476"/>
    <cellStyle name="Currency 5 2 4 4 3 2" xfId="13912"/>
    <cellStyle name="Currency 5 2 4 4 3 3" xfId="22353"/>
    <cellStyle name="Currency 5 2 4 4 3 4" xfId="30793"/>
    <cellStyle name="Currency 5 2 4 4 4" xfId="9694"/>
    <cellStyle name="Currency 5 2 4 4 5" xfId="18136"/>
    <cellStyle name="Currency 5 2 4 4 6" xfId="26576"/>
    <cellStyle name="Currency 5 2 4 5" xfId="1581"/>
    <cellStyle name="Currency 5 2 4 5 2" xfId="3811"/>
    <cellStyle name="Currency 5 2 4 5 2 2" xfId="8034"/>
    <cellStyle name="Currency 5 2 4 5 2 2 2" xfId="16470"/>
    <cellStyle name="Currency 5 2 4 5 2 2 3" xfId="24911"/>
    <cellStyle name="Currency 5 2 4 5 2 2 4" xfId="33351"/>
    <cellStyle name="Currency 5 2 4 5 2 3" xfId="12252"/>
    <cellStyle name="Currency 5 2 4 5 2 4" xfId="20694"/>
    <cellStyle name="Currency 5 2 4 5 2 5" xfId="29134"/>
    <cellStyle name="Currency 5 2 4 5 3" xfId="5889"/>
    <cellStyle name="Currency 5 2 4 5 3 2" xfId="14325"/>
    <cellStyle name="Currency 5 2 4 5 3 3" xfId="22766"/>
    <cellStyle name="Currency 5 2 4 5 3 4" xfId="31206"/>
    <cellStyle name="Currency 5 2 4 5 4" xfId="10107"/>
    <cellStyle name="Currency 5 2 4 5 5" xfId="18549"/>
    <cellStyle name="Currency 5 2 4 5 6" xfId="26989"/>
    <cellStyle name="Currency 5 2 4 6" xfId="1995"/>
    <cellStyle name="Currency 5 2 4 6 2" xfId="4224"/>
    <cellStyle name="Currency 5 2 4 6 2 2" xfId="8447"/>
    <cellStyle name="Currency 5 2 4 6 2 2 2" xfId="16883"/>
    <cellStyle name="Currency 5 2 4 6 2 2 3" xfId="25324"/>
    <cellStyle name="Currency 5 2 4 6 2 2 4" xfId="33764"/>
    <cellStyle name="Currency 5 2 4 6 2 3" xfId="12665"/>
    <cellStyle name="Currency 5 2 4 6 2 4" xfId="21107"/>
    <cellStyle name="Currency 5 2 4 6 2 5" xfId="29547"/>
    <cellStyle name="Currency 5 2 4 6 3" xfId="6302"/>
    <cellStyle name="Currency 5 2 4 6 3 2" xfId="14738"/>
    <cellStyle name="Currency 5 2 4 6 3 3" xfId="23179"/>
    <cellStyle name="Currency 5 2 4 6 3 4" xfId="31619"/>
    <cellStyle name="Currency 5 2 4 6 4" xfId="10520"/>
    <cellStyle name="Currency 5 2 4 6 5" xfId="18962"/>
    <cellStyle name="Currency 5 2 4 6 6" xfId="27402"/>
    <cellStyle name="Currency 5 2 4 7" xfId="2430"/>
    <cellStyle name="Currency 5 2 4 7 2" xfId="6715"/>
    <cellStyle name="Currency 5 2 4 7 2 2" xfId="15151"/>
    <cellStyle name="Currency 5 2 4 7 2 3" xfId="23592"/>
    <cellStyle name="Currency 5 2 4 7 2 4" xfId="32032"/>
    <cellStyle name="Currency 5 2 4 7 3" xfId="10933"/>
    <cellStyle name="Currency 5 2 4 7 4" xfId="19375"/>
    <cellStyle name="Currency 5 2 4 7 5" xfId="27815"/>
    <cellStyle name="Currency 5 2 4 8" xfId="2727"/>
    <cellStyle name="Currency 5 2 4 9" xfId="2808"/>
    <cellStyle name="Currency 5 2 4 9 2" xfId="7032"/>
    <cellStyle name="Currency 5 2 4 9 2 2" xfId="15468"/>
    <cellStyle name="Currency 5 2 4 9 2 3" xfId="23909"/>
    <cellStyle name="Currency 5 2 4 9 2 4" xfId="32349"/>
    <cellStyle name="Currency 5 2 4 9 3" xfId="11250"/>
    <cellStyle name="Currency 5 2 4 9 4" xfId="19692"/>
    <cellStyle name="Currency 5 2 4 9 5" xfId="28132"/>
    <cellStyle name="Currency 5 2 5" xfId="207"/>
    <cellStyle name="Currency 5 2 5 10" xfId="8869"/>
    <cellStyle name="Currency 5 2 5 11" xfId="17311"/>
    <cellStyle name="Currency 5 2 5 12" xfId="25751"/>
    <cellStyle name="Currency 5 2 5 2" xfId="734"/>
    <cellStyle name="Currency 5 2 5 2 2" xfId="2987"/>
    <cellStyle name="Currency 5 2 5 2 2 2" xfId="7210"/>
    <cellStyle name="Currency 5 2 5 2 2 2 2" xfId="15646"/>
    <cellStyle name="Currency 5 2 5 2 2 2 3" xfId="24087"/>
    <cellStyle name="Currency 5 2 5 2 2 2 4" xfId="32527"/>
    <cellStyle name="Currency 5 2 5 2 2 3" xfId="11428"/>
    <cellStyle name="Currency 5 2 5 2 2 4" xfId="19870"/>
    <cellStyle name="Currency 5 2 5 2 2 5" xfId="28310"/>
    <cellStyle name="Currency 5 2 5 2 3" xfId="5065"/>
    <cellStyle name="Currency 5 2 5 2 3 2" xfId="13501"/>
    <cellStyle name="Currency 5 2 5 2 3 3" xfId="21942"/>
    <cellStyle name="Currency 5 2 5 2 3 4" xfId="30382"/>
    <cellStyle name="Currency 5 2 5 2 4" xfId="9283"/>
    <cellStyle name="Currency 5 2 5 2 5" xfId="17725"/>
    <cellStyle name="Currency 5 2 5 2 6" xfId="26165"/>
    <cellStyle name="Currency 5 2 5 3" xfId="1169"/>
    <cellStyle name="Currency 5 2 5 3 2" xfId="3400"/>
    <cellStyle name="Currency 5 2 5 3 2 2" xfId="7623"/>
    <cellStyle name="Currency 5 2 5 3 2 2 2" xfId="16059"/>
    <cellStyle name="Currency 5 2 5 3 2 2 3" xfId="24500"/>
    <cellStyle name="Currency 5 2 5 3 2 2 4" xfId="32940"/>
    <cellStyle name="Currency 5 2 5 3 2 3" xfId="11841"/>
    <cellStyle name="Currency 5 2 5 3 2 4" xfId="20283"/>
    <cellStyle name="Currency 5 2 5 3 2 5" xfId="28723"/>
    <cellStyle name="Currency 5 2 5 3 3" xfId="5478"/>
    <cellStyle name="Currency 5 2 5 3 3 2" xfId="13914"/>
    <cellStyle name="Currency 5 2 5 3 3 3" xfId="22355"/>
    <cellStyle name="Currency 5 2 5 3 3 4" xfId="30795"/>
    <cellStyle name="Currency 5 2 5 3 4" xfId="9696"/>
    <cellStyle name="Currency 5 2 5 3 5" xfId="18138"/>
    <cellStyle name="Currency 5 2 5 3 6" xfId="26578"/>
    <cellStyle name="Currency 5 2 5 4" xfId="1583"/>
    <cellStyle name="Currency 5 2 5 4 2" xfId="3813"/>
    <cellStyle name="Currency 5 2 5 4 2 2" xfId="8036"/>
    <cellStyle name="Currency 5 2 5 4 2 2 2" xfId="16472"/>
    <cellStyle name="Currency 5 2 5 4 2 2 3" xfId="24913"/>
    <cellStyle name="Currency 5 2 5 4 2 2 4" xfId="33353"/>
    <cellStyle name="Currency 5 2 5 4 2 3" xfId="12254"/>
    <cellStyle name="Currency 5 2 5 4 2 4" xfId="20696"/>
    <cellStyle name="Currency 5 2 5 4 2 5" xfId="29136"/>
    <cellStyle name="Currency 5 2 5 4 3" xfId="5891"/>
    <cellStyle name="Currency 5 2 5 4 3 2" xfId="14327"/>
    <cellStyle name="Currency 5 2 5 4 3 3" xfId="22768"/>
    <cellStyle name="Currency 5 2 5 4 3 4" xfId="31208"/>
    <cellStyle name="Currency 5 2 5 4 4" xfId="10109"/>
    <cellStyle name="Currency 5 2 5 4 5" xfId="18551"/>
    <cellStyle name="Currency 5 2 5 4 6" xfId="26991"/>
    <cellStyle name="Currency 5 2 5 5" xfId="1997"/>
    <cellStyle name="Currency 5 2 5 5 2" xfId="4226"/>
    <cellStyle name="Currency 5 2 5 5 2 2" xfId="8449"/>
    <cellStyle name="Currency 5 2 5 5 2 2 2" xfId="16885"/>
    <cellStyle name="Currency 5 2 5 5 2 2 3" xfId="25326"/>
    <cellStyle name="Currency 5 2 5 5 2 2 4" xfId="33766"/>
    <cellStyle name="Currency 5 2 5 5 2 3" xfId="12667"/>
    <cellStyle name="Currency 5 2 5 5 2 4" xfId="21109"/>
    <cellStyle name="Currency 5 2 5 5 2 5" xfId="29549"/>
    <cellStyle name="Currency 5 2 5 5 3" xfId="6304"/>
    <cellStyle name="Currency 5 2 5 5 3 2" xfId="14740"/>
    <cellStyle name="Currency 5 2 5 5 3 3" xfId="23181"/>
    <cellStyle name="Currency 5 2 5 5 3 4" xfId="31621"/>
    <cellStyle name="Currency 5 2 5 5 4" xfId="10522"/>
    <cellStyle name="Currency 5 2 5 5 5" xfId="18964"/>
    <cellStyle name="Currency 5 2 5 5 6" xfId="27404"/>
    <cellStyle name="Currency 5 2 5 6" xfId="2432"/>
    <cellStyle name="Currency 5 2 5 6 2" xfId="6717"/>
    <cellStyle name="Currency 5 2 5 6 2 2" xfId="15153"/>
    <cellStyle name="Currency 5 2 5 6 2 3" xfId="23594"/>
    <cellStyle name="Currency 5 2 5 6 2 4" xfId="32034"/>
    <cellStyle name="Currency 5 2 5 6 3" xfId="10935"/>
    <cellStyle name="Currency 5 2 5 6 4" xfId="19377"/>
    <cellStyle name="Currency 5 2 5 6 5" xfId="27817"/>
    <cellStyle name="Currency 5 2 5 7" xfId="2729"/>
    <cellStyle name="Currency 5 2 5 8" xfId="2810"/>
    <cellStyle name="Currency 5 2 5 8 2" xfId="7034"/>
    <cellStyle name="Currency 5 2 5 8 2 2" xfId="15470"/>
    <cellStyle name="Currency 5 2 5 8 2 3" xfId="23911"/>
    <cellStyle name="Currency 5 2 5 8 2 4" xfId="32351"/>
    <cellStyle name="Currency 5 2 5 8 3" xfId="11252"/>
    <cellStyle name="Currency 5 2 5 8 4" xfId="19694"/>
    <cellStyle name="Currency 5 2 5 8 5" xfId="28134"/>
    <cellStyle name="Currency 5 2 5 9" xfId="4651"/>
    <cellStyle name="Currency 5 2 5 9 2" xfId="13087"/>
    <cellStyle name="Currency 5 2 5 9 3" xfId="21528"/>
    <cellStyle name="Currency 5 2 5 9 4" xfId="29968"/>
    <cellStyle name="Currency 5 2 6" xfId="208"/>
    <cellStyle name="Currency 5 2 6 10" xfId="8870"/>
    <cellStyle name="Currency 5 2 6 11" xfId="17312"/>
    <cellStyle name="Currency 5 2 6 12" xfId="25752"/>
    <cellStyle name="Currency 5 2 6 2" xfId="735"/>
    <cellStyle name="Currency 5 2 6 2 2" xfId="2988"/>
    <cellStyle name="Currency 5 2 6 2 2 2" xfId="7211"/>
    <cellStyle name="Currency 5 2 6 2 2 2 2" xfId="15647"/>
    <cellStyle name="Currency 5 2 6 2 2 2 3" xfId="24088"/>
    <cellStyle name="Currency 5 2 6 2 2 2 4" xfId="32528"/>
    <cellStyle name="Currency 5 2 6 2 2 3" xfId="11429"/>
    <cellStyle name="Currency 5 2 6 2 2 4" xfId="19871"/>
    <cellStyle name="Currency 5 2 6 2 2 5" xfId="28311"/>
    <cellStyle name="Currency 5 2 6 2 3" xfId="5066"/>
    <cellStyle name="Currency 5 2 6 2 3 2" xfId="13502"/>
    <cellStyle name="Currency 5 2 6 2 3 3" xfId="21943"/>
    <cellStyle name="Currency 5 2 6 2 3 4" xfId="30383"/>
    <cellStyle name="Currency 5 2 6 2 4" xfId="9284"/>
    <cellStyle name="Currency 5 2 6 2 5" xfId="17726"/>
    <cellStyle name="Currency 5 2 6 2 6" xfId="26166"/>
    <cellStyle name="Currency 5 2 6 3" xfId="1170"/>
    <cellStyle name="Currency 5 2 6 3 2" xfId="3401"/>
    <cellStyle name="Currency 5 2 6 3 2 2" xfId="7624"/>
    <cellStyle name="Currency 5 2 6 3 2 2 2" xfId="16060"/>
    <cellStyle name="Currency 5 2 6 3 2 2 3" xfId="24501"/>
    <cellStyle name="Currency 5 2 6 3 2 2 4" xfId="32941"/>
    <cellStyle name="Currency 5 2 6 3 2 3" xfId="11842"/>
    <cellStyle name="Currency 5 2 6 3 2 4" xfId="20284"/>
    <cellStyle name="Currency 5 2 6 3 2 5" xfId="28724"/>
    <cellStyle name="Currency 5 2 6 3 3" xfId="5479"/>
    <cellStyle name="Currency 5 2 6 3 3 2" xfId="13915"/>
    <cellStyle name="Currency 5 2 6 3 3 3" xfId="22356"/>
    <cellStyle name="Currency 5 2 6 3 3 4" xfId="30796"/>
    <cellStyle name="Currency 5 2 6 3 4" xfId="9697"/>
    <cellStyle name="Currency 5 2 6 3 5" xfId="18139"/>
    <cellStyle name="Currency 5 2 6 3 6" xfId="26579"/>
    <cellStyle name="Currency 5 2 6 4" xfId="1584"/>
    <cellStyle name="Currency 5 2 6 4 2" xfId="3814"/>
    <cellStyle name="Currency 5 2 6 4 2 2" xfId="8037"/>
    <cellStyle name="Currency 5 2 6 4 2 2 2" xfId="16473"/>
    <cellStyle name="Currency 5 2 6 4 2 2 3" xfId="24914"/>
    <cellStyle name="Currency 5 2 6 4 2 2 4" xfId="33354"/>
    <cellStyle name="Currency 5 2 6 4 2 3" xfId="12255"/>
    <cellStyle name="Currency 5 2 6 4 2 4" xfId="20697"/>
    <cellStyle name="Currency 5 2 6 4 2 5" xfId="29137"/>
    <cellStyle name="Currency 5 2 6 4 3" xfId="5892"/>
    <cellStyle name="Currency 5 2 6 4 3 2" xfId="14328"/>
    <cellStyle name="Currency 5 2 6 4 3 3" xfId="22769"/>
    <cellStyle name="Currency 5 2 6 4 3 4" xfId="31209"/>
    <cellStyle name="Currency 5 2 6 4 4" xfId="10110"/>
    <cellStyle name="Currency 5 2 6 4 5" xfId="18552"/>
    <cellStyle name="Currency 5 2 6 4 6" xfId="26992"/>
    <cellStyle name="Currency 5 2 6 5" xfId="1998"/>
    <cellStyle name="Currency 5 2 6 5 2" xfId="4227"/>
    <cellStyle name="Currency 5 2 6 5 2 2" xfId="8450"/>
    <cellStyle name="Currency 5 2 6 5 2 2 2" xfId="16886"/>
    <cellStyle name="Currency 5 2 6 5 2 2 3" xfId="25327"/>
    <cellStyle name="Currency 5 2 6 5 2 2 4" xfId="33767"/>
    <cellStyle name="Currency 5 2 6 5 2 3" xfId="12668"/>
    <cellStyle name="Currency 5 2 6 5 2 4" xfId="21110"/>
    <cellStyle name="Currency 5 2 6 5 2 5" xfId="29550"/>
    <cellStyle name="Currency 5 2 6 5 3" xfId="6305"/>
    <cellStyle name="Currency 5 2 6 5 3 2" xfId="14741"/>
    <cellStyle name="Currency 5 2 6 5 3 3" xfId="23182"/>
    <cellStyle name="Currency 5 2 6 5 3 4" xfId="31622"/>
    <cellStyle name="Currency 5 2 6 5 4" xfId="10523"/>
    <cellStyle name="Currency 5 2 6 5 5" xfId="18965"/>
    <cellStyle name="Currency 5 2 6 5 6" xfId="27405"/>
    <cellStyle name="Currency 5 2 6 6" xfId="2433"/>
    <cellStyle name="Currency 5 2 6 6 2" xfId="6718"/>
    <cellStyle name="Currency 5 2 6 6 2 2" xfId="15154"/>
    <cellStyle name="Currency 5 2 6 6 2 3" xfId="23595"/>
    <cellStyle name="Currency 5 2 6 6 2 4" xfId="32035"/>
    <cellStyle name="Currency 5 2 6 6 3" xfId="10936"/>
    <cellStyle name="Currency 5 2 6 6 4" xfId="19378"/>
    <cellStyle name="Currency 5 2 6 6 5" xfId="27818"/>
    <cellStyle name="Currency 5 2 6 7" xfId="2730"/>
    <cellStyle name="Currency 5 2 6 8" xfId="2811"/>
    <cellStyle name="Currency 5 2 6 8 2" xfId="7035"/>
    <cellStyle name="Currency 5 2 6 8 2 2" xfId="15471"/>
    <cellStyle name="Currency 5 2 6 8 2 3" xfId="23912"/>
    <cellStyle name="Currency 5 2 6 8 2 4" xfId="32352"/>
    <cellStyle name="Currency 5 2 6 8 3" xfId="11253"/>
    <cellStyle name="Currency 5 2 6 8 4" xfId="19695"/>
    <cellStyle name="Currency 5 2 6 8 5" xfId="28135"/>
    <cellStyle name="Currency 5 2 6 9" xfId="4652"/>
    <cellStyle name="Currency 5 2 6 9 2" xfId="13088"/>
    <cellStyle name="Currency 5 2 6 9 3" xfId="21529"/>
    <cellStyle name="Currency 5 2 6 9 4" xfId="29969"/>
    <cellStyle name="Currency 5 2 7" xfId="722"/>
    <cellStyle name="Currency 5 3" xfId="209"/>
    <cellStyle name="Currency 5 3 2" xfId="210"/>
    <cellStyle name="Currency 5 3 2 10" xfId="2812"/>
    <cellStyle name="Currency 5 3 2 10 2" xfId="7036"/>
    <cellStyle name="Currency 5 3 2 10 2 2" xfId="15472"/>
    <cellStyle name="Currency 5 3 2 10 2 3" xfId="23913"/>
    <cellStyle name="Currency 5 3 2 10 2 4" xfId="32353"/>
    <cellStyle name="Currency 5 3 2 10 3" xfId="11254"/>
    <cellStyle name="Currency 5 3 2 10 4" xfId="19696"/>
    <cellStyle name="Currency 5 3 2 10 5" xfId="28136"/>
    <cellStyle name="Currency 5 3 2 11" xfId="4653"/>
    <cellStyle name="Currency 5 3 2 11 2" xfId="13089"/>
    <cellStyle name="Currency 5 3 2 11 3" xfId="21530"/>
    <cellStyle name="Currency 5 3 2 11 4" xfId="29970"/>
    <cellStyle name="Currency 5 3 2 12" xfId="8871"/>
    <cellStyle name="Currency 5 3 2 13" xfId="17313"/>
    <cellStyle name="Currency 5 3 2 14" xfId="25753"/>
    <cellStyle name="Currency 5 3 2 2" xfId="211"/>
    <cellStyle name="Currency 5 3 2 2 10" xfId="4654"/>
    <cellStyle name="Currency 5 3 2 2 10 2" xfId="13090"/>
    <cellStyle name="Currency 5 3 2 2 10 3" xfId="21531"/>
    <cellStyle name="Currency 5 3 2 2 10 4" xfId="29971"/>
    <cellStyle name="Currency 5 3 2 2 11" xfId="8872"/>
    <cellStyle name="Currency 5 3 2 2 12" xfId="17314"/>
    <cellStyle name="Currency 5 3 2 2 13" xfId="25754"/>
    <cellStyle name="Currency 5 3 2 2 2" xfId="212"/>
    <cellStyle name="Currency 5 3 2 2 2 10" xfId="8873"/>
    <cellStyle name="Currency 5 3 2 2 2 11" xfId="17315"/>
    <cellStyle name="Currency 5 3 2 2 2 12" xfId="25755"/>
    <cellStyle name="Currency 5 3 2 2 2 2" xfId="738"/>
    <cellStyle name="Currency 5 3 2 2 2 2 2" xfId="2991"/>
    <cellStyle name="Currency 5 3 2 2 2 2 2 2" xfId="7214"/>
    <cellStyle name="Currency 5 3 2 2 2 2 2 2 2" xfId="15650"/>
    <cellStyle name="Currency 5 3 2 2 2 2 2 2 3" xfId="24091"/>
    <cellStyle name="Currency 5 3 2 2 2 2 2 2 4" xfId="32531"/>
    <cellStyle name="Currency 5 3 2 2 2 2 2 3" xfId="11432"/>
    <cellStyle name="Currency 5 3 2 2 2 2 2 4" xfId="19874"/>
    <cellStyle name="Currency 5 3 2 2 2 2 2 5" xfId="28314"/>
    <cellStyle name="Currency 5 3 2 2 2 2 3" xfId="5069"/>
    <cellStyle name="Currency 5 3 2 2 2 2 3 2" xfId="13505"/>
    <cellStyle name="Currency 5 3 2 2 2 2 3 3" xfId="21946"/>
    <cellStyle name="Currency 5 3 2 2 2 2 3 4" xfId="30386"/>
    <cellStyle name="Currency 5 3 2 2 2 2 4" xfId="9287"/>
    <cellStyle name="Currency 5 3 2 2 2 2 5" xfId="17729"/>
    <cellStyle name="Currency 5 3 2 2 2 2 6" xfId="26169"/>
    <cellStyle name="Currency 5 3 2 2 2 3" xfId="1173"/>
    <cellStyle name="Currency 5 3 2 2 2 3 2" xfId="3404"/>
    <cellStyle name="Currency 5 3 2 2 2 3 2 2" xfId="7627"/>
    <cellStyle name="Currency 5 3 2 2 2 3 2 2 2" xfId="16063"/>
    <cellStyle name="Currency 5 3 2 2 2 3 2 2 3" xfId="24504"/>
    <cellStyle name="Currency 5 3 2 2 2 3 2 2 4" xfId="32944"/>
    <cellStyle name="Currency 5 3 2 2 2 3 2 3" xfId="11845"/>
    <cellStyle name="Currency 5 3 2 2 2 3 2 4" xfId="20287"/>
    <cellStyle name="Currency 5 3 2 2 2 3 2 5" xfId="28727"/>
    <cellStyle name="Currency 5 3 2 2 2 3 3" xfId="5482"/>
    <cellStyle name="Currency 5 3 2 2 2 3 3 2" xfId="13918"/>
    <cellStyle name="Currency 5 3 2 2 2 3 3 3" xfId="22359"/>
    <cellStyle name="Currency 5 3 2 2 2 3 3 4" xfId="30799"/>
    <cellStyle name="Currency 5 3 2 2 2 3 4" xfId="9700"/>
    <cellStyle name="Currency 5 3 2 2 2 3 5" xfId="18142"/>
    <cellStyle name="Currency 5 3 2 2 2 3 6" xfId="26582"/>
    <cellStyle name="Currency 5 3 2 2 2 4" xfId="1587"/>
    <cellStyle name="Currency 5 3 2 2 2 4 2" xfId="3817"/>
    <cellStyle name="Currency 5 3 2 2 2 4 2 2" xfId="8040"/>
    <cellStyle name="Currency 5 3 2 2 2 4 2 2 2" xfId="16476"/>
    <cellStyle name="Currency 5 3 2 2 2 4 2 2 3" xfId="24917"/>
    <cellStyle name="Currency 5 3 2 2 2 4 2 2 4" xfId="33357"/>
    <cellStyle name="Currency 5 3 2 2 2 4 2 3" xfId="12258"/>
    <cellStyle name="Currency 5 3 2 2 2 4 2 4" xfId="20700"/>
    <cellStyle name="Currency 5 3 2 2 2 4 2 5" xfId="29140"/>
    <cellStyle name="Currency 5 3 2 2 2 4 3" xfId="5895"/>
    <cellStyle name="Currency 5 3 2 2 2 4 3 2" xfId="14331"/>
    <cellStyle name="Currency 5 3 2 2 2 4 3 3" xfId="22772"/>
    <cellStyle name="Currency 5 3 2 2 2 4 3 4" xfId="31212"/>
    <cellStyle name="Currency 5 3 2 2 2 4 4" xfId="10113"/>
    <cellStyle name="Currency 5 3 2 2 2 4 5" xfId="18555"/>
    <cellStyle name="Currency 5 3 2 2 2 4 6" xfId="26995"/>
    <cellStyle name="Currency 5 3 2 2 2 5" xfId="2001"/>
    <cellStyle name="Currency 5 3 2 2 2 5 2" xfId="4230"/>
    <cellStyle name="Currency 5 3 2 2 2 5 2 2" xfId="8453"/>
    <cellStyle name="Currency 5 3 2 2 2 5 2 2 2" xfId="16889"/>
    <cellStyle name="Currency 5 3 2 2 2 5 2 2 3" xfId="25330"/>
    <cellStyle name="Currency 5 3 2 2 2 5 2 2 4" xfId="33770"/>
    <cellStyle name="Currency 5 3 2 2 2 5 2 3" xfId="12671"/>
    <cellStyle name="Currency 5 3 2 2 2 5 2 4" xfId="21113"/>
    <cellStyle name="Currency 5 3 2 2 2 5 2 5" xfId="29553"/>
    <cellStyle name="Currency 5 3 2 2 2 5 3" xfId="6308"/>
    <cellStyle name="Currency 5 3 2 2 2 5 3 2" xfId="14744"/>
    <cellStyle name="Currency 5 3 2 2 2 5 3 3" xfId="23185"/>
    <cellStyle name="Currency 5 3 2 2 2 5 3 4" xfId="31625"/>
    <cellStyle name="Currency 5 3 2 2 2 5 4" xfId="10526"/>
    <cellStyle name="Currency 5 3 2 2 2 5 5" xfId="18968"/>
    <cellStyle name="Currency 5 3 2 2 2 5 6" xfId="27408"/>
    <cellStyle name="Currency 5 3 2 2 2 6" xfId="2436"/>
    <cellStyle name="Currency 5 3 2 2 2 6 2" xfId="6721"/>
    <cellStyle name="Currency 5 3 2 2 2 6 2 2" xfId="15157"/>
    <cellStyle name="Currency 5 3 2 2 2 6 2 3" xfId="23598"/>
    <cellStyle name="Currency 5 3 2 2 2 6 2 4" xfId="32038"/>
    <cellStyle name="Currency 5 3 2 2 2 6 3" xfId="10939"/>
    <cellStyle name="Currency 5 3 2 2 2 6 4" xfId="19381"/>
    <cellStyle name="Currency 5 3 2 2 2 6 5" xfId="27821"/>
    <cellStyle name="Currency 5 3 2 2 2 7" xfId="2733"/>
    <cellStyle name="Currency 5 3 2 2 2 8" xfId="2814"/>
    <cellStyle name="Currency 5 3 2 2 2 8 2" xfId="7038"/>
    <cellStyle name="Currency 5 3 2 2 2 8 2 2" xfId="15474"/>
    <cellStyle name="Currency 5 3 2 2 2 8 2 3" xfId="23915"/>
    <cellStyle name="Currency 5 3 2 2 2 8 2 4" xfId="32355"/>
    <cellStyle name="Currency 5 3 2 2 2 8 3" xfId="11256"/>
    <cellStyle name="Currency 5 3 2 2 2 8 4" xfId="19698"/>
    <cellStyle name="Currency 5 3 2 2 2 8 5" xfId="28138"/>
    <cellStyle name="Currency 5 3 2 2 2 9" xfId="4655"/>
    <cellStyle name="Currency 5 3 2 2 2 9 2" xfId="13091"/>
    <cellStyle name="Currency 5 3 2 2 2 9 3" xfId="21532"/>
    <cellStyle name="Currency 5 3 2 2 2 9 4" xfId="29972"/>
    <cellStyle name="Currency 5 3 2 2 3" xfId="737"/>
    <cellStyle name="Currency 5 3 2 2 3 2" xfId="2990"/>
    <cellStyle name="Currency 5 3 2 2 3 2 2" xfId="7213"/>
    <cellStyle name="Currency 5 3 2 2 3 2 2 2" xfId="15649"/>
    <cellStyle name="Currency 5 3 2 2 3 2 2 3" xfId="24090"/>
    <cellStyle name="Currency 5 3 2 2 3 2 2 4" xfId="32530"/>
    <cellStyle name="Currency 5 3 2 2 3 2 3" xfId="11431"/>
    <cellStyle name="Currency 5 3 2 2 3 2 4" xfId="19873"/>
    <cellStyle name="Currency 5 3 2 2 3 2 5" xfId="28313"/>
    <cellStyle name="Currency 5 3 2 2 3 3" xfId="5068"/>
    <cellStyle name="Currency 5 3 2 2 3 3 2" xfId="13504"/>
    <cellStyle name="Currency 5 3 2 2 3 3 3" xfId="21945"/>
    <cellStyle name="Currency 5 3 2 2 3 3 4" xfId="30385"/>
    <cellStyle name="Currency 5 3 2 2 3 4" xfId="9286"/>
    <cellStyle name="Currency 5 3 2 2 3 5" xfId="17728"/>
    <cellStyle name="Currency 5 3 2 2 3 6" xfId="26168"/>
    <cellStyle name="Currency 5 3 2 2 4" xfId="1172"/>
    <cellStyle name="Currency 5 3 2 2 4 2" xfId="3403"/>
    <cellStyle name="Currency 5 3 2 2 4 2 2" xfId="7626"/>
    <cellStyle name="Currency 5 3 2 2 4 2 2 2" xfId="16062"/>
    <cellStyle name="Currency 5 3 2 2 4 2 2 3" xfId="24503"/>
    <cellStyle name="Currency 5 3 2 2 4 2 2 4" xfId="32943"/>
    <cellStyle name="Currency 5 3 2 2 4 2 3" xfId="11844"/>
    <cellStyle name="Currency 5 3 2 2 4 2 4" xfId="20286"/>
    <cellStyle name="Currency 5 3 2 2 4 2 5" xfId="28726"/>
    <cellStyle name="Currency 5 3 2 2 4 3" xfId="5481"/>
    <cellStyle name="Currency 5 3 2 2 4 3 2" xfId="13917"/>
    <cellStyle name="Currency 5 3 2 2 4 3 3" xfId="22358"/>
    <cellStyle name="Currency 5 3 2 2 4 3 4" xfId="30798"/>
    <cellStyle name="Currency 5 3 2 2 4 4" xfId="9699"/>
    <cellStyle name="Currency 5 3 2 2 4 5" xfId="18141"/>
    <cellStyle name="Currency 5 3 2 2 4 6" xfId="26581"/>
    <cellStyle name="Currency 5 3 2 2 5" xfId="1586"/>
    <cellStyle name="Currency 5 3 2 2 5 2" xfId="3816"/>
    <cellStyle name="Currency 5 3 2 2 5 2 2" xfId="8039"/>
    <cellStyle name="Currency 5 3 2 2 5 2 2 2" xfId="16475"/>
    <cellStyle name="Currency 5 3 2 2 5 2 2 3" xfId="24916"/>
    <cellStyle name="Currency 5 3 2 2 5 2 2 4" xfId="33356"/>
    <cellStyle name="Currency 5 3 2 2 5 2 3" xfId="12257"/>
    <cellStyle name="Currency 5 3 2 2 5 2 4" xfId="20699"/>
    <cellStyle name="Currency 5 3 2 2 5 2 5" xfId="29139"/>
    <cellStyle name="Currency 5 3 2 2 5 3" xfId="5894"/>
    <cellStyle name="Currency 5 3 2 2 5 3 2" xfId="14330"/>
    <cellStyle name="Currency 5 3 2 2 5 3 3" xfId="22771"/>
    <cellStyle name="Currency 5 3 2 2 5 3 4" xfId="31211"/>
    <cellStyle name="Currency 5 3 2 2 5 4" xfId="10112"/>
    <cellStyle name="Currency 5 3 2 2 5 5" xfId="18554"/>
    <cellStyle name="Currency 5 3 2 2 5 6" xfId="26994"/>
    <cellStyle name="Currency 5 3 2 2 6" xfId="2000"/>
    <cellStyle name="Currency 5 3 2 2 6 2" xfId="4229"/>
    <cellStyle name="Currency 5 3 2 2 6 2 2" xfId="8452"/>
    <cellStyle name="Currency 5 3 2 2 6 2 2 2" xfId="16888"/>
    <cellStyle name="Currency 5 3 2 2 6 2 2 3" xfId="25329"/>
    <cellStyle name="Currency 5 3 2 2 6 2 2 4" xfId="33769"/>
    <cellStyle name="Currency 5 3 2 2 6 2 3" xfId="12670"/>
    <cellStyle name="Currency 5 3 2 2 6 2 4" xfId="21112"/>
    <cellStyle name="Currency 5 3 2 2 6 2 5" xfId="29552"/>
    <cellStyle name="Currency 5 3 2 2 6 3" xfId="6307"/>
    <cellStyle name="Currency 5 3 2 2 6 3 2" xfId="14743"/>
    <cellStyle name="Currency 5 3 2 2 6 3 3" xfId="23184"/>
    <cellStyle name="Currency 5 3 2 2 6 3 4" xfId="31624"/>
    <cellStyle name="Currency 5 3 2 2 6 4" xfId="10525"/>
    <cellStyle name="Currency 5 3 2 2 6 5" xfId="18967"/>
    <cellStyle name="Currency 5 3 2 2 6 6" xfId="27407"/>
    <cellStyle name="Currency 5 3 2 2 7" xfId="2435"/>
    <cellStyle name="Currency 5 3 2 2 7 2" xfId="6720"/>
    <cellStyle name="Currency 5 3 2 2 7 2 2" xfId="15156"/>
    <cellStyle name="Currency 5 3 2 2 7 2 3" xfId="23597"/>
    <cellStyle name="Currency 5 3 2 2 7 2 4" xfId="32037"/>
    <cellStyle name="Currency 5 3 2 2 7 3" xfId="10938"/>
    <cellStyle name="Currency 5 3 2 2 7 4" xfId="19380"/>
    <cellStyle name="Currency 5 3 2 2 7 5" xfId="27820"/>
    <cellStyle name="Currency 5 3 2 2 8" xfId="2732"/>
    <cellStyle name="Currency 5 3 2 2 9" xfId="2813"/>
    <cellStyle name="Currency 5 3 2 2 9 2" xfId="7037"/>
    <cellStyle name="Currency 5 3 2 2 9 2 2" xfId="15473"/>
    <cellStyle name="Currency 5 3 2 2 9 2 3" xfId="23914"/>
    <cellStyle name="Currency 5 3 2 2 9 2 4" xfId="32354"/>
    <cellStyle name="Currency 5 3 2 2 9 3" xfId="11255"/>
    <cellStyle name="Currency 5 3 2 2 9 4" xfId="19697"/>
    <cellStyle name="Currency 5 3 2 2 9 5" xfId="28137"/>
    <cellStyle name="Currency 5 3 2 3" xfId="213"/>
    <cellStyle name="Currency 5 3 2 3 10" xfId="8874"/>
    <cellStyle name="Currency 5 3 2 3 11" xfId="17316"/>
    <cellStyle name="Currency 5 3 2 3 12" xfId="25756"/>
    <cellStyle name="Currency 5 3 2 3 2" xfId="739"/>
    <cellStyle name="Currency 5 3 2 3 2 2" xfId="2992"/>
    <cellStyle name="Currency 5 3 2 3 2 2 2" xfId="7215"/>
    <cellStyle name="Currency 5 3 2 3 2 2 2 2" xfId="15651"/>
    <cellStyle name="Currency 5 3 2 3 2 2 2 3" xfId="24092"/>
    <cellStyle name="Currency 5 3 2 3 2 2 2 4" xfId="32532"/>
    <cellStyle name="Currency 5 3 2 3 2 2 3" xfId="11433"/>
    <cellStyle name="Currency 5 3 2 3 2 2 4" xfId="19875"/>
    <cellStyle name="Currency 5 3 2 3 2 2 5" xfId="28315"/>
    <cellStyle name="Currency 5 3 2 3 2 3" xfId="5070"/>
    <cellStyle name="Currency 5 3 2 3 2 3 2" xfId="13506"/>
    <cellStyle name="Currency 5 3 2 3 2 3 3" xfId="21947"/>
    <cellStyle name="Currency 5 3 2 3 2 3 4" xfId="30387"/>
    <cellStyle name="Currency 5 3 2 3 2 4" xfId="9288"/>
    <cellStyle name="Currency 5 3 2 3 2 5" xfId="17730"/>
    <cellStyle name="Currency 5 3 2 3 2 6" xfId="26170"/>
    <cellStyle name="Currency 5 3 2 3 3" xfId="1174"/>
    <cellStyle name="Currency 5 3 2 3 3 2" xfId="3405"/>
    <cellStyle name="Currency 5 3 2 3 3 2 2" xfId="7628"/>
    <cellStyle name="Currency 5 3 2 3 3 2 2 2" xfId="16064"/>
    <cellStyle name="Currency 5 3 2 3 3 2 2 3" xfId="24505"/>
    <cellStyle name="Currency 5 3 2 3 3 2 2 4" xfId="32945"/>
    <cellStyle name="Currency 5 3 2 3 3 2 3" xfId="11846"/>
    <cellStyle name="Currency 5 3 2 3 3 2 4" xfId="20288"/>
    <cellStyle name="Currency 5 3 2 3 3 2 5" xfId="28728"/>
    <cellStyle name="Currency 5 3 2 3 3 3" xfId="5483"/>
    <cellStyle name="Currency 5 3 2 3 3 3 2" xfId="13919"/>
    <cellStyle name="Currency 5 3 2 3 3 3 3" xfId="22360"/>
    <cellStyle name="Currency 5 3 2 3 3 3 4" xfId="30800"/>
    <cellStyle name="Currency 5 3 2 3 3 4" xfId="9701"/>
    <cellStyle name="Currency 5 3 2 3 3 5" xfId="18143"/>
    <cellStyle name="Currency 5 3 2 3 3 6" xfId="26583"/>
    <cellStyle name="Currency 5 3 2 3 4" xfId="1588"/>
    <cellStyle name="Currency 5 3 2 3 4 2" xfId="3818"/>
    <cellStyle name="Currency 5 3 2 3 4 2 2" xfId="8041"/>
    <cellStyle name="Currency 5 3 2 3 4 2 2 2" xfId="16477"/>
    <cellStyle name="Currency 5 3 2 3 4 2 2 3" xfId="24918"/>
    <cellStyle name="Currency 5 3 2 3 4 2 2 4" xfId="33358"/>
    <cellStyle name="Currency 5 3 2 3 4 2 3" xfId="12259"/>
    <cellStyle name="Currency 5 3 2 3 4 2 4" xfId="20701"/>
    <cellStyle name="Currency 5 3 2 3 4 2 5" xfId="29141"/>
    <cellStyle name="Currency 5 3 2 3 4 3" xfId="5896"/>
    <cellStyle name="Currency 5 3 2 3 4 3 2" xfId="14332"/>
    <cellStyle name="Currency 5 3 2 3 4 3 3" xfId="22773"/>
    <cellStyle name="Currency 5 3 2 3 4 3 4" xfId="31213"/>
    <cellStyle name="Currency 5 3 2 3 4 4" xfId="10114"/>
    <cellStyle name="Currency 5 3 2 3 4 5" xfId="18556"/>
    <cellStyle name="Currency 5 3 2 3 4 6" xfId="26996"/>
    <cellStyle name="Currency 5 3 2 3 5" xfId="2002"/>
    <cellStyle name="Currency 5 3 2 3 5 2" xfId="4231"/>
    <cellStyle name="Currency 5 3 2 3 5 2 2" xfId="8454"/>
    <cellStyle name="Currency 5 3 2 3 5 2 2 2" xfId="16890"/>
    <cellStyle name="Currency 5 3 2 3 5 2 2 3" xfId="25331"/>
    <cellStyle name="Currency 5 3 2 3 5 2 2 4" xfId="33771"/>
    <cellStyle name="Currency 5 3 2 3 5 2 3" xfId="12672"/>
    <cellStyle name="Currency 5 3 2 3 5 2 4" xfId="21114"/>
    <cellStyle name="Currency 5 3 2 3 5 2 5" xfId="29554"/>
    <cellStyle name="Currency 5 3 2 3 5 3" xfId="6309"/>
    <cellStyle name="Currency 5 3 2 3 5 3 2" xfId="14745"/>
    <cellStyle name="Currency 5 3 2 3 5 3 3" xfId="23186"/>
    <cellStyle name="Currency 5 3 2 3 5 3 4" xfId="31626"/>
    <cellStyle name="Currency 5 3 2 3 5 4" xfId="10527"/>
    <cellStyle name="Currency 5 3 2 3 5 5" xfId="18969"/>
    <cellStyle name="Currency 5 3 2 3 5 6" xfId="27409"/>
    <cellStyle name="Currency 5 3 2 3 6" xfId="2437"/>
    <cellStyle name="Currency 5 3 2 3 6 2" xfId="6722"/>
    <cellStyle name="Currency 5 3 2 3 6 2 2" xfId="15158"/>
    <cellStyle name="Currency 5 3 2 3 6 2 3" xfId="23599"/>
    <cellStyle name="Currency 5 3 2 3 6 2 4" xfId="32039"/>
    <cellStyle name="Currency 5 3 2 3 6 3" xfId="10940"/>
    <cellStyle name="Currency 5 3 2 3 6 4" xfId="19382"/>
    <cellStyle name="Currency 5 3 2 3 6 5" xfId="27822"/>
    <cellStyle name="Currency 5 3 2 3 7" xfId="2734"/>
    <cellStyle name="Currency 5 3 2 3 8" xfId="2815"/>
    <cellStyle name="Currency 5 3 2 3 8 2" xfId="7039"/>
    <cellStyle name="Currency 5 3 2 3 8 2 2" xfId="15475"/>
    <cellStyle name="Currency 5 3 2 3 8 2 3" xfId="23916"/>
    <cellStyle name="Currency 5 3 2 3 8 2 4" xfId="32356"/>
    <cellStyle name="Currency 5 3 2 3 8 3" xfId="11257"/>
    <cellStyle name="Currency 5 3 2 3 8 4" xfId="19699"/>
    <cellStyle name="Currency 5 3 2 3 8 5" xfId="28139"/>
    <cellStyle name="Currency 5 3 2 3 9" xfId="4656"/>
    <cellStyle name="Currency 5 3 2 3 9 2" xfId="13092"/>
    <cellStyle name="Currency 5 3 2 3 9 3" xfId="21533"/>
    <cellStyle name="Currency 5 3 2 3 9 4" xfId="29973"/>
    <cellStyle name="Currency 5 3 2 4" xfId="736"/>
    <cellStyle name="Currency 5 3 2 4 2" xfId="2989"/>
    <cellStyle name="Currency 5 3 2 4 2 2" xfId="7212"/>
    <cellStyle name="Currency 5 3 2 4 2 2 2" xfId="15648"/>
    <cellStyle name="Currency 5 3 2 4 2 2 3" xfId="24089"/>
    <cellStyle name="Currency 5 3 2 4 2 2 4" xfId="32529"/>
    <cellStyle name="Currency 5 3 2 4 2 3" xfId="11430"/>
    <cellStyle name="Currency 5 3 2 4 2 4" xfId="19872"/>
    <cellStyle name="Currency 5 3 2 4 2 5" xfId="28312"/>
    <cellStyle name="Currency 5 3 2 4 3" xfId="5067"/>
    <cellStyle name="Currency 5 3 2 4 3 2" xfId="13503"/>
    <cellStyle name="Currency 5 3 2 4 3 3" xfId="21944"/>
    <cellStyle name="Currency 5 3 2 4 3 4" xfId="30384"/>
    <cellStyle name="Currency 5 3 2 4 4" xfId="9285"/>
    <cellStyle name="Currency 5 3 2 4 5" xfId="17727"/>
    <cellStyle name="Currency 5 3 2 4 6" xfId="26167"/>
    <cellStyle name="Currency 5 3 2 5" xfId="1171"/>
    <cellStyle name="Currency 5 3 2 5 2" xfId="3402"/>
    <cellStyle name="Currency 5 3 2 5 2 2" xfId="7625"/>
    <cellStyle name="Currency 5 3 2 5 2 2 2" xfId="16061"/>
    <cellStyle name="Currency 5 3 2 5 2 2 3" xfId="24502"/>
    <cellStyle name="Currency 5 3 2 5 2 2 4" xfId="32942"/>
    <cellStyle name="Currency 5 3 2 5 2 3" xfId="11843"/>
    <cellStyle name="Currency 5 3 2 5 2 4" xfId="20285"/>
    <cellStyle name="Currency 5 3 2 5 2 5" xfId="28725"/>
    <cellStyle name="Currency 5 3 2 5 3" xfId="5480"/>
    <cellStyle name="Currency 5 3 2 5 3 2" xfId="13916"/>
    <cellStyle name="Currency 5 3 2 5 3 3" xfId="22357"/>
    <cellStyle name="Currency 5 3 2 5 3 4" xfId="30797"/>
    <cellStyle name="Currency 5 3 2 5 4" xfId="9698"/>
    <cellStyle name="Currency 5 3 2 5 5" xfId="18140"/>
    <cellStyle name="Currency 5 3 2 5 6" xfId="26580"/>
    <cellStyle name="Currency 5 3 2 6" xfId="1585"/>
    <cellStyle name="Currency 5 3 2 6 2" xfId="3815"/>
    <cellStyle name="Currency 5 3 2 6 2 2" xfId="8038"/>
    <cellStyle name="Currency 5 3 2 6 2 2 2" xfId="16474"/>
    <cellStyle name="Currency 5 3 2 6 2 2 3" xfId="24915"/>
    <cellStyle name="Currency 5 3 2 6 2 2 4" xfId="33355"/>
    <cellStyle name="Currency 5 3 2 6 2 3" xfId="12256"/>
    <cellStyle name="Currency 5 3 2 6 2 4" xfId="20698"/>
    <cellStyle name="Currency 5 3 2 6 2 5" xfId="29138"/>
    <cellStyle name="Currency 5 3 2 6 3" xfId="5893"/>
    <cellStyle name="Currency 5 3 2 6 3 2" xfId="14329"/>
    <cellStyle name="Currency 5 3 2 6 3 3" xfId="22770"/>
    <cellStyle name="Currency 5 3 2 6 3 4" xfId="31210"/>
    <cellStyle name="Currency 5 3 2 6 4" xfId="10111"/>
    <cellStyle name="Currency 5 3 2 6 5" xfId="18553"/>
    <cellStyle name="Currency 5 3 2 6 6" xfId="26993"/>
    <cellStyle name="Currency 5 3 2 7" xfId="1999"/>
    <cellStyle name="Currency 5 3 2 7 2" xfId="4228"/>
    <cellStyle name="Currency 5 3 2 7 2 2" xfId="8451"/>
    <cellStyle name="Currency 5 3 2 7 2 2 2" xfId="16887"/>
    <cellStyle name="Currency 5 3 2 7 2 2 3" xfId="25328"/>
    <cellStyle name="Currency 5 3 2 7 2 2 4" xfId="33768"/>
    <cellStyle name="Currency 5 3 2 7 2 3" xfId="12669"/>
    <cellStyle name="Currency 5 3 2 7 2 4" xfId="21111"/>
    <cellStyle name="Currency 5 3 2 7 2 5" xfId="29551"/>
    <cellStyle name="Currency 5 3 2 7 3" xfId="6306"/>
    <cellStyle name="Currency 5 3 2 7 3 2" xfId="14742"/>
    <cellStyle name="Currency 5 3 2 7 3 3" xfId="23183"/>
    <cellStyle name="Currency 5 3 2 7 3 4" xfId="31623"/>
    <cellStyle name="Currency 5 3 2 7 4" xfId="10524"/>
    <cellStyle name="Currency 5 3 2 7 5" xfId="18966"/>
    <cellStyle name="Currency 5 3 2 7 6" xfId="27406"/>
    <cellStyle name="Currency 5 3 2 8" xfId="2434"/>
    <cellStyle name="Currency 5 3 2 8 2" xfId="6719"/>
    <cellStyle name="Currency 5 3 2 8 2 2" xfId="15155"/>
    <cellStyle name="Currency 5 3 2 8 2 3" xfId="23596"/>
    <cellStyle name="Currency 5 3 2 8 2 4" xfId="32036"/>
    <cellStyle name="Currency 5 3 2 8 3" xfId="10937"/>
    <cellStyle name="Currency 5 3 2 8 4" xfId="19379"/>
    <cellStyle name="Currency 5 3 2 8 5" xfId="27819"/>
    <cellStyle name="Currency 5 3 2 9" xfId="2731"/>
    <cellStyle name="Currency 5 3 3" xfId="214"/>
    <cellStyle name="Currency 5 3 3 10" xfId="4657"/>
    <cellStyle name="Currency 5 3 3 10 2" xfId="13093"/>
    <cellStyle name="Currency 5 3 3 10 3" xfId="21534"/>
    <cellStyle name="Currency 5 3 3 10 4" xfId="29974"/>
    <cellStyle name="Currency 5 3 3 11" xfId="8875"/>
    <cellStyle name="Currency 5 3 3 12" xfId="17317"/>
    <cellStyle name="Currency 5 3 3 13" xfId="25757"/>
    <cellStyle name="Currency 5 3 3 2" xfId="215"/>
    <cellStyle name="Currency 5 3 3 2 10" xfId="8876"/>
    <cellStyle name="Currency 5 3 3 2 11" xfId="17318"/>
    <cellStyle name="Currency 5 3 3 2 12" xfId="25758"/>
    <cellStyle name="Currency 5 3 3 2 2" xfId="741"/>
    <cellStyle name="Currency 5 3 3 2 2 2" xfId="2994"/>
    <cellStyle name="Currency 5 3 3 2 2 2 2" xfId="7217"/>
    <cellStyle name="Currency 5 3 3 2 2 2 2 2" xfId="15653"/>
    <cellStyle name="Currency 5 3 3 2 2 2 2 3" xfId="24094"/>
    <cellStyle name="Currency 5 3 3 2 2 2 2 4" xfId="32534"/>
    <cellStyle name="Currency 5 3 3 2 2 2 3" xfId="11435"/>
    <cellStyle name="Currency 5 3 3 2 2 2 4" xfId="19877"/>
    <cellStyle name="Currency 5 3 3 2 2 2 5" xfId="28317"/>
    <cellStyle name="Currency 5 3 3 2 2 3" xfId="5072"/>
    <cellStyle name="Currency 5 3 3 2 2 3 2" xfId="13508"/>
    <cellStyle name="Currency 5 3 3 2 2 3 3" xfId="21949"/>
    <cellStyle name="Currency 5 3 3 2 2 3 4" xfId="30389"/>
    <cellStyle name="Currency 5 3 3 2 2 4" xfId="9290"/>
    <cellStyle name="Currency 5 3 3 2 2 5" xfId="17732"/>
    <cellStyle name="Currency 5 3 3 2 2 6" xfId="26172"/>
    <cellStyle name="Currency 5 3 3 2 3" xfId="1176"/>
    <cellStyle name="Currency 5 3 3 2 3 2" xfId="3407"/>
    <cellStyle name="Currency 5 3 3 2 3 2 2" xfId="7630"/>
    <cellStyle name="Currency 5 3 3 2 3 2 2 2" xfId="16066"/>
    <cellStyle name="Currency 5 3 3 2 3 2 2 3" xfId="24507"/>
    <cellStyle name="Currency 5 3 3 2 3 2 2 4" xfId="32947"/>
    <cellStyle name="Currency 5 3 3 2 3 2 3" xfId="11848"/>
    <cellStyle name="Currency 5 3 3 2 3 2 4" xfId="20290"/>
    <cellStyle name="Currency 5 3 3 2 3 2 5" xfId="28730"/>
    <cellStyle name="Currency 5 3 3 2 3 3" xfId="5485"/>
    <cellStyle name="Currency 5 3 3 2 3 3 2" xfId="13921"/>
    <cellStyle name="Currency 5 3 3 2 3 3 3" xfId="22362"/>
    <cellStyle name="Currency 5 3 3 2 3 3 4" xfId="30802"/>
    <cellStyle name="Currency 5 3 3 2 3 4" xfId="9703"/>
    <cellStyle name="Currency 5 3 3 2 3 5" xfId="18145"/>
    <cellStyle name="Currency 5 3 3 2 3 6" xfId="26585"/>
    <cellStyle name="Currency 5 3 3 2 4" xfId="1590"/>
    <cellStyle name="Currency 5 3 3 2 4 2" xfId="3820"/>
    <cellStyle name="Currency 5 3 3 2 4 2 2" xfId="8043"/>
    <cellStyle name="Currency 5 3 3 2 4 2 2 2" xfId="16479"/>
    <cellStyle name="Currency 5 3 3 2 4 2 2 3" xfId="24920"/>
    <cellStyle name="Currency 5 3 3 2 4 2 2 4" xfId="33360"/>
    <cellStyle name="Currency 5 3 3 2 4 2 3" xfId="12261"/>
    <cellStyle name="Currency 5 3 3 2 4 2 4" xfId="20703"/>
    <cellStyle name="Currency 5 3 3 2 4 2 5" xfId="29143"/>
    <cellStyle name="Currency 5 3 3 2 4 3" xfId="5898"/>
    <cellStyle name="Currency 5 3 3 2 4 3 2" xfId="14334"/>
    <cellStyle name="Currency 5 3 3 2 4 3 3" xfId="22775"/>
    <cellStyle name="Currency 5 3 3 2 4 3 4" xfId="31215"/>
    <cellStyle name="Currency 5 3 3 2 4 4" xfId="10116"/>
    <cellStyle name="Currency 5 3 3 2 4 5" xfId="18558"/>
    <cellStyle name="Currency 5 3 3 2 4 6" xfId="26998"/>
    <cellStyle name="Currency 5 3 3 2 5" xfId="2004"/>
    <cellStyle name="Currency 5 3 3 2 5 2" xfId="4233"/>
    <cellStyle name="Currency 5 3 3 2 5 2 2" xfId="8456"/>
    <cellStyle name="Currency 5 3 3 2 5 2 2 2" xfId="16892"/>
    <cellStyle name="Currency 5 3 3 2 5 2 2 3" xfId="25333"/>
    <cellStyle name="Currency 5 3 3 2 5 2 2 4" xfId="33773"/>
    <cellStyle name="Currency 5 3 3 2 5 2 3" xfId="12674"/>
    <cellStyle name="Currency 5 3 3 2 5 2 4" xfId="21116"/>
    <cellStyle name="Currency 5 3 3 2 5 2 5" xfId="29556"/>
    <cellStyle name="Currency 5 3 3 2 5 3" xfId="6311"/>
    <cellStyle name="Currency 5 3 3 2 5 3 2" xfId="14747"/>
    <cellStyle name="Currency 5 3 3 2 5 3 3" xfId="23188"/>
    <cellStyle name="Currency 5 3 3 2 5 3 4" xfId="31628"/>
    <cellStyle name="Currency 5 3 3 2 5 4" xfId="10529"/>
    <cellStyle name="Currency 5 3 3 2 5 5" xfId="18971"/>
    <cellStyle name="Currency 5 3 3 2 5 6" xfId="27411"/>
    <cellStyle name="Currency 5 3 3 2 6" xfId="2439"/>
    <cellStyle name="Currency 5 3 3 2 6 2" xfId="6724"/>
    <cellStyle name="Currency 5 3 3 2 6 2 2" xfId="15160"/>
    <cellStyle name="Currency 5 3 3 2 6 2 3" xfId="23601"/>
    <cellStyle name="Currency 5 3 3 2 6 2 4" xfId="32041"/>
    <cellStyle name="Currency 5 3 3 2 6 3" xfId="10942"/>
    <cellStyle name="Currency 5 3 3 2 6 4" xfId="19384"/>
    <cellStyle name="Currency 5 3 3 2 6 5" xfId="27824"/>
    <cellStyle name="Currency 5 3 3 2 7" xfId="2736"/>
    <cellStyle name="Currency 5 3 3 2 8" xfId="2817"/>
    <cellStyle name="Currency 5 3 3 2 8 2" xfId="7041"/>
    <cellStyle name="Currency 5 3 3 2 8 2 2" xfId="15477"/>
    <cellStyle name="Currency 5 3 3 2 8 2 3" xfId="23918"/>
    <cellStyle name="Currency 5 3 3 2 8 2 4" xfId="32358"/>
    <cellStyle name="Currency 5 3 3 2 8 3" xfId="11259"/>
    <cellStyle name="Currency 5 3 3 2 8 4" xfId="19701"/>
    <cellStyle name="Currency 5 3 3 2 8 5" xfId="28141"/>
    <cellStyle name="Currency 5 3 3 2 9" xfId="4658"/>
    <cellStyle name="Currency 5 3 3 2 9 2" xfId="13094"/>
    <cellStyle name="Currency 5 3 3 2 9 3" xfId="21535"/>
    <cellStyle name="Currency 5 3 3 2 9 4" xfId="29975"/>
    <cellStyle name="Currency 5 3 3 3" xfId="740"/>
    <cellStyle name="Currency 5 3 3 3 2" xfId="2993"/>
    <cellStyle name="Currency 5 3 3 3 2 2" xfId="7216"/>
    <cellStyle name="Currency 5 3 3 3 2 2 2" xfId="15652"/>
    <cellStyle name="Currency 5 3 3 3 2 2 3" xfId="24093"/>
    <cellStyle name="Currency 5 3 3 3 2 2 4" xfId="32533"/>
    <cellStyle name="Currency 5 3 3 3 2 3" xfId="11434"/>
    <cellStyle name="Currency 5 3 3 3 2 4" xfId="19876"/>
    <cellStyle name="Currency 5 3 3 3 2 5" xfId="28316"/>
    <cellStyle name="Currency 5 3 3 3 3" xfId="5071"/>
    <cellStyle name="Currency 5 3 3 3 3 2" xfId="13507"/>
    <cellStyle name="Currency 5 3 3 3 3 3" xfId="21948"/>
    <cellStyle name="Currency 5 3 3 3 3 4" xfId="30388"/>
    <cellStyle name="Currency 5 3 3 3 4" xfId="9289"/>
    <cellStyle name="Currency 5 3 3 3 5" xfId="17731"/>
    <cellStyle name="Currency 5 3 3 3 6" xfId="26171"/>
    <cellStyle name="Currency 5 3 3 4" xfId="1175"/>
    <cellStyle name="Currency 5 3 3 4 2" xfId="3406"/>
    <cellStyle name="Currency 5 3 3 4 2 2" xfId="7629"/>
    <cellStyle name="Currency 5 3 3 4 2 2 2" xfId="16065"/>
    <cellStyle name="Currency 5 3 3 4 2 2 3" xfId="24506"/>
    <cellStyle name="Currency 5 3 3 4 2 2 4" xfId="32946"/>
    <cellStyle name="Currency 5 3 3 4 2 3" xfId="11847"/>
    <cellStyle name="Currency 5 3 3 4 2 4" xfId="20289"/>
    <cellStyle name="Currency 5 3 3 4 2 5" xfId="28729"/>
    <cellStyle name="Currency 5 3 3 4 3" xfId="5484"/>
    <cellStyle name="Currency 5 3 3 4 3 2" xfId="13920"/>
    <cellStyle name="Currency 5 3 3 4 3 3" xfId="22361"/>
    <cellStyle name="Currency 5 3 3 4 3 4" xfId="30801"/>
    <cellStyle name="Currency 5 3 3 4 4" xfId="9702"/>
    <cellStyle name="Currency 5 3 3 4 5" xfId="18144"/>
    <cellStyle name="Currency 5 3 3 4 6" xfId="26584"/>
    <cellStyle name="Currency 5 3 3 5" xfId="1589"/>
    <cellStyle name="Currency 5 3 3 5 2" xfId="3819"/>
    <cellStyle name="Currency 5 3 3 5 2 2" xfId="8042"/>
    <cellStyle name="Currency 5 3 3 5 2 2 2" xfId="16478"/>
    <cellStyle name="Currency 5 3 3 5 2 2 3" xfId="24919"/>
    <cellStyle name="Currency 5 3 3 5 2 2 4" xfId="33359"/>
    <cellStyle name="Currency 5 3 3 5 2 3" xfId="12260"/>
    <cellStyle name="Currency 5 3 3 5 2 4" xfId="20702"/>
    <cellStyle name="Currency 5 3 3 5 2 5" xfId="29142"/>
    <cellStyle name="Currency 5 3 3 5 3" xfId="5897"/>
    <cellStyle name="Currency 5 3 3 5 3 2" xfId="14333"/>
    <cellStyle name="Currency 5 3 3 5 3 3" xfId="22774"/>
    <cellStyle name="Currency 5 3 3 5 3 4" xfId="31214"/>
    <cellStyle name="Currency 5 3 3 5 4" xfId="10115"/>
    <cellStyle name="Currency 5 3 3 5 5" xfId="18557"/>
    <cellStyle name="Currency 5 3 3 5 6" xfId="26997"/>
    <cellStyle name="Currency 5 3 3 6" xfId="2003"/>
    <cellStyle name="Currency 5 3 3 6 2" xfId="4232"/>
    <cellStyle name="Currency 5 3 3 6 2 2" xfId="8455"/>
    <cellStyle name="Currency 5 3 3 6 2 2 2" xfId="16891"/>
    <cellStyle name="Currency 5 3 3 6 2 2 3" xfId="25332"/>
    <cellStyle name="Currency 5 3 3 6 2 2 4" xfId="33772"/>
    <cellStyle name="Currency 5 3 3 6 2 3" xfId="12673"/>
    <cellStyle name="Currency 5 3 3 6 2 4" xfId="21115"/>
    <cellStyle name="Currency 5 3 3 6 2 5" xfId="29555"/>
    <cellStyle name="Currency 5 3 3 6 3" xfId="6310"/>
    <cellStyle name="Currency 5 3 3 6 3 2" xfId="14746"/>
    <cellStyle name="Currency 5 3 3 6 3 3" xfId="23187"/>
    <cellStyle name="Currency 5 3 3 6 3 4" xfId="31627"/>
    <cellStyle name="Currency 5 3 3 6 4" xfId="10528"/>
    <cellStyle name="Currency 5 3 3 6 5" xfId="18970"/>
    <cellStyle name="Currency 5 3 3 6 6" xfId="27410"/>
    <cellStyle name="Currency 5 3 3 7" xfId="2438"/>
    <cellStyle name="Currency 5 3 3 7 2" xfId="6723"/>
    <cellStyle name="Currency 5 3 3 7 2 2" xfId="15159"/>
    <cellStyle name="Currency 5 3 3 7 2 3" xfId="23600"/>
    <cellStyle name="Currency 5 3 3 7 2 4" xfId="32040"/>
    <cellStyle name="Currency 5 3 3 7 3" xfId="10941"/>
    <cellStyle name="Currency 5 3 3 7 4" xfId="19383"/>
    <cellStyle name="Currency 5 3 3 7 5" xfId="27823"/>
    <cellStyle name="Currency 5 3 3 8" xfId="2735"/>
    <cellStyle name="Currency 5 3 3 9" xfId="2816"/>
    <cellStyle name="Currency 5 3 3 9 2" xfId="7040"/>
    <cellStyle name="Currency 5 3 3 9 2 2" xfId="15476"/>
    <cellStyle name="Currency 5 3 3 9 2 3" xfId="23917"/>
    <cellStyle name="Currency 5 3 3 9 2 4" xfId="32357"/>
    <cellStyle name="Currency 5 3 3 9 3" xfId="11258"/>
    <cellStyle name="Currency 5 3 3 9 4" xfId="19700"/>
    <cellStyle name="Currency 5 3 3 9 5" xfId="28140"/>
    <cellStyle name="Currency 5 3 4" xfId="216"/>
    <cellStyle name="Currency 5 3 4 10" xfId="8877"/>
    <cellStyle name="Currency 5 3 4 11" xfId="17319"/>
    <cellStyle name="Currency 5 3 4 12" xfId="25759"/>
    <cellStyle name="Currency 5 3 4 2" xfId="742"/>
    <cellStyle name="Currency 5 3 4 2 2" xfId="2995"/>
    <cellStyle name="Currency 5 3 4 2 2 2" xfId="7218"/>
    <cellStyle name="Currency 5 3 4 2 2 2 2" xfId="15654"/>
    <cellStyle name="Currency 5 3 4 2 2 2 3" xfId="24095"/>
    <cellStyle name="Currency 5 3 4 2 2 2 4" xfId="32535"/>
    <cellStyle name="Currency 5 3 4 2 2 3" xfId="11436"/>
    <cellStyle name="Currency 5 3 4 2 2 4" xfId="19878"/>
    <cellStyle name="Currency 5 3 4 2 2 5" xfId="28318"/>
    <cellStyle name="Currency 5 3 4 2 3" xfId="5073"/>
    <cellStyle name="Currency 5 3 4 2 3 2" xfId="13509"/>
    <cellStyle name="Currency 5 3 4 2 3 3" xfId="21950"/>
    <cellStyle name="Currency 5 3 4 2 3 4" xfId="30390"/>
    <cellStyle name="Currency 5 3 4 2 4" xfId="9291"/>
    <cellStyle name="Currency 5 3 4 2 5" xfId="17733"/>
    <cellStyle name="Currency 5 3 4 2 6" xfId="26173"/>
    <cellStyle name="Currency 5 3 4 3" xfId="1177"/>
    <cellStyle name="Currency 5 3 4 3 2" xfId="3408"/>
    <cellStyle name="Currency 5 3 4 3 2 2" xfId="7631"/>
    <cellStyle name="Currency 5 3 4 3 2 2 2" xfId="16067"/>
    <cellStyle name="Currency 5 3 4 3 2 2 3" xfId="24508"/>
    <cellStyle name="Currency 5 3 4 3 2 2 4" xfId="32948"/>
    <cellStyle name="Currency 5 3 4 3 2 3" xfId="11849"/>
    <cellStyle name="Currency 5 3 4 3 2 4" xfId="20291"/>
    <cellStyle name="Currency 5 3 4 3 2 5" xfId="28731"/>
    <cellStyle name="Currency 5 3 4 3 3" xfId="5486"/>
    <cellStyle name="Currency 5 3 4 3 3 2" xfId="13922"/>
    <cellStyle name="Currency 5 3 4 3 3 3" xfId="22363"/>
    <cellStyle name="Currency 5 3 4 3 3 4" xfId="30803"/>
    <cellStyle name="Currency 5 3 4 3 4" xfId="9704"/>
    <cellStyle name="Currency 5 3 4 3 5" xfId="18146"/>
    <cellStyle name="Currency 5 3 4 3 6" xfId="26586"/>
    <cellStyle name="Currency 5 3 4 4" xfId="1591"/>
    <cellStyle name="Currency 5 3 4 4 2" xfId="3821"/>
    <cellStyle name="Currency 5 3 4 4 2 2" xfId="8044"/>
    <cellStyle name="Currency 5 3 4 4 2 2 2" xfId="16480"/>
    <cellStyle name="Currency 5 3 4 4 2 2 3" xfId="24921"/>
    <cellStyle name="Currency 5 3 4 4 2 2 4" xfId="33361"/>
    <cellStyle name="Currency 5 3 4 4 2 3" xfId="12262"/>
    <cellStyle name="Currency 5 3 4 4 2 4" xfId="20704"/>
    <cellStyle name="Currency 5 3 4 4 2 5" xfId="29144"/>
    <cellStyle name="Currency 5 3 4 4 3" xfId="5899"/>
    <cellStyle name="Currency 5 3 4 4 3 2" xfId="14335"/>
    <cellStyle name="Currency 5 3 4 4 3 3" xfId="22776"/>
    <cellStyle name="Currency 5 3 4 4 3 4" xfId="31216"/>
    <cellStyle name="Currency 5 3 4 4 4" xfId="10117"/>
    <cellStyle name="Currency 5 3 4 4 5" xfId="18559"/>
    <cellStyle name="Currency 5 3 4 4 6" xfId="26999"/>
    <cellStyle name="Currency 5 3 4 5" xfId="2005"/>
    <cellStyle name="Currency 5 3 4 5 2" xfId="4234"/>
    <cellStyle name="Currency 5 3 4 5 2 2" xfId="8457"/>
    <cellStyle name="Currency 5 3 4 5 2 2 2" xfId="16893"/>
    <cellStyle name="Currency 5 3 4 5 2 2 3" xfId="25334"/>
    <cellStyle name="Currency 5 3 4 5 2 2 4" xfId="33774"/>
    <cellStyle name="Currency 5 3 4 5 2 3" xfId="12675"/>
    <cellStyle name="Currency 5 3 4 5 2 4" xfId="21117"/>
    <cellStyle name="Currency 5 3 4 5 2 5" xfId="29557"/>
    <cellStyle name="Currency 5 3 4 5 3" xfId="6312"/>
    <cellStyle name="Currency 5 3 4 5 3 2" xfId="14748"/>
    <cellStyle name="Currency 5 3 4 5 3 3" xfId="23189"/>
    <cellStyle name="Currency 5 3 4 5 3 4" xfId="31629"/>
    <cellStyle name="Currency 5 3 4 5 4" xfId="10530"/>
    <cellStyle name="Currency 5 3 4 5 5" xfId="18972"/>
    <cellStyle name="Currency 5 3 4 5 6" xfId="27412"/>
    <cellStyle name="Currency 5 3 4 6" xfId="2440"/>
    <cellStyle name="Currency 5 3 4 6 2" xfId="6725"/>
    <cellStyle name="Currency 5 3 4 6 2 2" xfId="15161"/>
    <cellStyle name="Currency 5 3 4 6 2 3" xfId="23602"/>
    <cellStyle name="Currency 5 3 4 6 2 4" xfId="32042"/>
    <cellStyle name="Currency 5 3 4 6 3" xfId="10943"/>
    <cellStyle name="Currency 5 3 4 6 4" xfId="19385"/>
    <cellStyle name="Currency 5 3 4 6 5" xfId="27825"/>
    <cellStyle name="Currency 5 3 4 7" xfId="2737"/>
    <cellStyle name="Currency 5 3 4 8" xfId="2818"/>
    <cellStyle name="Currency 5 3 4 8 2" xfId="7042"/>
    <cellStyle name="Currency 5 3 4 8 2 2" xfId="15478"/>
    <cellStyle name="Currency 5 3 4 8 2 3" xfId="23919"/>
    <cellStyle name="Currency 5 3 4 8 2 4" xfId="32359"/>
    <cellStyle name="Currency 5 3 4 8 3" xfId="11260"/>
    <cellStyle name="Currency 5 3 4 8 4" xfId="19702"/>
    <cellStyle name="Currency 5 3 4 8 5" xfId="28142"/>
    <cellStyle name="Currency 5 3 4 9" xfId="4659"/>
    <cellStyle name="Currency 5 3 4 9 2" xfId="13095"/>
    <cellStyle name="Currency 5 3 4 9 3" xfId="21536"/>
    <cellStyle name="Currency 5 3 4 9 4" xfId="29976"/>
    <cellStyle name="Currency 5 3 5" xfId="217"/>
    <cellStyle name="Currency 5 3 5 10" xfId="8878"/>
    <cellStyle name="Currency 5 3 5 11" xfId="17320"/>
    <cellStyle name="Currency 5 3 5 12" xfId="25760"/>
    <cellStyle name="Currency 5 3 5 2" xfId="743"/>
    <cellStyle name="Currency 5 3 5 2 2" xfId="2996"/>
    <cellStyle name="Currency 5 3 5 2 2 2" xfId="7219"/>
    <cellStyle name="Currency 5 3 5 2 2 2 2" xfId="15655"/>
    <cellStyle name="Currency 5 3 5 2 2 2 3" xfId="24096"/>
    <cellStyle name="Currency 5 3 5 2 2 2 4" xfId="32536"/>
    <cellStyle name="Currency 5 3 5 2 2 3" xfId="11437"/>
    <cellStyle name="Currency 5 3 5 2 2 4" xfId="19879"/>
    <cellStyle name="Currency 5 3 5 2 2 5" xfId="28319"/>
    <cellStyle name="Currency 5 3 5 2 3" xfId="5074"/>
    <cellStyle name="Currency 5 3 5 2 3 2" xfId="13510"/>
    <cellStyle name="Currency 5 3 5 2 3 3" xfId="21951"/>
    <cellStyle name="Currency 5 3 5 2 3 4" xfId="30391"/>
    <cellStyle name="Currency 5 3 5 2 4" xfId="9292"/>
    <cellStyle name="Currency 5 3 5 2 5" xfId="17734"/>
    <cellStyle name="Currency 5 3 5 2 6" xfId="26174"/>
    <cellStyle name="Currency 5 3 5 3" xfId="1178"/>
    <cellStyle name="Currency 5 3 5 3 2" xfId="3409"/>
    <cellStyle name="Currency 5 3 5 3 2 2" xfId="7632"/>
    <cellStyle name="Currency 5 3 5 3 2 2 2" xfId="16068"/>
    <cellStyle name="Currency 5 3 5 3 2 2 3" xfId="24509"/>
    <cellStyle name="Currency 5 3 5 3 2 2 4" xfId="32949"/>
    <cellStyle name="Currency 5 3 5 3 2 3" xfId="11850"/>
    <cellStyle name="Currency 5 3 5 3 2 4" xfId="20292"/>
    <cellStyle name="Currency 5 3 5 3 2 5" xfId="28732"/>
    <cellStyle name="Currency 5 3 5 3 3" xfId="5487"/>
    <cellStyle name="Currency 5 3 5 3 3 2" xfId="13923"/>
    <cellStyle name="Currency 5 3 5 3 3 3" xfId="22364"/>
    <cellStyle name="Currency 5 3 5 3 3 4" xfId="30804"/>
    <cellStyle name="Currency 5 3 5 3 4" xfId="9705"/>
    <cellStyle name="Currency 5 3 5 3 5" xfId="18147"/>
    <cellStyle name="Currency 5 3 5 3 6" xfId="26587"/>
    <cellStyle name="Currency 5 3 5 4" xfId="1592"/>
    <cellStyle name="Currency 5 3 5 4 2" xfId="3822"/>
    <cellStyle name="Currency 5 3 5 4 2 2" xfId="8045"/>
    <cellStyle name="Currency 5 3 5 4 2 2 2" xfId="16481"/>
    <cellStyle name="Currency 5 3 5 4 2 2 3" xfId="24922"/>
    <cellStyle name="Currency 5 3 5 4 2 2 4" xfId="33362"/>
    <cellStyle name="Currency 5 3 5 4 2 3" xfId="12263"/>
    <cellStyle name="Currency 5 3 5 4 2 4" xfId="20705"/>
    <cellStyle name="Currency 5 3 5 4 2 5" xfId="29145"/>
    <cellStyle name="Currency 5 3 5 4 3" xfId="5900"/>
    <cellStyle name="Currency 5 3 5 4 3 2" xfId="14336"/>
    <cellStyle name="Currency 5 3 5 4 3 3" xfId="22777"/>
    <cellStyle name="Currency 5 3 5 4 3 4" xfId="31217"/>
    <cellStyle name="Currency 5 3 5 4 4" xfId="10118"/>
    <cellStyle name="Currency 5 3 5 4 5" xfId="18560"/>
    <cellStyle name="Currency 5 3 5 4 6" xfId="27000"/>
    <cellStyle name="Currency 5 3 5 5" xfId="2006"/>
    <cellStyle name="Currency 5 3 5 5 2" xfId="4235"/>
    <cellStyle name="Currency 5 3 5 5 2 2" xfId="8458"/>
    <cellStyle name="Currency 5 3 5 5 2 2 2" xfId="16894"/>
    <cellStyle name="Currency 5 3 5 5 2 2 3" xfId="25335"/>
    <cellStyle name="Currency 5 3 5 5 2 2 4" xfId="33775"/>
    <cellStyle name="Currency 5 3 5 5 2 3" xfId="12676"/>
    <cellStyle name="Currency 5 3 5 5 2 4" xfId="21118"/>
    <cellStyle name="Currency 5 3 5 5 2 5" xfId="29558"/>
    <cellStyle name="Currency 5 3 5 5 3" xfId="6313"/>
    <cellStyle name="Currency 5 3 5 5 3 2" xfId="14749"/>
    <cellStyle name="Currency 5 3 5 5 3 3" xfId="23190"/>
    <cellStyle name="Currency 5 3 5 5 3 4" xfId="31630"/>
    <cellStyle name="Currency 5 3 5 5 4" xfId="10531"/>
    <cellStyle name="Currency 5 3 5 5 5" xfId="18973"/>
    <cellStyle name="Currency 5 3 5 5 6" xfId="27413"/>
    <cellStyle name="Currency 5 3 5 6" xfId="2441"/>
    <cellStyle name="Currency 5 3 5 6 2" xfId="6726"/>
    <cellStyle name="Currency 5 3 5 6 2 2" xfId="15162"/>
    <cellStyle name="Currency 5 3 5 6 2 3" xfId="23603"/>
    <cellStyle name="Currency 5 3 5 6 2 4" xfId="32043"/>
    <cellStyle name="Currency 5 3 5 6 3" xfId="10944"/>
    <cellStyle name="Currency 5 3 5 6 4" xfId="19386"/>
    <cellStyle name="Currency 5 3 5 6 5" xfId="27826"/>
    <cellStyle name="Currency 5 3 5 7" xfId="2738"/>
    <cellStyle name="Currency 5 3 5 8" xfId="2819"/>
    <cellStyle name="Currency 5 3 5 8 2" xfId="7043"/>
    <cellStyle name="Currency 5 3 5 8 2 2" xfId="15479"/>
    <cellStyle name="Currency 5 3 5 8 2 3" xfId="23920"/>
    <cellStyle name="Currency 5 3 5 8 2 4" xfId="32360"/>
    <cellStyle name="Currency 5 3 5 8 3" xfId="11261"/>
    <cellStyle name="Currency 5 3 5 8 4" xfId="19703"/>
    <cellStyle name="Currency 5 3 5 8 5" xfId="28143"/>
    <cellStyle name="Currency 5 3 5 9" xfId="4660"/>
    <cellStyle name="Currency 5 3 5 9 2" xfId="13096"/>
    <cellStyle name="Currency 5 3 5 9 3" xfId="21537"/>
    <cellStyle name="Currency 5 3 5 9 4" xfId="29977"/>
    <cellStyle name="Currency 5 4" xfId="218"/>
    <cellStyle name="Currency 5 4 2" xfId="744"/>
    <cellStyle name="Currency 5 5" xfId="219"/>
    <cellStyle name="Currency 5 5 10" xfId="4661"/>
    <cellStyle name="Currency 5 5 10 2" xfId="13097"/>
    <cellStyle name="Currency 5 5 10 3" xfId="21538"/>
    <cellStyle name="Currency 5 5 10 4" xfId="29978"/>
    <cellStyle name="Currency 5 5 11" xfId="8879"/>
    <cellStyle name="Currency 5 5 12" xfId="17321"/>
    <cellStyle name="Currency 5 5 13" xfId="25761"/>
    <cellStyle name="Currency 5 5 2" xfId="220"/>
    <cellStyle name="Currency 5 5 2 10" xfId="8880"/>
    <cellStyle name="Currency 5 5 2 11" xfId="17322"/>
    <cellStyle name="Currency 5 5 2 12" xfId="25762"/>
    <cellStyle name="Currency 5 5 2 2" xfId="746"/>
    <cellStyle name="Currency 5 5 2 2 2" xfId="2998"/>
    <cellStyle name="Currency 5 5 2 2 2 2" xfId="7221"/>
    <cellStyle name="Currency 5 5 2 2 2 2 2" xfId="15657"/>
    <cellStyle name="Currency 5 5 2 2 2 2 3" xfId="24098"/>
    <cellStyle name="Currency 5 5 2 2 2 2 4" xfId="32538"/>
    <cellStyle name="Currency 5 5 2 2 2 3" xfId="11439"/>
    <cellStyle name="Currency 5 5 2 2 2 4" xfId="19881"/>
    <cellStyle name="Currency 5 5 2 2 2 5" xfId="28321"/>
    <cellStyle name="Currency 5 5 2 2 3" xfId="5076"/>
    <cellStyle name="Currency 5 5 2 2 3 2" xfId="13512"/>
    <cellStyle name="Currency 5 5 2 2 3 3" xfId="21953"/>
    <cellStyle name="Currency 5 5 2 2 3 4" xfId="30393"/>
    <cellStyle name="Currency 5 5 2 2 4" xfId="9294"/>
    <cellStyle name="Currency 5 5 2 2 5" xfId="17736"/>
    <cellStyle name="Currency 5 5 2 2 6" xfId="26176"/>
    <cellStyle name="Currency 5 5 2 3" xfId="1180"/>
    <cellStyle name="Currency 5 5 2 3 2" xfId="3411"/>
    <cellStyle name="Currency 5 5 2 3 2 2" xfId="7634"/>
    <cellStyle name="Currency 5 5 2 3 2 2 2" xfId="16070"/>
    <cellStyle name="Currency 5 5 2 3 2 2 3" xfId="24511"/>
    <cellStyle name="Currency 5 5 2 3 2 2 4" xfId="32951"/>
    <cellStyle name="Currency 5 5 2 3 2 3" xfId="11852"/>
    <cellStyle name="Currency 5 5 2 3 2 4" xfId="20294"/>
    <cellStyle name="Currency 5 5 2 3 2 5" xfId="28734"/>
    <cellStyle name="Currency 5 5 2 3 3" xfId="5489"/>
    <cellStyle name="Currency 5 5 2 3 3 2" xfId="13925"/>
    <cellStyle name="Currency 5 5 2 3 3 3" xfId="22366"/>
    <cellStyle name="Currency 5 5 2 3 3 4" xfId="30806"/>
    <cellStyle name="Currency 5 5 2 3 4" xfId="9707"/>
    <cellStyle name="Currency 5 5 2 3 5" xfId="18149"/>
    <cellStyle name="Currency 5 5 2 3 6" xfId="26589"/>
    <cellStyle name="Currency 5 5 2 4" xfId="1594"/>
    <cellStyle name="Currency 5 5 2 4 2" xfId="3824"/>
    <cellStyle name="Currency 5 5 2 4 2 2" xfId="8047"/>
    <cellStyle name="Currency 5 5 2 4 2 2 2" xfId="16483"/>
    <cellStyle name="Currency 5 5 2 4 2 2 3" xfId="24924"/>
    <cellStyle name="Currency 5 5 2 4 2 2 4" xfId="33364"/>
    <cellStyle name="Currency 5 5 2 4 2 3" xfId="12265"/>
    <cellStyle name="Currency 5 5 2 4 2 4" xfId="20707"/>
    <cellStyle name="Currency 5 5 2 4 2 5" xfId="29147"/>
    <cellStyle name="Currency 5 5 2 4 3" xfId="5902"/>
    <cellStyle name="Currency 5 5 2 4 3 2" xfId="14338"/>
    <cellStyle name="Currency 5 5 2 4 3 3" xfId="22779"/>
    <cellStyle name="Currency 5 5 2 4 3 4" xfId="31219"/>
    <cellStyle name="Currency 5 5 2 4 4" xfId="10120"/>
    <cellStyle name="Currency 5 5 2 4 5" xfId="18562"/>
    <cellStyle name="Currency 5 5 2 4 6" xfId="27002"/>
    <cellStyle name="Currency 5 5 2 5" xfId="2008"/>
    <cellStyle name="Currency 5 5 2 5 2" xfId="4237"/>
    <cellStyle name="Currency 5 5 2 5 2 2" xfId="8460"/>
    <cellStyle name="Currency 5 5 2 5 2 2 2" xfId="16896"/>
    <cellStyle name="Currency 5 5 2 5 2 2 3" xfId="25337"/>
    <cellStyle name="Currency 5 5 2 5 2 2 4" xfId="33777"/>
    <cellStyle name="Currency 5 5 2 5 2 3" xfId="12678"/>
    <cellStyle name="Currency 5 5 2 5 2 4" xfId="21120"/>
    <cellStyle name="Currency 5 5 2 5 2 5" xfId="29560"/>
    <cellStyle name="Currency 5 5 2 5 3" xfId="6315"/>
    <cellStyle name="Currency 5 5 2 5 3 2" xfId="14751"/>
    <cellStyle name="Currency 5 5 2 5 3 3" xfId="23192"/>
    <cellStyle name="Currency 5 5 2 5 3 4" xfId="31632"/>
    <cellStyle name="Currency 5 5 2 5 4" xfId="10533"/>
    <cellStyle name="Currency 5 5 2 5 5" xfId="18975"/>
    <cellStyle name="Currency 5 5 2 5 6" xfId="27415"/>
    <cellStyle name="Currency 5 5 2 6" xfId="2443"/>
    <cellStyle name="Currency 5 5 2 6 2" xfId="6728"/>
    <cellStyle name="Currency 5 5 2 6 2 2" xfId="15164"/>
    <cellStyle name="Currency 5 5 2 6 2 3" xfId="23605"/>
    <cellStyle name="Currency 5 5 2 6 2 4" xfId="32045"/>
    <cellStyle name="Currency 5 5 2 6 3" xfId="10946"/>
    <cellStyle name="Currency 5 5 2 6 4" xfId="19388"/>
    <cellStyle name="Currency 5 5 2 6 5" xfId="27828"/>
    <cellStyle name="Currency 5 5 2 7" xfId="2740"/>
    <cellStyle name="Currency 5 5 2 8" xfId="2821"/>
    <cellStyle name="Currency 5 5 2 8 2" xfId="7045"/>
    <cellStyle name="Currency 5 5 2 8 2 2" xfId="15481"/>
    <cellStyle name="Currency 5 5 2 8 2 3" xfId="23922"/>
    <cellStyle name="Currency 5 5 2 8 2 4" xfId="32362"/>
    <cellStyle name="Currency 5 5 2 8 3" xfId="11263"/>
    <cellStyle name="Currency 5 5 2 8 4" xfId="19705"/>
    <cellStyle name="Currency 5 5 2 8 5" xfId="28145"/>
    <cellStyle name="Currency 5 5 2 9" xfId="4662"/>
    <cellStyle name="Currency 5 5 2 9 2" xfId="13098"/>
    <cellStyle name="Currency 5 5 2 9 3" xfId="21539"/>
    <cellStyle name="Currency 5 5 2 9 4" xfId="29979"/>
    <cellStyle name="Currency 5 5 3" xfId="745"/>
    <cellStyle name="Currency 5 5 3 2" xfId="2997"/>
    <cellStyle name="Currency 5 5 3 2 2" xfId="7220"/>
    <cellStyle name="Currency 5 5 3 2 2 2" xfId="15656"/>
    <cellStyle name="Currency 5 5 3 2 2 3" xfId="24097"/>
    <cellStyle name="Currency 5 5 3 2 2 4" xfId="32537"/>
    <cellStyle name="Currency 5 5 3 2 3" xfId="11438"/>
    <cellStyle name="Currency 5 5 3 2 4" xfId="19880"/>
    <cellStyle name="Currency 5 5 3 2 5" xfId="28320"/>
    <cellStyle name="Currency 5 5 3 3" xfId="5075"/>
    <cellStyle name="Currency 5 5 3 3 2" xfId="13511"/>
    <cellStyle name="Currency 5 5 3 3 3" xfId="21952"/>
    <cellStyle name="Currency 5 5 3 3 4" xfId="30392"/>
    <cellStyle name="Currency 5 5 3 4" xfId="9293"/>
    <cellStyle name="Currency 5 5 3 5" xfId="17735"/>
    <cellStyle name="Currency 5 5 3 6" xfId="26175"/>
    <cellStyle name="Currency 5 5 4" xfId="1179"/>
    <cellStyle name="Currency 5 5 4 2" xfId="3410"/>
    <cellStyle name="Currency 5 5 4 2 2" xfId="7633"/>
    <cellStyle name="Currency 5 5 4 2 2 2" xfId="16069"/>
    <cellStyle name="Currency 5 5 4 2 2 3" xfId="24510"/>
    <cellStyle name="Currency 5 5 4 2 2 4" xfId="32950"/>
    <cellStyle name="Currency 5 5 4 2 3" xfId="11851"/>
    <cellStyle name="Currency 5 5 4 2 4" xfId="20293"/>
    <cellStyle name="Currency 5 5 4 2 5" xfId="28733"/>
    <cellStyle name="Currency 5 5 4 3" xfId="5488"/>
    <cellStyle name="Currency 5 5 4 3 2" xfId="13924"/>
    <cellStyle name="Currency 5 5 4 3 3" xfId="22365"/>
    <cellStyle name="Currency 5 5 4 3 4" xfId="30805"/>
    <cellStyle name="Currency 5 5 4 4" xfId="9706"/>
    <cellStyle name="Currency 5 5 4 5" xfId="18148"/>
    <cellStyle name="Currency 5 5 4 6" xfId="26588"/>
    <cellStyle name="Currency 5 5 5" xfId="1593"/>
    <cellStyle name="Currency 5 5 5 2" xfId="3823"/>
    <cellStyle name="Currency 5 5 5 2 2" xfId="8046"/>
    <cellStyle name="Currency 5 5 5 2 2 2" xfId="16482"/>
    <cellStyle name="Currency 5 5 5 2 2 3" xfId="24923"/>
    <cellStyle name="Currency 5 5 5 2 2 4" xfId="33363"/>
    <cellStyle name="Currency 5 5 5 2 3" xfId="12264"/>
    <cellStyle name="Currency 5 5 5 2 4" xfId="20706"/>
    <cellStyle name="Currency 5 5 5 2 5" xfId="29146"/>
    <cellStyle name="Currency 5 5 5 3" xfId="5901"/>
    <cellStyle name="Currency 5 5 5 3 2" xfId="14337"/>
    <cellStyle name="Currency 5 5 5 3 3" xfId="22778"/>
    <cellStyle name="Currency 5 5 5 3 4" xfId="31218"/>
    <cellStyle name="Currency 5 5 5 4" xfId="10119"/>
    <cellStyle name="Currency 5 5 5 5" xfId="18561"/>
    <cellStyle name="Currency 5 5 5 6" xfId="27001"/>
    <cellStyle name="Currency 5 5 6" xfId="2007"/>
    <cellStyle name="Currency 5 5 6 2" xfId="4236"/>
    <cellStyle name="Currency 5 5 6 2 2" xfId="8459"/>
    <cellStyle name="Currency 5 5 6 2 2 2" xfId="16895"/>
    <cellStyle name="Currency 5 5 6 2 2 3" xfId="25336"/>
    <cellStyle name="Currency 5 5 6 2 2 4" xfId="33776"/>
    <cellStyle name="Currency 5 5 6 2 3" xfId="12677"/>
    <cellStyle name="Currency 5 5 6 2 4" xfId="21119"/>
    <cellStyle name="Currency 5 5 6 2 5" xfId="29559"/>
    <cellStyle name="Currency 5 5 6 3" xfId="6314"/>
    <cellStyle name="Currency 5 5 6 3 2" xfId="14750"/>
    <cellStyle name="Currency 5 5 6 3 3" xfId="23191"/>
    <cellStyle name="Currency 5 5 6 3 4" xfId="31631"/>
    <cellStyle name="Currency 5 5 6 4" xfId="10532"/>
    <cellStyle name="Currency 5 5 6 5" xfId="18974"/>
    <cellStyle name="Currency 5 5 6 6" xfId="27414"/>
    <cellStyle name="Currency 5 5 7" xfId="2442"/>
    <cellStyle name="Currency 5 5 7 2" xfId="6727"/>
    <cellStyle name="Currency 5 5 7 2 2" xfId="15163"/>
    <cellStyle name="Currency 5 5 7 2 3" xfId="23604"/>
    <cellStyle name="Currency 5 5 7 2 4" xfId="32044"/>
    <cellStyle name="Currency 5 5 7 3" xfId="10945"/>
    <cellStyle name="Currency 5 5 7 4" xfId="19387"/>
    <cellStyle name="Currency 5 5 7 5" xfId="27827"/>
    <cellStyle name="Currency 5 5 8" xfId="2739"/>
    <cellStyle name="Currency 5 5 9" xfId="2820"/>
    <cellStyle name="Currency 5 5 9 2" xfId="7044"/>
    <cellStyle name="Currency 5 5 9 2 2" xfId="15480"/>
    <cellStyle name="Currency 5 5 9 2 3" xfId="23921"/>
    <cellStyle name="Currency 5 5 9 2 4" xfId="32361"/>
    <cellStyle name="Currency 5 5 9 3" xfId="11262"/>
    <cellStyle name="Currency 5 5 9 4" xfId="19704"/>
    <cellStyle name="Currency 5 5 9 5" xfId="28144"/>
    <cellStyle name="Currency 5 6" xfId="221"/>
    <cellStyle name="Currency 5 6 10" xfId="8881"/>
    <cellStyle name="Currency 5 6 11" xfId="17323"/>
    <cellStyle name="Currency 5 6 12" xfId="25763"/>
    <cellStyle name="Currency 5 6 2" xfId="747"/>
    <cellStyle name="Currency 5 6 2 2" xfId="2999"/>
    <cellStyle name="Currency 5 6 2 2 2" xfId="7222"/>
    <cellStyle name="Currency 5 6 2 2 2 2" xfId="15658"/>
    <cellStyle name="Currency 5 6 2 2 2 3" xfId="24099"/>
    <cellStyle name="Currency 5 6 2 2 2 4" xfId="32539"/>
    <cellStyle name="Currency 5 6 2 2 3" xfId="11440"/>
    <cellStyle name="Currency 5 6 2 2 4" xfId="19882"/>
    <cellStyle name="Currency 5 6 2 2 5" xfId="28322"/>
    <cellStyle name="Currency 5 6 2 3" xfId="5077"/>
    <cellStyle name="Currency 5 6 2 3 2" xfId="13513"/>
    <cellStyle name="Currency 5 6 2 3 3" xfId="21954"/>
    <cellStyle name="Currency 5 6 2 3 4" xfId="30394"/>
    <cellStyle name="Currency 5 6 2 4" xfId="9295"/>
    <cellStyle name="Currency 5 6 2 5" xfId="17737"/>
    <cellStyle name="Currency 5 6 2 6" xfId="26177"/>
    <cellStyle name="Currency 5 6 3" xfId="1181"/>
    <cellStyle name="Currency 5 6 3 2" xfId="3412"/>
    <cellStyle name="Currency 5 6 3 2 2" xfId="7635"/>
    <cellStyle name="Currency 5 6 3 2 2 2" xfId="16071"/>
    <cellStyle name="Currency 5 6 3 2 2 3" xfId="24512"/>
    <cellStyle name="Currency 5 6 3 2 2 4" xfId="32952"/>
    <cellStyle name="Currency 5 6 3 2 3" xfId="11853"/>
    <cellStyle name="Currency 5 6 3 2 4" xfId="20295"/>
    <cellStyle name="Currency 5 6 3 2 5" xfId="28735"/>
    <cellStyle name="Currency 5 6 3 3" xfId="5490"/>
    <cellStyle name="Currency 5 6 3 3 2" xfId="13926"/>
    <cellStyle name="Currency 5 6 3 3 3" xfId="22367"/>
    <cellStyle name="Currency 5 6 3 3 4" xfId="30807"/>
    <cellStyle name="Currency 5 6 3 4" xfId="9708"/>
    <cellStyle name="Currency 5 6 3 5" xfId="18150"/>
    <cellStyle name="Currency 5 6 3 6" xfId="26590"/>
    <cellStyle name="Currency 5 6 4" xfId="1595"/>
    <cellStyle name="Currency 5 6 4 2" xfId="3825"/>
    <cellStyle name="Currency 5 6 4 2 2" xfId="8048"/>
    <cellStyle name="Currency 5 6 4 2 2 2" xfId="16484"/>
    <cellStyle name="Currency 5 6 4 2 2 3" xfId="24925"/>
    <cellStyle name="Currency 5 6 4 2 2 4" xfId="33365"/>
    <cellStyle name="Currency 5 6 4 2 3" xfId="12266"/>
    <cellStyle name="Currency 5 6 4 2 4" xfId="20708"/>
    <cellStyle name="Currency 5 6 4 2 5" xfId="29148"/>
    <cellStyle name="Currency 5 6 4 3" xfId="5903"/>
    <cellStyle name="Currency 5 6 4 3 2" xfId="14339"/>
    <cellStyle name="Currency 5 6 4 3 3" xfId="22780"/>
    <cellStyle name="Currency 5 6 4 3 4" xfId="31220"/>
    <cellStyle name="Currency 5 6 4 4" xfId="10121"/>
    <cellStyle name="Currency 5 6 4 5" xfId="18563"/>
    <cellStyle name="Currency 5 6 4 6" xfId="27003"/>
    <cellStyle name="Currency 5 6 5" xfId="2009"/>
    <cellStyle name="Currency 5 6 5 2" xfId="4238"/>
    <cellStyle name="Currency 5 6 5 2 2" xfId="8461"/>
    <cellStyle name="Currency 5 6 5 2 2 2" xfId="16897"/>
    <cellStyle name="Currency 5 6 5 2 2 3" xfId="25338"/>
    <cellStyle name="Currency 5 6 5 2 2 4" xfId="33778"/>
    <cellStyle name="Currency 5 6 5 2 3" xfId="12679"/>
    <cellStyle name="Currency 5 6 5 2 4" xfId="21121"/>
    <cellStyle name="Currency 5 6 5 2 5" xfId="29561"/>
    <cellStyle name="Currency 5 6 5 3" xfId="6316"/>
    <cellStyle name="Currency 5 6 5 3 2" xfId="14752"/>
    <cellStyle name="Currency 5 6 5 3 3" xfId="23193"/>
    <cellStyle name="Currency 5 6 5 3 4" xfId="31633"/>
    <cellStyle name="Currency 5 6 5 4" xfId="10534"/>
    <cellStyle name="Currency 5 6 5 5" xfId="18976"/>
    <cellStyle name="Currency 5 6 5 6" xfId="27416"/>
    <cellStyle name="Currency 5 6 6" xfId="2444"/>
    <cellStyle name="Currency 5 6 6 2" xfId="6729"/>
    <cellStyle name="Currency 5 6 6 2 2" xfId="15165"/>
    <cellStyle name="Currency 5 6 6 2 3" xfId="23606"/>
    <cellStyle name="Currency 5 6 6 2 4" xfId="32046"/>
    <cellStyle name="Currency 5 6 6 3" xfId="10947"/>
    <cellStyle name="Currency 5 6 6 4" xfId="19389"/>
    <cellStyle name="Currency 5 6 6 5" xfId="27829"/>
    <cellStyle name="Currency 5 6 7" xfId="2741"/>
    <cellStyle name="Currency 5 6 8" xfId="2822"/>
    <cellStyle name="Currency 5 6 8 2" xfId="7046"/>
    <cellStyle name="Currency 5 6 8 2 2" xfId="15482"/>
    <cellStyle name="Currency 5 6 8 2 3" xfId="23923"/>
    <cellStyle name="Currency 5 6 8 2 4" xfId="32363"/>
    <cellStyle name="Currency 5 6 8 3" xfId="11264"/>
    <cellStyle name="Currency 5 6 8 4" xfId="19706"/>
    <cellStyle name="Currency 5 6 8 5" xfId="28146"/>
    <cellStyle name="Currency 5 6 9" xfId="4663"/>
    <cellStyle name="Currency 5 6 9 2" xfId="13099"/>
    <cellStyle name="Currency 5 6 9 3" xfId="21540"/>
    <cellStyle name="Currency 5 6 9 4" xfId="29980"/>
    <cellStyle name="Currency 5 7" xfId="222"/>
    <cellStyle name="Currency 5 7 10" xfId="8882"/>
    <cellStyle name="Currency 5 7 11" xfId="17324"/>
    <cellStyle name="Currency 5 7 12" xfId="25764"/>
    <cellStyle name="Currency 5 7 2" xfId="748"/>
    <cellStyle name="Currency 5 7 2 2" xfId="3000"/>
    <cellStyle name="Currency 5 7 2 2 2" xfId="7223"/>
    <cellStyle name="Currency 5 7 2 2 2 2" xfId="15659"/>
    <cellStyle name="Currency 5 7 2 2 2 3" xfId="24100"/>
    <cellStyle name="Currency 5 7 2 2 2 4" xfId="32540"/>
    <cellStyle name="Currency 5 7 2 2 3" xfId="11441"/>
    <cellStyle name="Currency 5 7 2 2 4" xfId="19883"/>
    <cellStyle name="Currency 5 7 2 2 5" xfId="28323"/>
    <cellStyle name="Currency 5 7 2 3" xfId="5078"/>
    <cellStyle name="Currency 5 7 2 3 2" xfId="13514"/>
    <cellStyle name="Currency 5 7 2 3 3" xfId="21955"/>
    <cellStyle name="Currency 5 7 2 3 4" xfId="30395"/>
    <cellStyle name="Currency 5 7 2 4" xfId="9296"/>
    <cellStyle name="Currency 5 7 2 5" xfId="17738"/>
    <cellStyle name="Currency 5 7 2 6" xfId="26178"/>
    <cellStyle name="Currency 5 7 3" xfId="1182"/>
    <cellStyle name="Currency 5 7 3 2" xfId="3413"/>
    <cellStyle name="Currency 5 7 3 2 2" xfId="7636"/>
    <cellStyle name="Currency 5 7 3 2 2 2" xfId="16072"/>
    <cellStyle name="Currency 5 7 3 2 2 3" xfId="24513"/>
    <cellStyle name="Currency 5 7 3 2 2 4" xfId="32953"/>
    <cellStyle name="Currency 5 7 3 2 3" xfId="11854"/>
    <cellStyle name="Currency 5 7 3 2 4" xfId="20296"/>
    <cellStyle name="Currency 5 7 3 2 5" xfId="28736"/>
    <cellStyle name="Currency 5 7 3 3" xfId="5491"/>
    <cellStyle name="Currency 5 7 3 3 2" xfId="13927"/>
    <cellStyle name="Currency 5 7 3 3 3" xfId="22368"/>
    <cellStyle name="Currency 5 7 3 3 4" xfId="30808"/>
    <cellStyle name="Currency 5 7 3 4" xfId="9709"/>
    <cellStyle name="Currency 5 7 3 5" xfId="18151"/>
    <cellStyle name="Currency 5 7 3 6" xfId="26591"/>
    <cellStyle name="Currency 5 7 4" xfId="1596"/>
    <cellStyle name="Currency 5 7 4 2" xfId="3826"/>
    <cellStyle name="Currency 5 7 4 2 2" xfId="8049"/>
    <cellStyle name="Currency 5 7 4 2 2 2" xfId="16485"/>
    <cellStyle name="Currency 5 7 4 2 2 3" xfId="24926"/>
    <cellStyle name="Currency 5 7 4 2 2 4" xfId="33366"/>
    <cellStyle name="Currency 5 7 4 2 3" xfId="12267"/>
    <cellStyle name="Currency 5 7 4 2 4" xfId="20709"/>
    <cellStyle name="Currency 5 7 4 2 5" xfId="29149"/>
    <cellStyle name="Currency 5 7 4 3" xfId="5904"/>
    <cellStyle name="Currency 5 7 4 3 2" xfId="14340"/>
    <cellStyle name="Currency 5 7 4 3 3" xfId="22781"/>
    <cellStyle name="Currency 5 7 4 3 4" xfId="31221"/>
    <cellStyle name="Currency 5 7 4 4" xfId="10122"/>
    <cellStyle name="Currency 5 7 4 5" xfId="18564"/>
    <cellStyle name="Currency 5 7 4 6" xfId="27004"/>
    <cellStyle name="Currency 5 7 5" xfId="2010"/>
    <cellStyle name="Currency 5 7 5 2" xfId="4239"/>
    <cellStyle name="Currency 5 7 5 2 2" xfId="8462"/>
    <cellStyle name="Currency 5 7 5 2 2 2" xfId="16898"/>
    <cellStyle name="Currency 5 7 5 2 2 3" xfId="25339"/>
    <cellStyle name="Currency 5 7 5 2 2 4" xfId="33779"/>
    <cellStyle name="Currency 5 7 5 2 3" xfId="12680"/>
    <cellStyle name="Currency 5 7 5 2 4" xfId="21122"/>
    <cellStyle name="Currency 5 7 5 2 5" xfId="29562"/>
    <cellStyle name="Currency 5 7 5 3" xfId="6317"/>
    <cellStyle name="Currency 5 7 5 3 2" xfId="14753"/>
    <cellStyle name="Currency 5 7 5 3 3" xfId="23194"/>
    <cellStyle name="Currency 5 7 5 3 4" xfId="31634"/>
    <cellStyle name="Currency 5 7 5 4" xfId="10535"/>
    <cellStyle name="Currency 5 7 5 5" xfId="18977"/>
    <cellStyle name="Currency 5 7 5 6" xfId="27417"/>
    <cellStyle name="Currency 5 7 6" xfId="2445"/>
    <cellStyle name="Currency 5 7 6 2" xfId="6730"/>
    <cellStyle name="Currency 5 7 6 2 2" xfId="15166"/>
    <cellStyle name="Currency 5 7 6 2 3" xfId="23607"/>
    <cellStyle name="Currency 5 7 6 2 4" xfId="32047"/>
    <cellStyle name="Currency 5 7 6 3" xfId="10948"/>
    <cellStyle name="Currency 5 7 6 4" xfId="19390"/>
    <cellStyle name="Currency 5 7 6 5" xfId="27830"/>
    <cellStyle name="Currency 5 7 7" xfId="2742"/>
    <cellStyle name="Currency 5 7 8" xfId="2823"/>
    <cellStyle name="Currency 5 7 8 2" xfId="7047"/>
    <cellStyle name="Currency 5 7 8 2 2" xfId="15483"/>
    <cellStyle name="Currency 5 7 8 2 3" xfId="23924"/>
    <cellStyle name="Currency 5 7 8 2 4" xfId="32364"/>
    <cellStyle name="Currency 5 7 8 3" xfId="11265"/>
    <cellStyle name="Currency 5 7 8 4" xfId="19707"/>
    <cellStyle name="Currency 5 7 8 5" xfId="28147"/>
    <cellStyle name="Currency 5 7 9" xfId="4664"/>
    <cellStyle name="Currency 5 7 9 2" xfId="13100"/>
    <cellStyle name="Currency 5 7 9 3" xfId="21541"/>
    <cellStyle name="Currency 5 7 9 4" xfId="29981"/>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0 2 2" xfId="15167"/>
    <cellStyle name="Normal 12 10 2 3" xfId="23608"/>
    <cellStyle name="Normal 12 10 2 4" xfId="32048"/>
    <cellStyle name="Normal 12 10 3" xfId="10949"/>
    <cellStyle name="Normal 12 10 4" xfId="19391"/>
    <cellStyle name="Normal 12 10 5" xfId="27831"/>
    <cellStyle name="Normal 12 11" xfId="4665"/>
    <cellStyle name="Normal 12 11 2" xfId="13101"/>
    <cellStyle name="Normal 12 11 3" xfId="21542"/>
    <cellStyle name="Normal 12 11 4" xfId="29982"/>
    <cellStyle name="Normal 12 12" xfId="8883"/>
    <cellStyle name="Normal 12 13" xfId="17325"/>
    <cellStyle name="Normal 12 14" xfId="25765"/>
    <cellStyle name="Normal 12 2" xfId="260"/>
    <cellStyle name="Normal 12 2 10" xfId="8884"/>
    <cellStyle name="Normal 12 2 11" xfId="17326"/>
    <cellStyle name="Normal 12 2 12" xfId="25766"/>
    <cellStyle name="Normal 12 2 2" xfId="261"/>
    <cellStyle name="Normal 12 2 2 10" xfId="17327"/>
    <cellStyle name="Normal 12 2 2 11" xfId="25767"/>
    <cellStyle name="Normal 12 2 2 2" xfId="262"/>
    <cellStyle name="Normal 12 2 2 2 10" xfId="25768"/>
    <cellStyle name="Normal 12 2 2 2 2" xfId="763"/>
    <cellStyle name="Normal 12 2 2 2 2 2" xfId="3004"/>
    <cellStyle name="Normal 12 2 2 2 2 2 2" xfId="7227"/>
    <cellStyle name="Normal 12 2 2 2 2 2 2 2" xfId="15663"/>
    <cellStyle name="Normal 12 2 2 2 2 2 2 3" xfId="24104"/>
    <cellStyle name="Normal 12 2 2 2 2 2 2 4" xfId="32544"/>
    <cellStyle name="Normal 12 2 2 2 2 2 3" xfId="11445"/>
    <cellStyle name="Normal 12 2 2 2 2 2 4" xfId="19887"/>
    <cellStyle name="Normal 12 2 2 2 2 2 5" xfId="28327"/>
    <cellStyle name="Normal 12 2 2 2 2 3" xfId="5082"/>
    <cellStyle name="Normal 12 2 2 2 2 3 2" xfId="13518"/>
    <cellStyle name="Normal 12 2 2 2 2 3 3" xfId="21959"/>
    <cellStyle name="Normal 12 2 2 2 2 3 4" xfId="30399"/>
    <cellStyle name="Normal 12 2 2 2 2 4" xfId="9300"/>
    <cellStyle name="Normal 12 2 2 2 2 5" xfId="17742"/>
    <cellStyle name="Normal 12 2 2 2 2 6" xfId="26182"/>
    <cellStyle name="Normal 12 2 2 2 3" xfId="1186"/>
    <cellStyle name="Normal 12 2 2 2 3 2" xfId="3417"/>
    <cellStyle name="Normal 12 2 2 2 3 2 2" xfId="7640"/>
    <cellStyle name="Normal 12 2 2 2 3 2 2 2" xfId="16076"/>
    <cellStyle name="Normal 12 2 2 2 3 2 2 3" xfId="24517"/>
    <cellStyle name="Normal 12 2 2 2 3 2 2 4" xfId="32957"/>
    <cellStyle name="Normal 12 2 2 2 3 2 3" xfId="11858"/>
    <cellStyle name="Normal 12 2 2 2 3 2 4" xfId="20300"/>
    <cellStyle name="Normal 12 2 2 2 3 2 5" xfId="28740"/>
    <cellStyle name="Normal 12 2 2 2 3 3" xfId="5495"/>
    <cellStyle name="Normal 12 2 2 2 3 3 2" xfId="13931"/>
    <cellStyle name="Normal 12 2 2 2 3 3 3" xfId="22372"/>
    <cellStyle name="Normal 12 2 2 2 3 3 4" xfId="30812"/>
    <cellStyle name="Normal 12 2 2 2 3 4" xfId="9713"/>
    <cellStyle name="Normal 12 2 2 2 3 5" xfId="18155"/>
    <cellStyle name="Normal 12 2 2 2 3 6" xfId="26595"/>
    <cellStyle name="Normal 12 2 2 2 4" xfId="1600"/>
    <cellStyle name="Normal 12 2 2 2 4 2" xfId="3830"/>
    <cellStyle name="Normal 12 2 2 2 4 2 2" xfId="8053"/>
    <cellStyle name="Normal 12 2 2 2 4 2 2 2" xfId="16489"/>
    <cellStyle name="Normal 12 2 2 2 4 2 2 3" xfId="24930"/>
    <cellStyle name="Normal 12 2 2 2 4 2 2 4" xfId="33370"/>
    <cellStyle name="Normal 12 2 2 2 4 2 3" xfId="12271"/>
    <cellStyle name="Normal 12 2 2 2 4 2 4" xfId="20713"/>
    <cellStyle name="Normal 12 2 2 2 4 2 5" xfId="29153"/>
    <cellStyle name="Normal 12 2 2 2 4 3" xfId="5908"/>
    <cellStyle name="Normal 12 2 2 2 4 3 2" xfId="14344"/>
    <cellStyle name="Normal 12 2 2 2 4 3 3" xfId="22785"/>
    <cellStyle name="Normal 12 2 2 2 4 3 4" xfId="31225"/>
    <cellStyle name="Normal 12 2 2 2 4 4" xfId="10126"/>
    <cellStyle name="Normal 12 2 2 2 4 5" xfId="18568"/>
    <cellStyle name="Normal 12 2 2 2 4 6" xfId="27008"/>
    <cellStyle name="Normal 12 2 2 2 5" xfId="2014"/>
    <cellStyle name="Normal 12 2 2 2 5 2" xfId="4243"/>
    <cellStyle name="Normal 12 2 2 2 5 2 2" xfId="8466"/>
    <cellStyle name="Normal 12 2 2 2 5 2 2 2" xfId="16902"/>
    <cellStyle name="Normal 12 2 2 2 5 2 2 3" xfId="25343"/>
    <cellStyle name="Normal 12 2 2 2 5 2 2 4" xfId="33783"/>
    <cellStyle name="Normal 12 2 2 2 5 2 3" xfId="12684"/>
    <cellStyle name="Normal 12 2 2 2 5 2 4" xfId="21126"/>
    <cellStyle name="Normal 12 2 2 2 5 2 5" xfId="29566"/>
    <cellStyle name="Normal 12 2 2 2 5 3" xfId="6321"/>
    <cellStyle name="Normal 12 2 2 2 5 3 2" xfId="14757"/>
    <cellStyle name="Normal 12 2 2 2 5 3 3" xfId="23198"/>
    <cellStyle name="Normal 12 2 2 2 5 3 4" xfId="31638"/>
    <cellStyle name="Normal 12 2 2 2 5 4" xfId="10539"/>
    <cellStyle name="Normal 12 2 2 2 5 5" xfId="18981"/>
    <cellStyle name="Normal 12 2 2 2 5 6" xfId="27421"/>
    <cellStyle name="Normal 12 2 2 2 6" xfId="2450"/>
    <cellStyle name="Normal 12 2 2 2 6 2" xfId="6734"/>
    <cellStyle name="Normal 12 2 2 2 6 2 2" xfId="15170"/>
    <cellStyle name="Normal 12 2 2 2 6 2 3" xfId="23611"/>
    <cellStyle name="Normal 12 2 2 2 6 2 4" xfId="32051"/>
    <cellStyle name="Normal 12 2 2 2 6 3" xfId="10952"/>
    <cellStyle name="Normal 12 2 2 2 6 4" xfId="19394"/>
    <cellStyle name="Normal 12 2 2 2 6 5" xfId="27834"/>
    <cellStyle name="Normal 12 2 2 2 7" xfId="4668"/>
    <cellStyle name="Normal 12 2 2 2 7 2" xfId="13104"/>
    <cellStyle name="Normal 12 2 2 2 7 3" xfId="21545"/>
    <cellStyle name="Normal 12 2 2 2 7 4" xfId="29985"/>
    <cellStyle name="Normal 12 2 2 2 8" xfId="8886"/>
    <cellStyle name="Normal 12 2 2 2 9" xfId="17328"/>
    <cellStyle name="Normal 12 2 2 3" xfId="762"/>
    <cellStyle name="Normal 12 2 2 3 2" xfId="3003"/>
    <cellStyle name="Normal 12 2 2 3 2 2" xfId="7226"/>
    <cellStyle name="Normal 12 2 2 3 2 2 2" xfId="15662"/>
    <cellStyle name="Normal 12 2 2 3 2 2 3" xfId="24103"/>
    <cellStyle name="Normal 12 2 2 3 2 2 4" xfId="32543"/>
    <cellStyle name="Normal 12 2 2 3 2 3" xfId="11444"/>
    <cellStyle name="Normal 12 2 2 3 2 4" xfId="19886"/>
    <cellStyle name="Normal 12 2 2 3 2 5" xfId="28326"/>
    <cellStyle name="Normal 12 2 2 3 3" xfId="5081"/>
    <cellStyle name="Normal 12 2 2 3 3 2" xfId="13517"/>
    <cellStyle name="Normal 12 2 2 3 3 3" xfId="21958"/>
    <cellStyle name="Normal 12 2 2 3 3 4" xfId="30398"/>
    <cellStyle name="Normal 12 2 2 3 4" xfId="9299"/>
    <cellStyle name="Normal 12 2 2 3 5" xfId="17741"/>
    <cellStyle name="Normal 12 2 2 3 6" xfId="26181"/>
    <cellStyle name="Normal 12 2 2 4" xfId="1185"/>
    <cellStyle name="Normal 12 2 2 4 2" xfId="3416"/>
    <cellStyle name="Normal 12 2 2 4 2 2" xfId="7639"/>
    <cellStyle name="Normal 12 2 2 4 2 2 2" xfId="16075"/>
    <cellStyle name="Normal 12 2 2 4 2 2 3" xfId="24516"/>
    <cellStyle name="Normal 12 2 2 4 2 2 4" xfId="32956"/>
    <cellStyle name="Normal 12 2 2 4 2 3" xfId="11857"/>
    <cellStyle name="Normal 12 2 2 4 2 4" xfId="20299"/>
    <cellStyle name="Normal 12 2 2 4 2 5" xfId="28739"/>
    <cellStyle name="Normal 12 2 2 4 3" xfId="5494"/>
    <cellStyle name="Normal 12 2 2 4 3 2" xfId="13930"/>
    <cellStyle name="Normal 12 2 2 4 3 3" xfId="22371"/>
    <cellStyle name="Normal 12 2 2 4 3 4" xfId="30811"/>
    <cellStyle name="Normal 12 2 2 4 4" xfId="9712"/>
    <cellStyle name="Normal 12 2 2 4 5" xfId="18154"/>
    <cellStyle name="Normal 12 2 2 4 6" xfId="26594"/>
    <cellStyle name="Normal 12 2 2 5" xfId="1599"/>
    <cellStyle name="Normal 12 2 2 5 2" xfId="3829"/>
    <cellStyle name="Normal 12 2 2 5 2 2" xfId="8052"/>
    <cellStyle name="Normal 12 2 2 5 2 2 2" xfId="16488"/>
    <cellStyle name="Normal 12 2 2 5 2 2 3" xfId="24929"/>
    <cellStyle name="Normal 12 2 2 5 2 2 4" xfId="33369"/>
    <cellStyle name="Normal 12 2 2 5 2 3" xfId="12270"/>
    <cellStyle name="Normal 12 2 2 5 2 4" xfId="20712"/>
    <cellStyle name="Normal 12 2 2 5 2 5" xfId="29152"/>
    <cellStyle name="Normal 12 2 2 5 3" xfId="5907"/>
    <cellStyle name="Normal 12 2 2 5 3 2" xfId="14343"/>
    <cellStyle name="Normal 12 2 2 5 3 3" xfId="22784"/>
    <cellStyle name="Normal 12 2 2 5 3 4" xfId="31224"/>
    <cellStyle name="Normal 12 2 2 5 4" xfId="10125"/>
    <cellStyle name="Normal 12 2 2 5 5" xfId="18567"/>
    <cellStyle name="Normal 12 2 2 5 6" xfId="27007"/>
    <cellStyle name="Normal 12 2 2 6" xfId="2013"/>
    <cellStyle name="Normal 12 2 2 6 2" xfId="4242"/>
    <cellStyle name="Normal 12 2 2 6 2 2" xfId="8465"/>
    <cellStyle name="Normal 12 2 2 6 2 2 2" xfId="16901"/>
    <cellStyle name="Normal 12 2 2 6 2 2 3" xfId="25342"/>
    <cellStyle name="Normal 12 2 2 6 2 2 4" xfId="33782"/>
    <cellStyle name="Normal 12 2 2 6 2 3" xfId="12683"/>
    <cellStyle name="Normal 12 2 2 6 2 4" xfId="21125"/>
    <cellStyle name="Normal 12 2 2 6 2 5" xfId="29565"/>
    <cellStyle name="Normal 12 2 2 6 3" xfId="6320"/>
    <cellStyle name="Normal 12 2 2 6 3 2" xfId="14756"/>
    <cellStyle name="Normal 12 2 2 6 3 3" xfId="23197"/>
    <cellStyle name="Normal 12 2 2 6 3 4" xfId="31637"/>
    <cellStyle name="Normal 12 2 2 6 4" xfId="10538"/>
    <cellStyle name="Normal 12 2 2 6 5" xfId="18980"/>
    <cellStyle name="Normal 12 2 2 6 6" xfId="27420"/>
    <cellStyle name="Normal 12 2 2 7" xfId="2449"/>
    <cellStyle name="Normal 12 2 2 7 2" xfId="6733"/>
    <cellStyle name="Normal 12 2 2 7 2 2" xfId="15169"/>
    <cellStyle name="Normal 12 2 2 7 2 3" xfId="23610"/>
    <cellStyle name="Normal 12 2 2 7 2 4" xfId="32050"/>
    <cellStyle name="Normal 12 2 2 7 3" xfId="10951"/>
    <cellStyle name="Normal 12 2 2 7 4" xfId="19393"/>
    <cellStyle name="Normal 12 2 2 7 5" xfId="27833"/>
    <cellStyle name="Normal 12 2 2 8" xfId="4667"/>
    <cellStyle name="Normal 12 2 2 8 2" xfId="13103"/>
    <cellStyle name="Normal 12 2 2 8 3" xfId="21544"/>
    <cellStyle name="Normal 12 2 2 8 4" xfId="29984"/>
    <cellStyle name="Normal 12 2 2 9" xfId="8885"/>
    <cellStyle name="Normal 12 2 3" xfId="263"/>
    <cellStyle name="Normal 12 2 3 10" xfId="25769"/>
    <cellStyle name="Normal 12 2 3 2" xfId="764"/>
    <cellStyle name="Normal 12 2 3 2 2" xfId="3005"/>
    <cellStyle name="Normal 12 2 3 2 2 2" xfId="7228"/>
    <cellStyle name="Normal 12 2 3 2 2 2 2" xfId="15664"/>
    <cellStyle name="Normal 12 2 3 2 2 2 3" xfId="24105"/>
    <cellStyle name="Normal 12 2 3 2 2 2 4" xfId="32545"/>
    <cellStyle name="Normal 12 2 3 2 2 3" xfId="11446"/>
    <cellStyle name="Normal 12 2 3 2 2 4" xfId="19888"/>
    <cellStyle name="Normal 12 2 3 2 2 5" xfId="28328"/>
    <cellStyle name="Normal 12 2 3 2 3" xfId="5083"/>
    <cellStyle name="Normal 12 2 3 2 3 2" xfId="13519"/>
    <cellStyle name="Normal 12 2 3 2 3 3" xfId="21960"/>
    <cellStyle name="Normal 12 2 3 2 3 4" xfId="30400"/>
    <cellStyle name="Normal 12 2 3 2 4" xfId="9301"/>
    <cellStyle name="Normal 12 2 3 2 5" xfId="17743"/>
    <cellStyle name="Normal 12 2 3 2 6" xfId="26183"/>
    <cellStyle name="Normal 12 2 3 3" xfId="1187"/>
    <cellStyle name="Normal 12 2 3 3 2" xfId="3418"/>
    <cellStyle name="Normal 12 2 3 3 2 2" xfId="7641"/>
    <cellStyle name="Normal 12 2 3 3 2 2 2" xfId="16077"/>
    <cellStyle name="Normal 12 2 3 3 2 2 3" xfId="24518"/>
    <cellStyle name="Normal 12 2 3 3 2 2 4" xfId="32958"/>
    <cellStyle name="Normal 12 2 3 3 2 3" xfId="11859"/>
    <cellStyle name="Normal 12 2 3 3 2 4" xfId="20301"/>
    <cellStyle name="Normal 12 2 3 3 2 5" xfId="28741"/>
    <cellStyle name="Normal 12 2 3 3 3" xfId="5496"/>
    <cellStyle name="Normal 12 2 3 3 3 2" xfId="13932"/>
    <cellStyle name="Normal 12 2 3 3 3 3" xfId="22373"/>
    <cellStyle name="Normal 12 2 3 3 3 4" xfId="30813"/>
    <cellStyle name="Normal 12 2 3 3 4" xfId="9714"/>
    <cellStyle name="Normal 12 2 3 3 5" xfId="18156"/>
    <cellStyle name="Normal 12 2 3 3 6" xfId="26596"/>
    <cellStyle name="Normal 12 2 3 4" xfId="1601"/>
    <cellStyle name="Normal 12 2 3 4 2" xfId="3831"/>
    <cellStyle name="Normal 12 2 3 4 2 2" xfId="8054"/>
    <cellStyle name="Normal 12 2 3 4 2 2 2" xfId="16490"/>
    <cellStyle name="Normal 12 2 3 4 2 2 3" xfId="24931"/>
    <cellStyle name="Normal 12 2 3 4 2 2 4" xfId="33371"/>
    <cellStyle name="Normal 12 2 3 4 2 3" xfId="12272"/>
    <cellStyle name="Normal 12 2 3 4 2 4" xfId="20714"/>
    <cellStyle name="Normal 12 2 3 4 2 5" xfId="29154"/>
    <cellStyle name="Normal 12 2 3 4 3" xfId="5909"/>
    <cellStyle name="Normal 12 2 3 4 3 2" xfId="14345"/>
    <cellStyle name="Normal 12 2 3 4 3 3" xfId="22786"/>
    <cellStyle name="Normal 12 2 3 4 3 4" xfId="31226"/>
    <cellStyle name="Normal 12 2 3 4 4" xfId="10127"/>
    <cellStyle name="Normal 12 2 3 4 5" xfId="18569"/>
    <cellStyle name="Normal 12 2 3 4 6" xfId="27009"/>
    <cellStyle name="Normal 12 2 3 5" xfId="2015"/>
    <cellStyle name="Normal 12 2 3 5 2" xfId="4244"/>
    <cellStyle name="Normal 12 2 3 5 2 2" xfId="8467"/>
    <cellStyle name="Normal 12 2 3 5 2 2 2" xfId="16903"/>
    <cellStyle name="Normal 12 2 3 5 2 2 3" xfId="25344"/>
    <cellStyle name="Normal 12 2 3 5 2 2 4" xfId="33784"/>
    <cellStyle name="Normal 12 2 3 5 2 3" xfId="12685"/>
    <cellStyle name="Normal 12 2 3 5 2 4" xfId="21127"/>
    <cellStyle name="Normal 12 2 3 5 2 5" xfId="29567"/>
    <cellStyle name="Normal 12 2 3 5 3" xfId="6322"/>
    <cellStyle name="Normal 12 2 3 5 3 2" xfId="14758"/>
    <cellStyle name="Normal 12 2 3 5 3 3" xfId="23199"/>
    <cellStyle name="Normal 12 2 3 5 3 4" xfId="31639"/>
    <cellStyle name="Normal 12 2 3 5 4" xfId="10540"/>
    <cellStyle name="Normal 12 2 3 5 5" xfId="18982"/>
    <cellStyle name="Normal 12 2 3 5 6" xfId="27422"/>
    <cellStyle name="Normal 12 2 3 6" xfId="2451"/>
    <cellStyle name="Normal 12 2 3 6 2" xfId="6735"/>
    <cellStyle name="Normal 12 2 3 6 2 2" xfId="15171"/>
    <cellStyle name="Normal 12 2 3 6 2 3" xfId="23612"/>
    <cellStyle name="Normal 12 2 3 6 2 4" xfId="32052"/>
    <cellStyle name="Normal 12 2 3 6 3" xfId="10953"/>
    <cellStyle name="Normal 12 2 3 6 4" xfId="19395"/>
    <cellStyle name="Normal 12 2 3 6 5" xfId="27835"/>
    <cellStyle name="Normal 12 2 3 7" xfId="4669"/>
    <cellStyle name="Normal 12 2 3 7 2" xfId="13105"/>
    <cellStyle name="Normal 12 2 3 7 3" xfId="21546"/>
    <cellStyle name="Normal 12 2 3 7 4" xfId="29986"/>
    <cellStyle name="Normal 12 2 3 8" xfId="8887"/>
    <cellStyle name="Normal 12 2 3 9" xfId="17329"/>
    <cellStyle name="Normal 12 2 4" xfId="761"/>
    <cellStyle name="Normal 12 2 4 2" xfId="3002"/>
    <cellStyle name="Normal 12 2 4 2 2" xfId="7225"/>
    <cellStyle name="Normal 12 2 4 2 2 2" xfId="15661"/>
    <cellStyle name="Normal 12 2 4 2 2 3" xfId="24102"/>
    <cellStyle name="Normal 12 2 4 2 2 4" xfId="32542"/>
    <cellStyle name="Normal 12 2 4 2 3" xfId="11443"/>
    <cellStyle name="Normal 12 2 4 2 4" xfId="19885"/>
    <cellStyle name="Normal 12 2 4 2 5" xfId="28325"/>
    <cellStyle name="Normal 12 2 4 3" xfId="5080"/>
    <cellStyle name="Normal 12 2 4 3 2" xfId="13516"/>
    <cellStyle name="Normal 12 2 4 3 3" xfId="21957"/>
    <cellStyle name="Normal 12 2 4 3 4" xfId="30397"/>
    <cellStyle name="Normal 12 2 4 4" xfId="9298"/>
    <cellStyle name="Normal 12 2 4 5" xfId="17740"/>
    <cellStyle name="Normal 12 2 4 6" xfId="26180"/>
    <cellStyle name="Normal 12 2 5" xfId="1184"/>
    <cellStyle name="Normal 12 2 5 2" xfId="3415"/>
    <cellStyle name="Normal 12 2 5 2 2" xfId="7638"/>
    <cellStyle name="Normal 12 2 5 2 2 2" xfId="16074"/>
    <cellStyle name="Normal 12 2 5 2 2 3" xfId="24515"/>
    <cellStyle name="Normal 12 2 5 2 2 4" xfId="32955"/>
    <cellStyle name="Normal 12 2 5 2 3" xfId="11856"/>
    <cellStyle name="Normal 12 2 5 2 4" xfId="20298"/>
    <cellStyle name="Normal 12 2 5 2 5" xfId="28738"/>
    <cellStyle name="Normal 12 2 5 3" xfId="5493"/>
    <cellStyle name="Normal 12 2 5 3 2" xfId="13929"/>
    <cellStyle name="Normal 12 2 5 3 3" xfId="22370"/>
    <cellStyle name="Normal 12 2 5 3 4" xfId="30810"/>
    <cellStyle name="Normal 12 2 5 4" xfId="9711"/>
    <cellStyle name="Normal 12 2 5 5" xfId="18153"/>
    <cellStyle name="Normal 12 2 5 6" xfId="26593"/>
    <cellStyle name="Normal 12 2 6" xfId="1598"/>
    <cellStyle name="Normal 12 2 6 2" xfId="3828"/>
    <cellStyle name="Normal 12 2 6 2 2" xfId="8051"/>
    <cellStyle name="Normal 12 2 6 2 2 2" xfId="16487"/>
    <cellStyle name="Normal 12 2 6 2 2 3" xfId="24928"/>
    <cellStyle name="Normal 12 2 6 2 2 4" xfId="33368"/>
    <cellStyle name="Normal 12 2 6 2 3" xfId="12269"/>
    <cellStyle name="Normal 12 2 6 2 4" xfId="20711"/>
    <cellStyle name="Normal 12 2 6 2 5" xfId="29151"/>
    <cellStyle name="Normal 12 2 6 3" xfId="5906"/>
    <cellStyle name="Normal 12 2 6 3 2" xfId="14342"/>
    <cellStyle name="Normal 12 2 6 3 3" xfId="22783"/>
    <cellStyle name="Normal 12 2 6 3 4" xfId="31223"/>
    <cellStyle name="Normal 12 2 6 4" xfId="10124"/>
    <cellStyle name="Normal 12 2 6 5" xfId="18566"/>
    <cellStyle name="Normal 12 2 6 6" xfId="27006"/>
    <cellStyle name="Normal 12 2 7" xfId="2012"/>
    <cellStyle name="Normal 12 2 7 2" xfId="4241"/>
    <cellStyle name="Normal 12 2 7 2 2" xfId="8464"/>
    <cellStyle name="Normal 12 2 7 2 2 2" xfId="16900"/>
    <cellStyle name="Normal 12 2 7 2 2 3" xfId="25341"/>
    <cellStyle name="Normal 12 2 7 2 2 4" xfId="33781"/>
    <cellStyle name="Normal 12 2 7 2 3" xfId="12682"/>
    <cellStyle name="Normal 12 2 7 2 4" xfId="21124"/>
    <cellStyle name="Normal 12 2 7 2 5" xfId="29564"/>
    <cellStyle name="Normal 12 2 7 3" xfId="6319"/>
    <cellStyle name="Normal 12 2 7 3 2" xfId="14755"/>
    <cellStyle name="Normal 12 2 7 3 3" xfId="23196"/>
    <cellStyle name="Normal 12 2 7 3 4" xfId="31636"/>
    <cellStyle name="Normal 12 2 7 4" xfId="10537"/>
    <cellStyle name="Normal 12 2 7 5" xfId="18979"/>
    <cellStyle name="Normal 12 2 7 6" xfId="27419"/>
    <cellStyle name="Normal 12 2 8" xfId="2448"/>
    <cellStyle name="Normal 12 2 8 2" xfId="6732"/>
    <cellStyle name="Normal 12 2 8 2 2" xfId="15168"/>
    <cellStyle name="Normal 12 2 8 2 3" xfId="23609"/>
    <cellStyle name="Normal 12 2 8 2 4" xfId="32049"/>
    <cellStyle name="Normal 12 2 8 3" xfId="10950"/>
    <cellStyle name="Normal 12 2 8 4" xfId="19392"/>
    <cellStyle name="Normal 12 2 8 5" xfId="27832"/>
    <cellStyle name="Normal 12 2 9" xfId="4666"/>
    <cellStyle name="Normal 12 2 9 2" xfId="13102"/>
    <cellStyle name="Normal 12 2 9 3" xfId="21543"/>
    <cellStyle name="Normal 12 2 9 4" xfId="29983"/>
    <cellStyle name="Normal 12 3" xfId="264"/>
    <cellStyle name="Normal 12 3 10" xfId="17330"/>
    <cellStyle name="Normal 12 3 11" xfId="25770"/>
    <cellStyle name="Normal 12 3 2" xfId="265"/>
    <cellStyle name="Normal 12 3 2 10" xfId="25771"/>
    <cellStyle name="Normal 12 3 2 2" xfId="766"/>
    <cellStyle name="Normal 12 3 2 2 2" xfId="3007"/>
    <cellStyle name="Normal 12 3 2 2 2 2" xfId="7230"/>
    <cellStyle name="Normal 12 3 2 2 2 2 2" xfId="15666"/>
    <cellStyle name="Normal 12 3 2 2 2 2 3" xfId="24107"/>
    <cellStyle name="Normal 12 3 2 2 2 2 4" xfId="32547"/>
    <cellStyle name="Normal 12 3 2 2 2 3" xfId="11448"/>
    <cellStyle name="Normal 12 3 2 2 2 4" xfId="19890"/>
    <cellStyle name="Normal 12 3 2 2 2 5" xfId="28330"/>
    <cellStyle name="Normal 12 3 2 2 3" xfId="5085"/>
    <cellStyle name="Normal 12 3 2 2 3 2" xfId="13521"/>
    <cellStyle name="Normal 12 3 2 2 3 3" xfId="21962"/>
    <cellStyle name="Normal 12 3 2 2 3 4" xfId="30402"/>
    <cellStyle name="Normal 12 3 2 2 4" xfId="9303"/>
    <cellStyle name="Normal 12 3 2 2 5" xfId="17745"/>
    <cellStyle name="Normal 12 3 2 2 6" xfId="26185"/>
    <cellStyle name="Normal 12 3 2 3" xfId="1189"/>
    <cellStyle name="Normal 12 3 2 3 2" xfId="3420"/>
    <cellStyle name="Normal 12 3 2 3 2 2" xfId="7643"/>
    <cellStyle name="Normal 12 3 2 3 2 2 2" xfId="16079"/>
    <cellStyle name="Normal 12 3 2 3 2 2 3" xfId="24520"/>
    <cellStyle name="Normal 12 3 2 3 2 2 4" xfId="32960"/>
    <cellStyle name="Normal 12 3 2 3 2 3" xfId="11861"/>
    <cellStyle name="Normal 12 3 2 3 2 4" xfId="20303"/>
    <cellStyle name="Normal 12 3 2 3 2 5" xfId="28743"/>
    <cellStyle name="Normal 12 3 2 3 3" xfId="5498"/>
    <cellStyle name="Normal 12 3 2 3 3 2" xfId="13934"/>
    <cellStyle name="Normal 12 3 2 3 3 3" xfId="22375"/>
    <cellStyle name="Normal 12 3 2 3 3 4" xfId="30815"/>
    <cellStyle name="Normal 12 3 2 3 4" xfId="9716"/>
    <cellStyle name="Normal 12 3 2 3 5" xfId="18158"/>
    <cellStyle name="Normal 12 3 2 3 6" xfId="26598"/>
    <cellStyle name="Normal 12 3 2 4" xfId="1603"/>
    <cellStyle name="Normal 12 3 2 4 2" xfId="3833"/>
    <cellStyle name="Normal 12 3 2 4 2 2" xfId="8056"/>
    <cellStyle name="Normal 12 3 2 4 2 2 2" xfId="16492"/>
    <cellStyle name="Normal 12 3 2 4 2 2 3" xfId="24933"/>
    <cellStyle name="Normal 12 3 2 4 2 2 4" xfId="33373"/>
    <cellStyle name="Normal 12 3 2 4 2 3" xfId="12274"/>
    <cellStyle name="Normal 12 3 2 4 2 4" xfId="20716"/>
    <cellStyle name="Normal 12 3 2 4 2 5" xfId="29156"/>
    <cellStyle name="Normal 12 3 2 4 3" xfId="5911"/>
    <cellStyle name="Normal 12 3 2 4 3 2" xfId="14347"/>
    <cellStyle name="Normal 12 3 2 4 3 3" xfId="22788"/>
    <cellStyle name="Normal 12 3 2 4 3 4" xfId="31228"/>
    <cellStyle name="Normal 12 3 2 4 4" xfId="10129"/>
    <cellStyle name="Normal 12 3 2 4 5" xfId="18571"/>
    <cellStyle name="Normal 12 3 2 4 6" xfId="27011"/>
    <cellStyle name="Normal 12 3 2 5" xfId="2017"/>
    <cellStyle name="Normal 12 3 2 5 2" xfId="4246"/>
    <cellStyle name="Normal 12 3 2 5 2 2" xfId="8469"/>
    <cellStyle name="Normal 12 3 2 5 2 2 2" xfId="16905"/>
    <cellStyle name="Normal 12 3 2 5 2 2 3" xfId="25346"/>
    <cellStyle name="Normal 12 3 2 5 2 2 4" xfId="33786"/>
    <cellStyle name="Normal 12 3 2 5 2 3" xfId="12687"/>
    <cellStyle name="Normal 12 3 2 5 2 4" xfId="21129"/>
    <cellStyle name="Normal 12 3 2 5 2 5" xfId="29569"/>
    <cellStyle name="Normal 12 3 2 5 3" xfId="6324"/>
    <cellStyle name="Normal 12 3 2 5 3 2" xfId="14760"/>
    <cellStyle name="Normal 12 3 2 5 3 3" xfId="23201"/>
    <cellStyle name="Normal 12 3 2 5 3 4" xfId="31641"/>
    <cellStyle name="Normal 12 3 2 5 4" xfId="10542"/>
    <cellStyle name="Normal 12 3 2 5 5" xfId="18984"/>
    <cellStyle name="Normal 12 3 2 5 6" xfId="27424"/>
    <cellStyle name="Normal 12 3 2 6" xfId="2453"/>
    <cellStyle name="Normal 12 3 2 6 2" xfId="6737"/>
    <cellStyle name="Normal 12 3 2 6 2 2" xfId="15173"/>
    <cellStyle name="Normal 12 3 2 6 2 3" xfId="23614"/>
    <cellStyle name="Normal 12 3 2 6 2 4" xfId="32054"/>
    <cellStyle name="Normal 12 3 2 6 3" xfId="10955"/>
    <cellStyle name="Normal 12 3 2 6 4" xfId="19397"/>
    <cellStyle name="Normal 12 3 2 6 5" xfId="27837"/>
    <cellStyle name="Normal 12 3 2 7" xfId="4671"/>
    <cellStyle name="Normal 12 3 2 7 2" xfId="13107"/>
    <cellStyle name="Normal 12 3 2 7 3" xfId="21548"/>
    <cellStyle name="Normal 12 3 2 7 4" xfId="29988"/>
    <cellStyle name="Normal 12 3 2 8" xfId="8889"/>
    <cellStyle name="Normal 12 3 2 9" xfId="17331"/>
    <cellStyle name="Normal 12 3 3" xfId="765"/>
    <cellStyle name="Normal 12 3 3 2" xfId="3006"/>
    <cellStyle name="Normal 12 3 3 2 2" xfId="7229"/>
    <cellStyle name="Normal 12 3 3 2 2 2" xfId="15665"/>
    <cellStyle name="Normal 12 3 3 2 2 3" xfId="24106"/>
    <cellStyle name="Normal 12 3 3 2 2 4" xfId="32546"/>
    <cellStyle name="Normal 12 3 3 2 3" xfId="11447"/>
    <cellStyle name="Normal 12 3 3 2 4" xfId="19889"/>
    <cellStyle name="Normal 12 3 3 2 5" xfId="28329"/>
    <cellStyle name="Normal 12 3 3 3" xfId="5084"/>
    <cellStyle name="Normal 12 3 3 3 2" xfId="13520"/>
    <cellStyle name="Normal 12 3 3 3 3" xfId="21961"/>
    <cellStyle name="Normal 12 3 3 3 4" xfId="30401"/>
    <cellStyle name="Normal 12 3 3 4" xfId="9302"/>
    <cellStyle name="Normal 12 3 3 5" xfId="17744"/>
    <cellStyle name="Normal 12 3 3 6" xfId="26184"/>
    <cellStyle name="Normal 12 3 4" xfId="1188"/>
    <cellStyle name="Normal 12 3 4 2" xfId="3419"/>
    <cellStyle name="Normal 12 3 4 2 2" xfId="7642"/>
    <cellStyle name="Normal 12 3 4 2 2 2" xfId="16078"/>
    <cellStyle name="Normal 12 3 4 2 2 3" xfId="24519"/>
    <cellStyle name="Normal 12 3 4 2 2 4" xfId="32959"/>
    <cellStyle name="Normal 12 3 4 2 3" xfId="11860"/>
    <cellStyle name="Normal 12 3 4 2 4" xfId="20302"/>
    <cellStyle name="Normal 12 3 4 2 5" xfId="28742"/>
    <cellStyle name="Normal 12 3 4 3" xfId="5497"/>
    <cellStyle name="Normal 12 3 4 3 2" xfId="13933"/>
    <cellStyle name="Normal 12 3 4 3 3" xfId="22374"/>
    <cellStyle name="Normal 12 3 4 3 4" xfId="30814"/>
    <cellStyle name="Normal 12 3 4 4" xfId="9715"/>
    <cellStyle name="Normal 12 3 4 5" xfId="18157"/>
    <cellStyle name="Normal 12 3 4 6" xfId="26597"/>
    <cellStyle name="Normal 12 3 5" xfId="1602"/>
    <cellStyle name="Normal 12 3 5 2" xfId="3832"/>
    <cellStyle name="Normal 12 3 5 2 2" xfId="8055"/>
    <cellStyle name="Normal 12 3 5 2 2 2" xfId="16491"/>
    <cellStyle name="Normal 12 3 5 2 2 3" xfId="24932"/>
    <cellStyle name="Normal 12 3 5 2 2 4" xfId="33372"/>
    <cellStyle name="Normal 12 3 5 2 3" xfId="12273"/>
    <cellStyle name="Normal 12 3 5 2 4" xfId="20715"/>
    <cellStyle name="Normal 12 3 5 2 5" xfId="29155"/>
    <cellStyle name="Normal 12 3 5 3" xfId="5910"/>
    <cellStyle name="Normal 12 3 5 3 2" xfId="14346"/>
    <cellStyle name="Normal 12 3 5 3 3" xfId="22787"/>
    <cellStyle name="Normal 12 3 5 3 4" xfId="31227"/>
    <cellStyle name="Normal 12 3 5 4" xfId="10128"/>
    <cellStyle name="Normal 12 3 5 5" xfId="18570"/>
    <cellStyle name="Normal 12 3 5 6" xfId="27010"/>
    <cellStyle name="Normal 12 3 6" xfId="2016"/>
    <cellStyle name="Normal 12 3 6 2" xfId="4245"/>
    <cellStyle name="Normal 12 3 6 2 2" xfId="8468"/>
    <cellStyle name="Normal 12 3 6 2 2 2" xfId="16904"/>
    <cellStyle name="Normal 12 3 6 2 2 3" xfId="25345"/>
    <cellStyle name="Normal 12 3 6 2 2 4" xfId="33785"/>
    <cellStyle name="Normal 12 3 6 2 3" xfId="12686"/>
    <cellStyle name="Normal 12 3 6 2 4" xfId="21128"/>
    <cellStyle name="Normal 12 3 6 2 5" xfId="29568"/>
    <cellStyle name="Normal 12 3 6 3" xfId="6323"/>
    <cellStyle name="Normal 12 3 6 3 2" xfId="14759"/>
    <cellStyle name="Normal 12 3 6 3 3" xfId="23200"/>
    <cellStyle name="Normal 12 3 6 3 4" xfId="31640"/>
    <cellStyle name="Normal 12 3 6 4" xfId="10541"/>
    <cellStyle name="Normal 12 3 6 5" xfId="18983"/>
    <cellStyle name="Normal 12 3 6 6" xfId="27423"/>
    <cellStyle name="Normal 12 3 7" xfId="2452"/>
    <cellStyle name="Normal 12 3 7 2" xfId="6736"/>
    <cellStyle name="Normal 12 3 7 2 2" xfId="15172"/>
    <cellStyle name="Normal 12 3 7 2 3" xfId="23613"/>
    <cellStyle name="Normal 12 3 7 2 4" xfId="32053"/>
    <cellStyle name="Normal 12 3 7 3" xfId="10954"/>
    <cellStyle name="Normal 12 3 7 4" xfId="19396"/>
    <cellStyle name="Normal 12 3 7 5" xfId="27836"/>
    <cellStyle name="Normal 12 3 8" xfId="4670"/>
    <cellStyle name="Normal 12 3 8 2" xfId="13106"/>
    <cellStyle name="Normal 12 3 8 3" xfId="21547"/>
    <cellStyle name="Normal 12 3 8 4" xfId="29987"/>
    <cellStyle name="Normal 12 3 9" xfId="8888"/>
    <cellStyle name="Normal 12 4" xfId="266"/>
    <cellStyle name="Normal 12 4 10" xfId="25772"/>
    <cellStyle name="Normal 12 4 2" xfId="767"/>
    <cellStyle name="Normal 12 4 2 2" xfId="3008"/>
    <cellStyle name="Normal 12 4 2 2 2" xfId="7231"/>
    <cellStyle name="Normal 12 4 2 2 2 2" xfId="15667"/>
    <cellStyle name="Normal 12 4 2 2 2 3" xfId="24108"/>
    <cellStyle name="Normal 12 4 2 2 2 4" xfId="32548"/>
    <cellStyle name="Normal 12 4 2 2 3" xfId="11449"/>
    <cellStyle name="Normal 12 4 2 2 4" xfId="19891"/>
    <cellStyle name="Normal 12 4 2 2 5" xfId="28331"/>
    <cellStyle name="Normal 12 4 2 3" xfId="5086"/>
    <cellStyle name="Normal 12 4 2 3 2" xfId="13522"/>
    <cellStyle name="Normal 12 4 2 3 3" xfId="21963"/>
    <cellStyle name="Normal 12 4 2 3 4" xfId="30403"/>
    <cellStyle name="Normal 12 4 2 4" xfId="9304"/>
    <cellStyle name="Normal 12 4 2 5" xfId="17746"/>
    <cellStyle name="Normal 12 4 2 6" xfId="26186"/>
    <cellStyle name="Normal 12 4 3" xfId="1190"/>
    <cellStyle name="Normal 12 4 3 2" xfId="3421"/>
    <cellStyle name="Normal 12 4 3 2 2" xfId="7644"/>
    <cellStyle name="Normal 12 4 3 2 2 2" xfId="16080"/>
    <cellStyle name="Normal 12 4 3 2 2 3" xfId="24521"/>
    <cellStyle name="Normal 12 4 3 2 2 4" xfId="32961"/>
    <cellStyle name="Normal 12 4 3 2 3" xfId="11862"/>
    <cellStyle name="Normal 12 4 3 2 4" xfId="20304"/>
    <cellStyle name="Normal 12 4 3 2 5" xfId="28744"/>
    <cellStyle name="Normal 12 4 3 3" xfId="5499"/>
    <cellStyle name="Normal 12 4 3 3 2" xfId="13935"/>
    <cellStyle name="Normal 12 4 3 3 3" xfId="22376"/>
    <cellStyle name="Normal 12 4 3 3 4" xfId="30816"/>
    <cellStyle name="Normal 12 4 3 4" xfId="9717"/>
    <cellStyle name="Normal 12 4 3 5" xfId="18159"/>
    <cellStyle name="Normal 12 4 3 6" xfId="26599"/>
    <cellStyle name="Normal 12 4 4" xfId="1604"/>
    <cellStyle name="Normal 12 4 4 2" xfId="3834"/>
    <cellStyle name="Normal 12 4 4 2 2" xfId="8057"/>
    <cellStyle name="Normal 12 4 4 2 2 2" xfId="16493"/>
    <cellStyle name="Normal 12 4 4 2 2 3" xfId="24934"/>
    <cellStyle name="Normal 12 4 4 2 2 4" xfId="33374"/>
    <cellStyle name="Normal 12 4 4 2 3" xfId="12275"/>
    <cellStyle name="Normal 12 4 4 2 4" xfId="20717"/>
    <cellStyle name="Normal 12 4 4 2 5" xfId="29157"/>
    <cellStyle name="Normal 12 4 4 3" xfId="5912"/>
    <cellStyle name="Normal 12 4 4 3 2" xfId="14348"/>
    <cellStyle name="Normal 12 4 4 3 3" xfId="22789"/>
    <cellStyle name="Normal 12 4 4 3 4" xfId="31229"/>
    <cellStyle name="Normal 12 4 4 4" xfId="10130"/>
    <cellStyle name="Normal 12 4 4 5" xfId="18572"/>
    <cellStyle name="Normal 12 4 4 6" xfId="27012"/>
    <cellStyle name="Normal 12 4 5" xfId="2018"/>
    <cellStyle name="Normal 12 4 5 2" xfId="4247"/>
    <cellStyle name="Normal 12 4 5 2 2" xfId="8470"/>
    <cellStyle name="Normal 12 4 5 2 2 2" xfId="16906"/>
    <cellStyle name="Normal 12 4 5 2 2 3" xfId="25347"/>
    <cellStyle name="Normal 12 4 5 2 2 4" xfId="33787"/>
    <cellStyle name="Normal 12 4 5 2 3" xfId="12688"/>
    <cellStyle name="Normal 12 4 5 2 4" xfId="21130"/>
    <cellStyle name="Normal 12 4 5 2 5" xfId="29570"/>
    <cellStyle name="Normal 12 4 5 3" xfId="6325"/>
    <cellStyle name="Normal 12 4 5 3 2" xfId="14761"/>
    <cellStyle name="Normal 12 4 5 3 3" xfId="23202"/>
    <cellStyle name="Normal 12 4 5 3 4" xfId="31642"/>
    <cellStyle name="Normal 12 4 5 4" xfId="10543"/>
    <cellStyle name="Normal 12 4 5 5" xfId="18985"/>
    <cellStyle name="Normal 12 4 5 6" xfId="27425"/>
    <cellStyle name="Normal 12 4 6" xfId="2454"/>
    <cellStyle name="Normal 12 4 6 2" xfId="6738"/>
    <cellStyle name="Normal 12 4 6 2 2" xfId="15174"/>
    <cellStyle name="Normal 12 4 6 2 3" xfId="23615"/>
    <cellStyle name="Normal 12 4 6 2 4" xfId="32055"/>
    <cellStyle name="Normal 12 4 6 3" xfId="10956"/>
    <cellStyle name="Normal 12 4 6 4" xfId="19398"/>
    <cellStyle name="Normal 12 4 6 5" xfId="27838"/>
    <cellStyle name="Normal 12 4 7" xfId="4672"/>
    <cellStyle name="Normal 12 4 7 2" xfId="13108"/>
    <cellStyle name="Normal 12 4 7 3" xfId="21549"/>
    <cellStyle name="Normal 12 4 7 4" xfId="29989"/>
    <cellStyle name="Normal 12 4 8" xfId="8890"/>
    <cellStyle name="Normal 12 4 9" xfId="17332"/>
    <cellStyle name="Normal 12 5" xfId="267"/>
    <cellStyle name="Normal 12 6" xfId="760"/>
    <cellStyle name="Normal 12 6 2" xfId="3001"/>
    <cellStyle name="Normal 12 6 2 2" xfId="7224"/>
    <cellStyle name="Normal 12 6 2 2 2" xfId="15660"/>
    <cellStyle name="Normal 12 6 2 2 3" xfId="24101"/>
    <cellStyle name="Normal 12 6 2 2 4" xfId="32541"/>
    <cellStyle name="Normal 12 6 2 3" xfId="11442"/>
    <cellStyle name="Normal 12 6 2 4" xfId="19884"/>
    <cellStyle name="Normal 12 6 2 5" xfId="28324"/>
    <cellStyle name="Normal 12 6 3" xfId="5079"/>
    <cellStyle name="Normal 12 6 3 2" xfId="13515"/>
    <cellStyle name="Normal 12 6 3 3" xfId="21956"/>
    <cellStyle name="Normal 12 6 3 4" xfId="30396"/>
    <cellStyle name="Normal 12 6 4" xfId="9297"/>
    <cellStyle name="Normal 12 6 5" xfId="17739"/>
    <cellStyle name="Normal 12 6 6" xfId="26179"/>
    <cellStyle name="Normal 12 7" xfId="1183"/>
    <cellStyle name="Normal 12 7 2" xfId="3414"/>
    <cellStyle name="Normal 12 7 2 2" xfId="7637"/>
    <cellStyle name="Normal 12 7 2 2 2" xfId="16073"/>
    <cellStyle name="Normal 12 7 2 2 3" xfId="24514"/>
    <cellStyle name="Normal 12 7 2 2 4" xfId="32954"/>
    <cellStyle name="Normal 12 7 2 3" xfId="11855"/>
    <cellStyle name="Normal 12 7 2 4" xfId="20297"/>
    <cellStyle name="Normal 12 7 2 5" xfId="28737"/>
    <cellStyle name="Normal 12 7 3" xfId="5492"/>
    <cellStyle name="Normal 12 7 3 2" xfId="13928"/>
    <cellStyle name="Normal 12 7 3 3" xfId="22369"/>
    <cellStyle name="Normal 12 7 3 4" xfId="30809"/>
    <cellStyle name="Normal 12 7 4" xfId="9710"/>
    <cellStyle name="Normal 12 7 5" xfId="18152"/>
    <cellStyle name="Normal 12 7 6" xfId="26592"/>
    <cellStyle name="Normal 12 8" xfId="1597"/>
    <cellStyle name="Normal 12 8 2" xfId="3827"/>
    <cellStyle name="Normal 12 8 2 2" xfId="8050"/>
    <cellStyle name="Normal 12 8 2 2 2" xfId="16486"/>
    <cellStyle name="Normal 12 8 2 2 3" xfId="24927"/>
    <cellStyle name="Normal 12 8 2 2 4" xfId="33367"/>
    <cellStyle name="Normal 12 8 2 3" xfId="12268"/>
    <cellStyle name="Normal 12 8 2 4" xfId="20710"/>
    <cellStyle name="Normal 12 8 2 5" xfId="29150"/>
    <cellStyle name="Normal 12 8 3" xfId="5905"/>
    <cellStyle name="Normal 12 8 3 2" xfId="14341"/>
    <cellStyle name="Normal 12 8 3 3" xfId="22782"/>
    <cellStyle name="Normal 12 8 3 4" xfId="31222"/>
    <cellStyle name="Normal 12 8 4" xfId="10123"/>
    <cellStyle name="Normal 12 8 5" xfId="18565"/>
    <cellStyle name="Normal 12 8 6" xfId="27005"/>
    <cellStyle name="Normal 12 9" xfId="2011"/>
    <cellStyle name="Normal 12 9 2" xfId="4240"/>
    <cellStyle name="Normal 12 9 2 2" xfId="8463"/>
    <cellStyle name="Normal 12 9 2 2 2" xfId="16899"/>
    <cellStyle name="Normal 12 9 2 2 3" xfId="25340"/>
    <cellStyle name="Normal 12 9 2 2 4" xfId="33780"/>
    <cellStyle name="Normal 12 9 2 3" xfId="12681"/>
    <cellStyle name="Normal 12 9 2 4" xfId="21123"/>
    <cellStyle name="Normal 12 9 2 5" xfId="29563"/>
    <cellStyle name="Normal 12 9 3" xfId="6318"/>
    <cellStyle name="Normal 12 9 3 2" xfId="14754"/>
    <cellStyle name="Normal 12 9 3 3" xfId="23195"/>
    <cellStyle name="Normal 12 9 3 4" xfId="31635"/>
    <cellStyle name="Normal 12 9 4" xfId="10536"/>
    <cellStyle name="Normal 12 9 5" xfId="18978"/>
    <cellStyle name="Normal 12 9 6" xfId="27418"/>
    <cellStyle name="Normal 13" xfId="268"/>
    <cellStyle name="Normal 13 2" xfId="269"/>
    <cellStyle name="Normal 14" xfId="270"/>
    <cellStyle name="Normal 14 10" xfId="25773"/>
    <cellStyle name="Normal 14 2" xfId="768"/>
    <cellStyle name="Normal 14 2 2" xfId="3009"/>
    <cellStyle name="Normal 14 2 2 2" xfId="7232"/>
    <cellStyle name="Normal 14 2 2 2 2" xfId="15668"/>
    <cellStyle name="Normal 14 2 2 2 3" xfId="24109"/>
    <cellStyle name="Normal 14 2 2 2 4" xfId="32549"/>
    <cellStyle name="Normal 14 2 2 3" xfId="11450"/>
    <cellStyle name="Normal 14 2 2 4" xfId="19892"/>
    <cellStyle name="Normal 14 2 2 5" xfId="28332"/>
    <cellStyle name="Normal 14 2 3" xfId="5087"/>
    <cellStyle name="Normal 14 2 3 2" xfId="13523"/>
    <cellStyle name="Normal 14 2 3 3" xfId="21964"/>
    <cellStyle name="Normal 14 2 3 4" xfId="30404"/>
    <cellStyle name="Normal 14 2 4" xfId="9305"/>
    <cellStyle name="Normal 14 2 5" xfId="17747"/>
    <cellStyle name="Normal 14 2 6" xfId="26187"/>
    <cellStyle name="Normal 14 3" xfId="1191"/>
    <cellStyle name="Normal 14 3 2" xfId="3422"/>
    <cellStyle name="Normal 14 3 2 2" xfId="7645"/>
    <cellStyle name="Normal 14 3 2 2 2" xfId="16081"/>
    <cellStyle name="Normal 14 3 2 2 3" xfId="24522"/>
    <cellStyle name="Normal 14 3 2 2 4" xfId="32962"/>
    <cellStyle name="Normal 14 3 2 3" xfId="11863"/>
    <cellStyle name="Normal 14 3 2 4" xfId="20305"/>
    <cellStyle name="Normal 14 3 2 5" xfId="28745"/>
    <cellStyle name="Normal 14 3 3" xfId="5500"/>
    <cellStyle name="Normal 14 3 3 2" xfId="13936"/>
    <cellStyle name="Normal 14 3 3 3" xfId="22377"/>
    <cellStyle name="Normal 14 3 3 4" xfId="30817"/>
    <cellStyle name="Normal 14 3 4" xfId="9718"/>
    <cellStyle name="Normal 14 3 5" xfId="18160"/>
    <cellStyle name="Normal 14 3 6" xfId="26600"/>
    <cellStyle name="Normal 14 4" xfId="1605"/>
    <cellStyle name="Normal 14 4 2" xfId="3835"/>
    <cellStyle name="Normal 14 4 2 2" xfId="8058"/>
    <cellStyle name="Normal 14 4 2 2 2" xfId="16494"/>
    <cellStyle name="Normal 14 4 2 2 3" xfId="24935"/>
    <cellStyle name="Normal 14 4 2 2 4" xfId="33375"/>
    <cellStyle name="Normal 14 4 2 3" xfId="12276"/>
    <cellStyle name="Normal 14 4 2 4" xfId="20718"/>
    <cellStyle name="Normal 14 4 2 5" xfId="29158"/>
    <cellStyle name="Normal 14 4 3" xfId="5913"/>
    <cellStyle name="Normal 14 4 3 2" xfId="14349"/>
    <cellStyle name="Normal 14 4 3 3" xfId="22790"/>
    <cellStyle name="Normal 14 4 3 4" xfId="31230"/>
    <cellStyle name="Normal 14 4 4" xfId="10131"/>
    <cellStyle name="Normal 14 4 5" xfId="18573"/>
    <cellStyle name="Normal 14 4 6" xfId="27013"/>
    <cellStyle name="Normal 14 5" xfId="2019"/>
    <cellStyle name="Normal 14 5 2" xfId="4248"/>
    <cellStyle name="Normal 14 5 2 2" xfId="8471"/>
    <cellStyle name="Normal 14 5 2 2 2" xfId="16907"/>
    <cellStyle name="Normal 14 5 2 2 3" xfId="25348"/>
    <cellStyle name="Normal 14 5 2 2 4" xfId="33788"/>
    <cellStyle name="Normal 14 5 2 3" xfId="12689"/>
    <cellStyle name="Normal 14 5 2 4" xfId="21131"/>
    <cellStyle name="Normal 14 5 2 5" xfId="29571"/>
    <cellStyle name="Normal 14 5 3" xfId="6326"/>
    <cellStyle name="Normal 14 5 3 2" xfId="14762"/>
    <cellStyle name="Normal 14 5 3 3" xfId="23203"/>
    <cellStyle name="Normal 14 5 3 4" xfId="31643"/>
    <cellStyle name="Normal 14 5 4" xfId="10544"/>
    <cellStyle name="Normal 14 5 5" xfId="18986"/>
    <cellStyle name="Normal 14 5 6" xfId="27426"/>
    <cellStyle name="Normal 14 6" xfId="2455"/>
    <cellStyle name="Normal 14 6 2" xfId="6739"/>
    <cellStyle name="Normal 14 6 2 2" xfId="15175"/>
    <cellStyle name="Normal 14 6 2 3" xfId="23616"/>
    <cellStyle name="Normal 14 6 2 4" xfId="32056"/>
    <cellStyle name="Normal 14 6 3" xfId="10957"/>
    <cellStyle name="Normal 14 6 4" xfId="19399"/>
    <cellStyle name="Normal 14 6 5" xfId="27839"/>
    <cellStyle name="Normal 14 7" xfId="4673"/>
    <cellStyle name="Normal 14 7 2" xfId="13109"/>
    <cellStyle name="Normal 14 7 3" xfId="21550"/>
    <cellStyle name="Normal 14 7 4" xfId="29990"/>
    <cellStyle name="Normal 14 8" xfId="8891"/>
    <cellStyle name="Normal 14 9" xfId="17333"/>
    <cellStyle name="Normal 15" xfId="4496"/>
    <cellStyle name="Normal 15 2" xfId="17159"/>
    <cellStyle name="Normal 15 2 2" xfId="25599"/>
    <cellStyle name="Normal 15 2 3" xfId="34039"/>
    <cellStyle name="Normal 15 3" xfId="17162"/>
    <cellStyle name="Normal 15 3 2" xfId="25602"/>
    <cellStyle name="Normal 15 3 3" xfId="34042"/>
    <cellStyle name="Normal 15 4" xfId="12935"/>
    <cellStyle name="Normal 15 5" xfId="21376"/>
    <cellStyle name="Normal 15 6" xfId="29816"/>
    <cellStyle name="Normal 16" xfId="4500"/>
    <cellStyle name="Normal 16 2" xfId="8716"/>
    <cellStyle name="Normal 16 2 2" xfId="17152"/>
    <cellStyle name="Normal 16 2 3" xfId="25593"/>
    <cellStyle name="Normal 16 2 4" xfId="34033"/>
    <cellStyle name="Normal 16 3" xfId="8719"/>
    <cellStyle name="Normal 16 3 2" xfId="17155"/>
    <cellStyle name="Normal 16 3 3" xfId="25596"/>
    <cellStyle name="Normal 16 3 4" xfId="34036"/>
    <cellStyle name="Normal 16 4" xfId="12938"/>
    <cellStyle name="Normal 16 5" xfId="21379"/>
    <cellStyle name="Normal 16 6" xfId="298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2 2 2" xfId="16908"/>
    <cellStyle name="Normal 2 4 2 10 2 2 3" xfId="25349"/>
    <cellStyle name="Normal 2 4 2 10 2 2 4" xfId="33789"/>
    <cellStyle name="Normal 2 4 2 10 2 3" xfId="12690"/>
    <cellStyle name="Normal 2 4 2 10 2 4" xfId="21132"/>
    <cellStyle name="Normal 2 4 2 10 2 5" xfId="29572"/>
    <cellStyle name="Normal 2 4 2 10 3" xfId="6327"/>
    <cellStyle name="Normal 2 4 2 10 3 2" xfId="14763"/>
    <cellStyle name="Normal 2 4 2 10 3 3" xfId="23204"/>
    <cellStyle name="Normal 2 4 2 10 3 4" xfId="31644"/>
    <cellStyle name="Normal 2 4 2 10 4" xfId="10545"/>
    <cellStyle name="Normal 2 4 2 10 5" xfId="18987"/>
    <cellStyle name="Normal 2 4 2 10 6" xfId="27427"/>
    <cellStyle name="Normal 2 4 2 11" xfId="2456"/>
    <cellStyle name="Normal 2 4 2 11 2" xfId="6740"/>
    <cellStyle name="Normal 2 4 2 11 2 2" xfId="15176"/>
    <cellStyle name="Normal 2 4 2 11 2 3" xfId="23617"/>
    <cellStyle name="Normal 2 4 2 11 2 4" xfId="32057"/>
    <cellStyle name="Normal 2 4 2 11 3" xfId="10958"/>
    <cellStyle name="Normal 2 4 2 11 4" xfId="19400"/>
    <cellStyle name="Normal 2 4 2 11 5" xfId="27840"/>
    <cellStyle name="Normal 2 4 2 12" xfId="4674"/>
    <cellStyle name="Normal 2 4 2 12 2" xfId="13110"/>
    <cellStyle name="Normal 2 4 2 12 3" xfId="21551"/>
    <cellStyle name="Normal 2 4 2 12 4" xfId="29991"/>
    <cellStyle name="Normal 2 4 2 13" xfId="8892"/>
    <cellStyle name="Normal 2 4 2 14" xfId="17334"/>
    <cellStyle name="Normal 2 4 2 15" xfId="25774"/>
    <cellStyle name="Normal 2 4 2 2" xfId="280"/>
    <cellStyle name="Normal 2 4 2 3" xfId="281"/>
    <cellStyle name="Normal 2 4 2 3 10" xfId="4675"/>
    <cellStyle name="Normal 2 4 2 3 10 2" xfId="13111"/>
    <cellStyle name="Normal 2 4 2 3 10 3" xfId="21552"/>
    <cellStyle name="Normal 2 4 2 3 10 4" xfId="29992"/>
    <cellStyle name="Normal 2 4 2 3 11" xfId="8893"/>
    <cellStyle name="Normal 2 4 2 3 12" xfId="17335"/>
    <cellStyle name="Normal 2 4 2 3 13" xfId="25775"/>
    <cellStyle name="Normal 2 4 2 3 2" xfId="282"/>
    <cellStyle name="Normal 2 4 2 3 2 10" xfId="8894"/>
    <cellStyle name="Normal 2 4 2 3 2 11" xfId="17336"/>
    <cellStyle name="Normal 2 4 2 3 2 12" xfId="25776"/>
    <cellStyle name="Normal 2 4 2 3 2 2" xfId="283"/>
    <cellStyle name="Normal 2 4 2 3 2 2 10" xfId="17337"/>
    <cellStyle name="Normal 2 4 2 3 2 2 11" xfId="25777"/>
    <cellStyle name="Normal 2 4 2 3 2 2 2" xfId="284"/>
    <cellStyle name="Normal 2 4 2 3 2 2 2 10" xfId="25778"/>
    <cellStyle name="Normal 2 4 2 3 2 2 2 2" xfId="775"/>
    <cellStyle name="Normal 2 4 2 3 2 2 2 2 2" xfId="3014"/>
    <cellStyle name="Normal 2 4 2 3 2 2 2 2 2 2" xfId="7237"/>
    <cellStyle name="Normal 2 4 2 3 2 2 2 2 2 2 2" xfId="15673"/>
    <cellStyle name="Normal 2 4 2 3 2 2 2 2 2 2 3" xfId="24114"/>
    <cellStyle name="Normal 2 4 2 3 2 2 2 2 2 2 4" xfId="32554"/>
    <cellStyle name="Normal 2 4 2 3 2 2 2 2 2 3" xfId="11455"/>
    <cellStyle name="Normal 2 4 2 3 2 2 2 2 2 4" xfId="19897"/>
    <cellStyle name="Normal 2 4 2 3 2 2 2 2 2 5" xfId="28337"/>
    <cellStyle name="Normal 2 4 2 3 2 2 2 2 3" xfId="5092"/>
    <cellStyle name="Normal 2 4 2 3 2 2 2 2 3 2" xfId="13528"/>
    <cellStyle name="Normal 2 4 2 3 2 2 2 2 3 3" xfId="21969"/>
    <cellStyle name="Normal 2 4 2 3 2 2 2 2 3 4" xfId="30409"/>
    <cellStyle name="Normal 2 4 2 3 2 2 2 2 4" xfId="9310"/>
    <cellStyle name="Normal 2 4 2 3 2 2 2 2 5" xfId="17752"/>
    <cellStyle name="Normal 2 4 2 3 2 2 2 2 6" xfId="26192"/>
    <cellStyle name="Normal 2 4 2 3 2 2 2 3" xfId="1197"/>
    <cellStyle name="Normal 2 4 2 3 2 2 2 3 2" xfId="3427"/>
    <cellStyle name="Normal 2 4 2 3 2 2 2 3 2 2" xfId="7650"/>
    <cellStyle name="Normal 2 4 2 3 2 2 2 3 2 2 2" xfId="16086"/>
    <cellStyle name="Normal 2 4 2 3 2 2 2 3 2 2 3" xfId="24527"/>
    <cellStyle name="Normal 2 4 2 3 2 2 2 3 2 2 4" xfId="32967"/>
    <cellStyle name="Normal 2 4 2 3 2 2 2 3 2 3" xfId="11868"/>
    <cellStyle name="Normal 2 4 2 3 2 2 2 3 2 4" xfId="20310"/>
    <cellStyle name="Normal 2 4 2 3 2 2 2 3 2 5" xfId="28750"/>
    <cellStyle name="Normal 2 4 2 3 2 2 2 3 3" xfId="5505"/>
    <cellStyle name="Normal 2 4 2 3 2 2 2 3 3 2" xfId="13941"/>
    <cellStyle name="Normal 2 4 2 3 2 2 2 3 3 3" xfId="22382"/>
    <cellStyle name="Normal 2 4 2 3 2 2 2 3 3 4" xfId="30822"/>
    <cellStyle name="Normal 2 4 2 3 2 2 2 3 4" xfId="9723"/>
    <cellStyle name="Normal 2 4 2 3 2 2 2 3 5" xfId="18165"/>
    <cellStyle name="Normal 2 4 2 3 2 2 2 3 6" xfId="26605"/>
    <cellStyle name="Normal 2 4 2 3 2 2 2 4" xfId="1610"/>
    <cellStyle name="Normal 2 4 2 3 2 2 2 4 2" xfId="3840"/>
    <cellStyle name="Normal 2 4 2 3 2 2 2 4 2 2" xfId="8063"/>
    <cellStyle name="Normal 2 4 2 3 2 2 2 4 2 2 2" xfId="16499"/>
    <cellStyle name="Normal 2 4 2 3 2 2 2 4 2 2 3" xfId="24940"/>
    <cellStyle name="Normal 2 4 2 3 2 2 2 4 2 2 4" xfId="33380"/>
    <cellStyle name="Normal 2 4 2 3 2 2 2 4 2 3" xfId="12281"/>
    <cellStyle name="Normal 2 4 2 3 2 2 2 4 2 4" xfId="20723"/>
    <cellStyle name="Normal 2 4 2 3 2 2 2 4 2 5" xfId="29163"/>
    <cellStyle name="Normal 2 4 2 3 2 2 2 4 3" xfId="5918"/>
    <cellStyle name="Normal 2 4 2 3 2 2 2 4 3 2" xfId="14354"/>
    <cellStyle name="Normal 2 4 2 3 2 2 2 4 3 3" xfId="22795"/>
    <cellStyle name="Normal 2 4 2 3 2 2 2 4 3 4" xfId="31235"/>
    <cellStyle name="Normal 2 4 2 3 2 2 2 4 4" xfId="10136"/>
    <cellStyle name="Normal 2 4 2 3 2 2 2 4 5" xfId="18578"/>
    <cellStyle name="Normal 2 4 2 3 2 2 2 4 6" xfId="27018"/>
    <cellStyle name="Normal 2 4 2 3 2 2 2 5" xfId="2024"/>
    <cellStyle name="Normal 2 4 2 3 2 2 2 5 2" xfId="4253"/>
    <cellStyle name="Normal 2 4 2 3 2 2 2 5 2 2" xfId="8476"/>
    <cellStyle name="Normal 2 4 2 3 2 2 2 5 2 2 2" xfId="16912"/>
    <cellStyle name="Normal 2 4 2 3 2 2 2 5 2 2 3" xfId="25353"/>
    <cellStyle name="Normal 2 4 2 3 2 2 2 5 2 2 4" xfId="33793"/>
    <cellStyle name="Normal 2 4 2 3 2 2 2 5 2 3" xfId="12694"/>
    <cellStyle name="Normal 2 4 2 3 2 2 2 5 2 4" xfId="21136"/>
    <cellStyle name="Normal 2 4 2 3 2 2 2 5 2 5" xfId="29576"/>
    <cellStyle name="Normal 2 4 2 3 2 2 2 5 3" xfId="6331"/>
    <cellStyle name="Normal 2 4 2 3 2 2 2 5 3 2" xfId="14767"/>
    <cellStyle name="Normal 2 4 2 3 2 2 2 5 3 3" xfId="23208"/>
    <cellStyle name="Normal 2 4 2 3 2 2 2 5 3 4" xfId="31648"/>
    <cellStyle name="Normal 2 4 2 3 2 2 2 5 4" xfId="10549"/>
    <cellStyle name="Normal 2 4 2 3 2 2 2 5 5" xfId="18991"/>
    <cellStyle name="Normal 2 4 2 3 2 2 2 5 6" xfId="27431"/>
    <cellStyle name="Normal 2 4 2 3 2 2 2 6" xfId="2460"/>
    <cellStyle name="Normal 2 4 2 3 2 2 2 6 2" xfId="6744"/>
    <cellStyle name="Normal 2 4 2 3 2 2 2 6 2 2" xfId="15180"/>
    <cellStyle name="Normal 2 4 2 3 2 2 2 6 2 3" xfId="23621"/>
    <cellStyle name="Normal 2 4 2 3 2 2 2 6 2 4" xfId="32061"/>
    <cellStyle name="Normal 2 4 2 3 2 2 2 6 3" xfId="10962"/>
    <cellStyle name="Normal 2 4 2 3 2 2 2 6 4" xfId="19404"/>
    <cellStyle name="Normal 2 4 2 3 2 2 2 6 5" xfId="27844"/>
    <cellStyle name="Normal 2 4 2 3 2 2 2 7" xfId="4678"/>
    <cellStyle name="Normal 2 4 2 3 2 2 2 7 2" xfId="13114"/>
    <cellStyle name="Normal 2 4 2 3 2 2 2 7 3" xfId="21555"/>
    <cellStyle name="Normal 2 4 2 3 2 2 2 7 4" xfId="29995"/>
    <cellStyle name="Normal 2 4 2 3 2 2 2 8" xfId="8896"/>
    <cellStyle name="Normal 2 4 2 3 2 2 2 9" xfId="17338"/>
    <cellStyle name="Normal 2 4 2 3 2 2 3" xfId="774"/>
    <cellStyle name="Normal 2 4 2 3 2 2 3 2" xfId="3013"/>
    <cellStyle name="Normal 2 4 2 3 2 2 3 2 2" xfId="7236"/>
    <cellStyle name="Normal 2 4 2 3 2 2 3 2 2 2" xfId="15672"/>
    <cellStyle name="Normal 2 4 2 3 2 2 3 2 2 3" xfId="24113"/>
    <cellStyle name="Normal 2 4 2 3 2 2 3 2 2 4" xfId="32553"/>
    <cellStyle name="Normal 2 4 2 3 2 2 3 2 3" xfId="11454"/>
    <cellStyle name="Normal 2 4 2 3 2 2 3 2 4" xfId="19896"/>
    <cellStyle name="Normal 2 4 2 3 2 2 3 2 5" xfId="28336"/>
    <cellStyle name="Normal 2 4 2 3 2 2 3 3" xfId="5091"/>
    <cellStyle name="Normal 2 4 2 3 2 2 3 3 2" xfId="13527"/>
    <cellStyle name="Normal 2 4 2 3 2 2 3 3 3" xfId="21968"/>
    <cellStyle name="Normal 2 4 2 3 2 2 3 3 4" xfId="30408"/>
    <cellStyle name="Normal 2 4 2 3 2 2 3 4" xfId="9309"/>
    <cellStyle name="Normal 2 4 2 3 2 2 3 5" xfId="17751"/>
    <cellStyle name="Normal 2 4 2 3 2 2 3 6" xfId="26191"/>
    <cellStyle name="Normal 2 4 2 3 2 2 4" xfId="1196"/>
    <cellStyle name="Normal 2 4 2 3 2 2 4 2" xfId="3426"/>
    <cellStyle name="Normal 2 4 2 3 2 2 4 2 2" xfId="7649"/>
    <cellStyle name="Normal 2 4 2 3 2 2 4 2 2 2" xfId="16085"/>
    <cellStyle name="Normal 2 4 2 3 2 2 4 2 2 3" xfId="24526"/>
    <cellStyle name="Normal 2 4 2 3 2 2 4 2 2 4" xfId="32966"/>
    <cellStyle name="Normal 2 4 2 3 2 2 4 2 3" xfId="11867"/>
    <cellStyle name="Normal 2 4 2 3 2 2 4 2 4" xfId="20309"/>
    <cellStyle name="Normal 2 4 2 3 2 2 4 2 5" xfId="28749"/>
    <cellStyle name="Normal 2 4 2 3 2 2 4 3" xfId="5504"/>
    <cellStyle name="Normal 2 4 2 3 2 2 4 3 2" xfId="13940"/>
    <cellStyle name="Normal 2 4 2 3 2 2 4 3 3" xfId="22381"/>
    <cellStyle name="Normal 2 4 2 3 2 2 4 3 4" xfId="30821"/>
    <cellStyle name="Normal 2 4 2 3 2 2 4 4" xfId="9722"/>
    <cellStyle name="Normal 2 4 2 3 2 2 4 5" xfId="18164"/>
    <cellStyle name="Normal 2 4 2 3 2 2 4 6" xfId="26604"/>
    <cellStyle name="Normal 2 4 2 3 2 2 5" xfId="1609"/>
    <cellStyle name="Normal 2 4 2 3 2 2 5 2" xfId="3839"/>
    <cellStyle name="Normal 2 4 2 3 2 2 5 2 2" xfId="8062"/>
    <cellStyle name="Normal 2 4 2 3 2 2 5 2 2 2" xfId="16498"/>
    <cellStyle name="Normal 2 4 2 3 2 2 5 2 2 3" xfId="24939"/>
    <cellStyle name="Normal 2 4 2 3 2 2 5 2 2 4" xfId="33379"/>
    <cellStyle name="Normal 2 4 2 3 2 2 5 2 3" xfId="12280"/>
    <cellStyle name="Normal 2 4 2 3 2 2 5 2 4" xfId="20722"/>
    <cellStyle name="Normal 2 4 2 3 2 2 5 2 5" xfId="29162"/>
    <cellStyle name="Normal 2 4 2 3 2 2 5 3" xfId="5917"/>
    <cellStyle name="Normal 2 4 2 3 2 2 5 3 2" xfId="14353"/>
    <cellStyle name="Normal 2 4 2 3 2 2 5 3 3" xfId="22794"/>
    <cellStyle name="Normal 2 4 2 3 2 2 5 3 4" xfId="31234"/>
    <cellStyle name="Normal 2 4 2 3 2 2 5 4" xfId="10135"/>
    <cellStyle name="Normal 2 4 2 3 2 2 5 5" xfId="18577"/>
    <cellStyle name="Normal 2 4 2 3 2 2 5 6" xfId="27017"/>
    <cellStyle name="Normal 2 4 2 3 2 2 6" xfId="2023"/>
    <cellStyle name="Normal 2 4 2 3 2 2 6 2" xfId="4252"/>
    <cellStyle name="Normal 2 4 2 3 2 2 6 2 2" xfId="8475"/>
    <cellStyle name="Normal 2 4 2 3 2 2 6 2 2 2" xfId="16911"/>
    <cellStyle name="Normal 2 4 2 3 2 2 6 2 2 3" xfId="25352"/>
    <cellStyle name="Normal 2 4 2 3 2 2 6 2 2 4" xfId="33792"/>
    <cellStyle name="Normal 2 4 2 3 2 2 6 2 3" xfId="12693"/>
    <cellStyle name="Normal 2 4 2 3 2 2 6 2 4" xfId="21135"/>
    <cellStyle name="Normal 2 4 2 3 2 2 6 2 5" xfId="29575"/>
    <cellStyle name="Normal 2 4 2 3 2 2 6 3" xfId="6330"/>
    <cellStyle name="Normal 2 4 2 3 2 2 6 3 2" xfId="14766"/>
    <cellStyle name="Normal 2 4 2 3 2 2 6 3 3" xfId="23207"/>
    <cellStyle name="Normal 2 4 2 3 2 2 6 3 4" xfId="31647"/>
    <cellStyle name="Normal 2 4 2 3 2 2 6 4" xfId="10548"/>
    <cellStyle name="Normal 2 4 2 3 2 2 6 5" xfId="18990"/>
    <cellStyle name="Normal 2 4 2 3 2 2 6 6" xfId="27430"/>
    <cellStyle name="Normal 2 4 2 3 2 2 7" xfId="2459"/>
    <cellStyle name="Normal 2 4 2 3 2 2 7 2" xfId="6743"/>
    <cellStyle name="Normal 2 4 2 3 2 2 7 2 2" xfId="15179"/>
    <cellStyle name="Normal 2 4 2 3 2 2 7 2 3" xfId="23620"/>
    <cellStyle name="Normal 2 4 2 3 2 2 7 2 4" xfId="32060"/>
    <cellStyle name="Normal 2 4 2 3 2 2 7 3" xfId="10961"/>
    <cellStyle name="Normal 2 4 2 3 2 2 7 4" xfId="19403"/>
    <cellStyle name="Normal 2 4 2 3 2 2 7 5" xfId="27843"/>
    <cellStyle name="Normal 2 4 2 3 2 2 8" xfId="4677"/>
    <cellStyle name="Normal 2 4 2 3 2 2 8 2" xfId="13113"/>
    <cellStyle name="Normal 2 4 2 3 2 2 8 3" xfId="21554"/>
    <cellStyle name="Normal 2 4 2 3 2 2 8 4" xfId="29994"/>
    <cellStyle name="Normal 2 4 2 3 2 2 9" xfId="8895"/>
    <cellStyle name="Normal 2 4 2 3 2 3" xfId="285"/>
    <cellStyle name="Normal 2 4 2 3 2 3 10" xfId="25779"/>
    <cellStyle name="Normal 2 4 2 3 2 3 2" xfId="776"/>
    <cellStyle name="Normal 2 4 2 3 2 3 2 2" xfId="3015"/>
    <cellStyle name="Normal 2 4 2 3 2 3 2 2 2" xfId="7238"/>
    <cellStyle name="Normal 2 4 2 3 2 3 2 2 2 2" xfId="15674"/>
    <cellStyle name="Normal 2 4 2 3 2 3 2 2 2 3" xfId="24115"/>
    <cellStyle name="Normal 2 4 2 3 2 3 2 2 2 4" xfId="32555"/>
    <cellStyle name="Normal 2 4 2 3 2 3 2 2 3" xfId="11456"/>
    <cellStyle name="Normal 2 4 2 3 2 3 2 2 4" xfId="19898"/>
    <cellStyle name="Normal 2 4 2 3 2 3 2 2 5" xfId="28338"/>
    <cellStyle name="Normal 2 4 2 3 2 3 2 3" xfId="5093"/>
    <cellStyle name="Normal 2 4 2 3 2 3 2 3 2" xfId="13529"/>
    <cellStyle name="Normal 2 4 2 3 2 3 2 3 3" xfId="21970"/>
    <cellStyle name="Normal 2 4 2 3 2 3 2 3 4" xfId="30410"/>
    <cellStyle name="Normal 2 4 2 3 2 3 2 4" xfId="9311"/>
    <cellStyle name="Normal 2 4 2 3 2 3 2 5" xfId="17753"/>
    <cellStyle name="Normal 2 4 2 3 2 3 2 6" xfId="26193"/>
    <cellStyle name="Normal 2 4 2 3 2 3 3" xfId="1198"/>
    <cellStyle name="Normal 2 4 2 3 2 3 3 2" xfId="3428"/>
    <cellStyle name="Normal 2 4 2 3 2 3 3 2 2" xfId="7651"/>
    <cellStyle name="Normal 2 4 2 3 2 3 3 2 2 2" xfId="16087"/>
    <cellStyle name="Normal 2 4 2 3 2 3 3 2 2 3" xfId="24528"/>
    <cellStyle name="Normal 2 4 2 3 2 3 3 2 2 4" xfId="32968"/>
    <cellStyle name="Normal 2 4 2 3 2 3 3 2 3" xfId="11869"/>
    <cellStyle name="Normal 2 4 2 3 2 3 3 2 4" xfId="20311"/>
    <cellStyle name="Normal 2 4 2 3 2 3 3 2 5" xfId="28751"/>
    <cellStyle name="Normal 2 4 2 3 2 3 3 3" xfId="5506"/>
    <cellStyle name="Normal 2 4 2 3 2 3 3 3 2" xfId="13942"/>
    <cellStyle name="Normal 2 4 2 3 2 3 3 3 3" xfId="22383"/>
    <cellStyle name="Normal 2 4 2 3 2 3 3 3 4" xfId="30823"/>
    <cellStyle name="Normal 2 4 2 3 2 3 3 4" xfId="9724"/>
    <cellStyle name="Normal 2 4 2 3 2 3 3 5" xfId="18166"/>
    <cellStyle name="Normal 2 4 2 3 2 3 3 6" xfId="26606"/>
    <cellStyle name="Normal 2 4 2 3 2 3 4" xfId="1611"/>
    <cellStyle name="Normal 2 4 2 3 2 3 4 2" xfId="3841"/>
    <cellStyle name="Normal 2 4 2 3 2 3 4 2 2" xfId="8064"/>
    <cellStyle name="Normal 2 4 2 3 2 3 4 2 2 2" xfId="16500"/>
    <cellStyle name="Normal 2 4 2 3 2 3 4 2 2 3" xfId="24941"/>
    <cellStyle name="Normal 2 4 2 3 2 3 4 2 2 4" xfId="33381"/>
    <cellStyle name="Normal 2 4 2 3 2 3 4 2 3" xfId="12282"/>
    <cellStyle name="Normal 2 4 2 3 2 3 4 2 4" xfId="20724"/>
    <cellStyle name="Normal 2 4 2 3 2 3 4 2 5" xfId="29164"/>
    <cellStyle name="Normal 2 4 2 3 2 3 4 3" xfId="5919"/>
    <cellStyle name="Normal 2 4 2 3 2 3 4 3 2" xfId="14355"/>
    <cellStyle name="Normal 2 4 2 3 2 3 4 3 3" xfId="22796"/>
    <cellStyle name="Normal 2 4 2 3 2 3 4 3 4" xfId="31236"/>
    <cellStyle name="Normal 2 4 2 3 2 3 4 4" xfId="10137"/>
    <cellStyle name="Normal 2 4 2 3 2 3 4 5" xfId="18579"/>
    <cellStyle name="Normal 2 4 2 3 2 3 4 6" xfId="27019"/>
    <cellStyle name="Normal 2 4 2 3 2 3 5" xfId="2025"/>
    <cellStyle name="Normal 2 4 2 3 2 3 5 2" xfId="4254"/>
    <cellStyle name="Normal 2 4 2 3 2 3 5 2 2" xfId="8477"/>
    <cellStyle name="Normal 2 4 2 3 2 3 5 2 2 2" xfId="16913"/>
    <cellStyle name="Normal 2 4 2 3 2 3 5 2 2 3" xfId="25354"/>
    <cellStyle name="Normal 2 4 2 3 2 3 5 2 2 4" xfId="33794"/>
    <cellStyle name="Normal 2 4 2 3 2 3 5 2 3" xfId="12695"/>
    <cellStyle name="Normal 2 4 2 3 2 3 5 2 4" xfId="21137"/>
    <cellStyle name="Normal 2 4 2 3 2 3 5 2 5" xfId="29577"/>
    <cellStyle name="Normal 2 4 2 3 2 3 5 3" xfId="6332"/>
    <cellStyle name="Normal 2 4 2 3 2 3 5 3 2" xfId="14768"/>
    <cellStyle name="Normal 2 4 2 3 2 3 5 3 3" xfId="23209"/>
    <cellStyle name="Normal 2 4 2 3 2 3 5 3 4" xfId="31649"/>
    <cellStyle name="Normal 2 4 2 3 2 3 5 4" xfId="10550"/>
    <cellStyle name="Normal 2 4 2 3 2 3 5 5" xfId="18992"/>
    <cellStyle name="Normal 2 4 2 3 2 3 5 6" xfId="27432"/>
    <cellStyle name="Normal 2 4 2 3 2 3 6" xfId="2461"/>
    <cellStyle name="Normal 2 4 2 3 2 3 6 2" xfId="6745"/>
    <cellStyle name="Normal 2 4 2 3 2 3 6 2 2" xfId="15181"/>
    <cellStyle name="Normal 2 4 2 3 2 3 6 2 3" xfId="23622"/>
    <cellStyle name="Normal 2 4 2 3 2 3 6 2 4" xfId="32062"/>
    <cellStyle name="Normal 2 4 2 3 2 3 6 3" xfId="10963"/>
    <cellStyle name="Normal 2 4 2 3 2 3 6 4" xfId="19405"/>
    <cellStyle name="Normal 2 4 2 3 2 3 6 5" xfId="27845"/>
    <cellStyle name="Normal 2 4 2 3 2 3 7" xfId="4679"/>
    <cellStyle name="Normal 2 4 2 3 2 3 7 2" xfId="13115"/>
    <cellStyle name="Normal 2 4 2 3 2 3 7 3" xfId="21556"/>
    <cellStyle name="Normal 2 4 2 3 2 3 7 4" xfId="29996"/>
    <cellStyle name="Normal 2 4 2 3 2 3 8" xfId="8897"/>
    <cellStyle name="Normal 2 4 2 3 2 3 9" xfId="17339"/>
    <cellStyle name="Normal 2 4 2 3 2 4" xfId="773"/>
    <cellStyle name="Normal 2 4 2 3 2 4 2" xfId="3012"/>
    <cellStyle name="Normal 2 4 2 3 2 4 2 2" xfId="7235"/>
    <cellStyle name="Normal 2 4 2 3 2 4 2 2 2" xfId="15671"/>
    <cellStyle name="Normal 2 4 2 3 2 4 2 2 3" xfId="24112"/>
    <cellStyle name="Normal 2 4 2 3 2 4 2 2 4" xfId="32552"/>
    <cellStyle name="Normal 2 4 2 3 2 4 2 3" xfId="11453"/>
    <cellStyle name="Normal 2 4 2 3 2 4 2 4" xfId="19895"/>
    <cellStyle name="Normal 2 4 2 3 2 4 2 5" xfId="28335"/>
    <cellStyle name="Normal 2 4 2 3 2 4 3" xfId="5090"/>
    <cellStyle name="Normal 2 4 2 3 2 4 3 2" xfId="13526"/>
    <cellStyle name="Normal 2 4 2 3 2 4 3 3" xfId="21967"/>
    <cellStyle name="Normal 2 4 2 3 2 4 3 4" xfId="30407"/>
    <cellStyle name="Normal 2 4 2 3 2 4 4" xfId="9308"/>
    <cellStyle name="Normal 2 4 2 3 2 4 5" xfId="17750"/>
    <cellStyle name="Normal 2 4 2 3 2 4 6" xfId="26190"/>
    <cellStyle name="Normal 2 4 2 3 2 5" xfId="1195"/>
    <cellStyle name="Normal 2 4 2 3 2 5 2" xfId="3425"/>
    <cellStyle name="Normal 2 4 2 3 2 5 2 2" xfId="7648"/>
    <cellStyle name="Normal 2 4 2 3 2 5 2 2 2" xfId="16084"/>
    <cellStyle name="Normal 2 4 2 3 2 5 2 2 3" xfId="24525"/>
    <cellStyle name="Normal 2 4 2 3 2 5 2 2 4" xfId="32965"/>
    <cellStyle name="Normal 2 4 2 3 2 5 2 3" xfId="11866"/>
    <cellStyle name="Normal 2 4 2 3 2 5 2 4" xfId="20308"/>
    <cellStyle name="Normal 2 4 2 3 2 5 2 5" xfId="28748"/>
    <cellStyle name="Normal 2 4 2 3 2 5 3" xfId="5503"/>
    <cellStyle name="Normal 2 4 2 3 2 5 3 2" xfId="13939"/>
    <cellStyle name="Normal 2 4 2 3 2 5 3 3" xfId="22380"/>
    <cellStyle name="Normal 2 4 2 3 2 5 3 4" xfId="30820"/>
    <cellStyle name="Normal 2 4 2 3 2 5 4" xfId="9721"/>
    <cellStyle name="Normal 2 4 2 3 2 5 5" xfId="18163"/>
    <cellStyle name="Normal 2 4 2 3 2 5 6" xfId="26603"/>
    <cellStyle name="Normal 2 4 2 3 2 6" xfId="1608"/>
    <cellStyle name="Normal 2 4 2 3 2 6 2" xfId="3838"/>
    <cellStyle name="Normal 2 4 2 3 2 6 2 2" xfId="8061"/>
    <cellStyle name="Normal 2 4 2 3 2 6 2 2 2" xfId="16497"/>
    <cellStyle name="Normal 2 4 2 3 2 6 2 2 3" xfId="24938"/>
    <cellStyle name="Normal 2 4 2 3 2 6 2 2 4" xfId="33378"/>
    <cellStyle name="Normal 2 4 2 3 2 6 2 3" xfId="12279"/>
    <cellStyle name="Normal 2 4 2 3 2 6 2 4" xfId="20721"/>
    <cellStyle name="Normal 2 4 2 3 2 6 2 5" xfId="29161"/>
    <cellStyle name="Normal 2 4 2 3 2 6 3" xfId="5916"/>
    <cellStyle name="Normal 2 4 2 3 2 6 3 2" xfId="14352"/>
    <cellStyle name="Normal 2 4 2 3 2 6 3 3" xfId="22793"/>
    <cellStyle name="Normal 2 4 2 3 2 6 3 4" xfId="31233"/>
    <cellStyle name="Normal 2 4 2 3 2 6 4" xfId="10134"/>
    <cellStyle name="Normal 2 4 2 3 2 6 5" xfId="18576"/>
    <cellStyle name="Normal 2 4 2 3 2 6 6" xfId="27016"/>
    <cellStyle name="Normal 2 4 2 3 2 7" xfId="2022"/>
    <cellStyle name="Normal 2 4 2 3 2 7 2" xfId="4251"/>
    <cellStyle name="Normal 2 4 2 3 2 7 2 2" xfId="8474"/>
    <cellStyle name="Normal 2 4 2 3 2 7 2 2 2" xfId="16910"/>
    <cellStyle name="Normal 2 4 2 3 2 7 2 2 3" xfId="25351"/>
    <cellStyle name="Normal 2 4 2 3 2 7 2 2 4" xfId="33791"/>
    <cellStyle name="Normal 2 4 2 3 2 7 2 3" xfId="12692"/>
    <cellStyle name="Normal 2 4 2 3 2 7 2 4" xfId="21134"/>
    <cellStyle name="Normal 2 4 2 3 2 7 2 5" xfId="29574"/>
    <cellStyle name="Normal 2 4 2 3 2 7 3" xfId="6329"/>
    <cellStyle name="Normal 2 4 2 3 2 7 3 2" xfId="14765"/>
    <cellStyle name="Normal 2 4 2 3 2 7 3 3" xfId="23206"/>
    <cellStyle name="Normal 2 4 2 3 2 7 3 4" xfId="31646"/>
    <cellStyle name="Normal 2 4 2 3 2 7 4" xfId="10547"/>
    <cellStyle name="Normal 2 4 2 3 2 7 5" xfId="18989"/>
    <cellStyle name="Normal 2 4 2 3 2 7 6" xfId="27429"/>
    <cellStyle name="Normal 2 4 2 3 2 8" xfId="2458"/>
    <cellStyle name="Normal 2 4 2 3 2 8 2" xfId="6742"/>
    <cellStyle name="Normal 2 4 2 3 2 8 2 2" xfId="15178"/>
    <cellStyle name="Normal 2 4 2 3 2 8 2 3" xfId="23619"/>
    <cellStyle name="Normal 2 4 2 3 2 8 2 4" xfId="32059"/>
    <cellStyle name="Normal 2 4 2 3 2 8 3" xfId="10960"/>
    <cellStyle name="Normal 2 4 2 3 2 8 4" xfId="19402"/>
    <cellStyle name="Normal 2 4 2 3 2 8 5" xfId="27842"/>
    <cellStyle name="Normal 2 4 2 3 2 9" xfId="4676"/>
    <cellStyle name="Normal 2 4 2 3 2 9 2" xfId="13112"/>
    <cellStyle name="Normal 2 4 2 3 2 9 3" xfId="21553"/>
    <cellStyle name="Normal 2 4 2 3 2 9 4" xfId="29993"/>
    <cellStyle name="Normal 2 4 2 3 3" xfId="286"/>
    <cellStyle name="Normal 2 4 2 3 3 10" xfId="17340"/>
    <cellStyle name="Normal 2 4 2 3 3 11" xfId="25780"/>
    <cellStyle name="Normal 2 4 2 3 3 2" xfId="287"/>
    <cellStyle name="Normal 2 4 2 3 3 2 10" xfId="25781"/>
    <cellStyle name="Normal 2 4 2 3 3 2 2" xfId="778"/>
    <cellStyle name="Normal 2 4 2 3 3 2 2 2" xfId="3017"/>
    <cellStyle name="Normal 2 4 2 3 3 2 2 2 2" xfId="7240"/>
    <cellStyle name="Normal 2 4 2 3 3 2 2 2 2 2" xfId="15676"/>
    <cellStyle name="Normal 2 4 2 3 3 2 2 2 2 3" xfId="24117"/>
    <cellStyle name="Normal 2 4 2 3 3 2 2 2 2 4" xfId="32557"/>
    <cellStyle name="Normal 2 4 2 3 3 2 2 2 3" xfId="11458"/>
    <cellStyle name="Normal 2 4 2 3 3 2 2 2 4" xfId="19900"/>
    <cellStyle name="Normal 2 4 2 3 3 2 2 2 5" xfId="28340"/>
    <cellStyle name="Normal 2 4 2 3 3 2 2 3" xfId="5095"/>
    <cellStyle name="Normal 2 4 2 3 3 2 2 3 2" xfId="13531"/>
    <cellStyle name="Normal 2 4 2 3 3 2 2 3 3" xfId="21972"/>
    <cellStyle name="Normal 2 4 2 3 3 2 2 3 4" xfId="30412"/>
    <cellStyle name="Normal 2 4 2 3 3 2 2 4" xfId="9313"/>
    <cellStyle name="Normal 2 4 2 3 3 2 2 5" xfId="17755"/>
    <cellStyle name="Normal 2 4 2 3 3 2 2 6" xfId="26195"/>
    <cellStyle name="Normal 2 4 2 3 3 2 3" xfId="1200"/>
    <cellStyle name="Normal 2 4 2 3 3 2 3 2" xfId="3430"/>
    <cellStyle name="Normal 2 4 2 3 3 2 3 2 2" xfId="7653"/>
    <cellStyle name="Normal 2 4 2 3 3 2 3 2 2 2" xfId="16089"/>
    <cellStyle name="Normal 2 4 2 3 3 2 3 2 2 3" xfId="24530"/>
    <cellStyle name="Normal 2 4 2 3 3 2 3 2 2 4" xfId="32970"/>
    <cellStyle name="Normal 2 4 2 3 3 2 3 2 3" xfId="11871"/>
    <cellStyle name="Normal 2 4 2 3 3 2 3 2 4" xfId="20313"/>
    <cellStyle name="Normal 2 4 2 3 3 2 3 2 5" xfId="28753"/>
    <cellStyle name="Normal 2 4 2 3 3 2 3 3" xfId="5508"/>
    <cellStyle name="Normal 2 4 2 3 3 2 3 3 2" xfId="13944"/>
    <cellStyle name="Normal 2 4 2 3 3 2 3 3 3" xfId="22385"/>
    <cellStyle name="Normal 2 4 2 3 3 2 3 3 4" xfId="30825"/>
    <cellStyle name="Normal 2 4 2 3 3 2 3 4" xfId="9726"/>
    <cellStyle name="Normal 2 4 2 3 3 2 3 5" xfId="18168"/>
    <cellStyle name="Normal 2 4 2 3 3 2 3 6" xfId="26608"/>
    <cellStyle name="Normal 2 4 2 3 3 2 4" xfId="1613"/>
    <cellStyle name="Normal 2 4 2 3 3 2 4 2" xfId="3843"/>
    <cellStyle name="Normal 2 4 2 3 3 2 4 2 2" xfId="8066"/>
    <cellStyle name="Normal 2 4 2 3 3 2 4 2 2 2" xfId="16502"/>
    <cellStyle name="Normal 2 4 2 3 3 2 4 2 2 3" xfId="24943"/>
    <cellStyle name="Normal 2 4 2 3 3 2 4 2 2 4" xfId="33383"/>
    <cellStyle name="Normal 2 4 2 3 3 2 4 2 3" xfId="12284"/>
    <cellStyle name="Normal 2 4 2 3 3 2 4 2 4" xfId="20726"/>
    <cellStyle name="Normal 2 4 2 3 3 2 4 2 5" xfId="29166"/>
    <cellStyle name="Normal 2 4 2 3 3 2 4 3" xfId="5921"/>
    <cellStyle name="Normal 2 4 2 3 3 2 4 3 2" xfId="14357"/>
    <cellStyle name="Normal 2 4 2 3 3 2 4 3 3" xfId="22798"/>
    <cellStyle name="Normal 2 4 2 3 3 2 4 3 4" xfId="31238"/>
    <cellStyle name="Normal 2 4 2 3 3 2 4 4" xfId="10139"/>
    <cellStyle name="Normal 2 4 2 3 3 2 4 5" xfId="18581"/>
    <cellStyle name="Normal 2 4 2 3 3 2 4 6" xfId="27021"/>
    <cellStyle name="Normal 2 4 2 3 3 2 5" xfId="2027"/>
    <cellStyle name="Normal 2 4 2 3 3 2 5 2" xfId="4256"/>
    <cellStyle name="Normal 2 4 2 3 3 2 5 2 2" xfId="8479"/>
    <cellStyle name="Normal 2 4 2 3 3 2 5 2 2 2" xfId="16915"/>
    <cellStyle name="Normal 2 4 2 3 3 2 5 2 2 3" xfId="25356"/>
    <cellStyle name="Normal 2 4 2 3 3 2 5 2 2 4" xfId="33796"/>
    <cellStyle name="Normal 2 4 2 3 3 2 5 2 3" xfId="12697"/>
    <cellStyle name="Normal 2 4 2 3 3 2 5 2 4" xfId="21139"/>
    <cellStyle name="Normal 2 4 2 3 3 2 5 2 5" xfId="29579"/>
    <cellStyle name="Normal 2 4 2 3 3 2 5 3" xfId="6334"/>
    <cellStyle name="Normal 2 4 2 3 3 2 5 3 2" xfId="14770"/>
    <cellStyle name="Normal 2 4 2 3 3 2 5 3 3" xfId="23211"/>
    <cellStyle name="Normal 2 4 2 3 3 2 5 3 4" xfId="31651"/>
    <cellStyle name="Normal 2 4 2 3 3 2 5 4" xfId="10552"/>
    <cellStyle name="Normal 2 4 2 3 3 2 5 5" xfId="18994"/>
    <cellStyle name="Normal 2 4 2 3 3 2 5 6" xfId="27434"/>
    <cellStyle name="Normal 2 4 2 3 3 2 6" xfId="2463"/>
    <cellStyle name="Normal 2 4 2 3 3 2 6 2" xfId="6747"/>
    <cellStyle name="Normal 2 4 2 3 3 2 6 2 2" xfId="15183"/>
    <cellStyle name="Normal 2 4 2 3 3 2 6 2 3" xfId="23624"/>
    <cellStyle name="Normal 2 4 2 3 3 2 6 2 4" xfId="32064"/>
    <cellStyle name="Normal 2 4 2 3 3 2 6 3" xfId="10965"/>
    <cellStyle name="Normal 2 4 2 3 3 2 6 4" xfId="19407"/>
    <cellStyle name="Normal 2 4 2 3 3 2 6 5" xfId="27847"/>
    <cellStyle name="Normal 2 4 2 3 3 2 7" xfId="4681"/>
    <cellStyle name="Normal 2 4 2 3 3 2 7 2" xfId="13117"/>
    <cellStyle name="Normal 2 4 2 3 3 2 7 3" xfId="21558"/>
    <cellStyle name="Normal 2 4 2 3 3 2 7 4" xfId="29998"/>
    <cellStyle name="Normal 2 4 2 3 3 2 8" xfId="8899"/>
    <cellStyle name="Normal 2 4 2 3 3 2 9" xfId="17341"/>
    <cellStyle name="Normal 2 4 2 3 3 3" xfId="777"/>
    <cellStyle name="Normal 2 4 2 3 3 3 2" xfId="3016"/>
    <cellStyle name="Normal 2 4 2 3 3 3 2 2" xfId="7239"/>
    <cellStyle name="Normal 2 4 2 3 3 3 2 2 2" xfId="15675"/>
    <cellStyle name="Normal 2 4 2 3 3 3 2 2 3" xfId="24116"/>
    <cellStyle name="Normal 2 4 2 3 3 3 2 2 4" xfId="32556"/>
    <cellStyle name="Normal 2 4 2 3 3 3 2 3" xfId="11457"/>
    <cellStyle name="Normal 2 4 2 3 3 3 2 4" xfId="19899"/>
    <cellStyle name="Normal 2 4 2 3 3 3 2 5" xfId="28339"/>
    <cellStyle name="Normal 2 4 2 3 3 3 3" xfId="5094"/>
    <cellStyle name="Normal 2 4 2 3 3 3 3 2" xfId="13530"/>
    <cellStyle name="Normal 2 4 2 3 3 3 3 3" xfId="21971"/>
    <cellStyle name="Normal 2 4 2 3 3 3 3 4" xfId="30411"/>
    <cellStyle name="Normal 2 4 2 3 3 3 4" xfId="9312"/>
    <cellStyle name="Normal 2 4 2 3 3 3 5" xfId="17754"/>
    <cellStyle name="Normal 2 4 2 3 3 3 6" xfId="26194"/>
    <cellStyle name="Normal 2 4 2 3 3 4" xfId="1199"/>
    <cellStyle name="Normal 2 4 2 3 3 4 2" xfId="3429"/>
    <cellStyle name="Normal 2 4 2 3 3 4 2 2" xfId="7652"/>
    <cellStyle name="Normal 2 4 2 3 3 4 2 2 2" xfId="16088"/>
    <cellStyle name="Normal 2 4 2 3 3 4 2 2 3" xfId="24529"/>
    <cellStyle name="Normal 2 4 2 3 3 4 2 2 4" xfId="32969"/>
    <cellStyle name="Normal 2 4 2 3 3 4 2 3" xfId="11870"/>
    <cellStyle name="Normal 2 4 2 3 3 4 2 4" xfId="20312"/>
    <cellStyle name="Normal 2 4 2 3 3 4 2 5" xfId="28752"/>
    <cellStyle name="Normal 2 4 2 3 3 4 3" xfId="5507"/>
    <cellStyle name="Normal 2 4 2 3 3 4 3 2" xfId="13943"/>
    <cellStyle name="Normal 2 4 2 3 3 4 3 3" xfId="22384"/>
    <cellStyle name="Normal 2 4 2 3 3 4 3 4" xfId="30824"/>
    <cellStyle name="Normal 2 4 2 3 3 4 4" xfId="9725"/>
    <cellStyle name="Normal 2 4 2 3 3 4 5" xfId="18167"/>
    <cellStyle name="Normal 2 4 2 3 3 4 6" xfId="26607"/>
    <cellStyle name="Normal 2 4 2 3 3 5" xfId="1612"/>
    <cellStyle name="Normal 2 4 2 3 3 5 2" xfId="3842"/>
    <cellStyle name="Normal 2 4 2 3 3 5 2 2" xfId="8065"/>
    <cellStyle name="Normal 2 4 2 3 3 5 2 2 2" xfId="16501"/>
    <cellStyle name="Normal 2 4 2 3 3 5 2 2 3" xfId="24942"/>
    <cellStyle name="Normal 2 4 2 3 3 5 2 2 4" xfId="33382"/>
    <cellStyle name="Normal 2 4 2 3 3 5 2 3" xfId="12283"/>
    <cellStyle name="Normal 2 4 2 3 3 5 2 4" xfId="20725"/>
    <cellStyle name="Normal 2 4 2 3 3 5 2 5" xfId="29165"/>
    <cellStyle name="Normal 2 4 2 3 3 5 3" xfId="5920"/>
    <cellStyle name="Normal 2 4 2 3 3 5 3 2" xfId="14356"/>
    <cellStyle name="Normal 2 4 2 3 3 5 3 3" xfId="22797"/>
    <cellStyle name="Normal 2 4 2 3 3 5 3 4" xfId="31237"/>
    <cellStyle name="Normal 2 4 2 3 3 5 4" xfId="10138"/>
    <cellStyle name="Normal 2 4 2 3 3 5 5" xfId="18580"/>
    <cellStyle name="Normal 2 4 2 3 3 5 6" xfId="27020"/>
    <cellStyle name="Normal 2 4 2 3 3 6" xfId="2026"/>
    <cellStyle name="Normal 2 4 2 3 3 6 2" xfId="4255"/>
    <cellStyle name="Normal 2 4 2 3 3 6 2 2" xfId="8478"/>
    <cellStyle name="Normal 2 4 2 3 3 6 2 2 2" xfId="16914"/>
    <cellStyle name="Normal 2 4 2 3 3 6 2 2 3" xfId="25355"/>
    <cellStyle name="Normal 2 4 2 3 3 6 2 2 4" xfId="33795"/>
    <cellStyle name="Normal 2 4 2 3 3 6 2 3" xfId="12696"/>
    <cellStyle name="Normal 2 4 2 3 3 6 2 4" xfId="21138"/>
    <cellStyle name="Normal 2 4 2 3 3 6 2 5" xfId="29578"/>
    <cellStyle name="Normal 2 4 2 3 3 6 3" xfId="6333"/>
    <cellStyle name="Normal 2 4 2 3 3 6 3 2" xfId="14769"/>
    <cellStyle name="Normal 2 4 2 3 3 6 3 3" xfId="23210"/>
    <cellStyle name="Normal 2 4 2 3 3 6 3 4" xfId="31650"/>
    <cellStyle name="Normal 2 4 2 3 3 6 4" xfId="10551"/>
    <cellStyle name="Normal 2 4 2 3 3 6 5" xfId="18993"/>
    <cellStyle name="Normal 2 4 2 3 3 6 6" xfId="27433"/>
    <cellStyle name="Normal 2 4 2 3 3 7" xfId="2462"/>
    <cellStyle name="Normal 2 4 2 3 3 7 2" xfId="6746"/>
    <cellStyle name="Normal 2 4 2 3 3 7 2 2" xfId="15182"/>
    <cellStyle name="Normal 2 4 2 3 3 7 2 3" xfId="23623"/>
    <cellStyle name="Normal 2 4 2 3 3 7 2 4" xfId="32063"/>
    <cellStyle name="Normal 2 4 2 3 3 7 3" xfId="10964"/>
    <cellStyle name="Normal 2 4 2 3 3 7 4" xfId="19406"/>
    <cellStyle name="Normal 2 4 2 3 3 7 5" xfId="27846"/>
    <cellStyle name="Normal 2 4 2 3 3 8" xfId="4680"/>
    <cellStyle name="Normal 2 4 2 3 3 8 2" xfId="13116"/>
    <cellStyle name="Normal 2 4 2 3 3 8 3" xfId="21557"/>
    <cellStyle name="Normal 2 4 2 3 3 8 4" xfId="29997"/>
    <cellStyle name="Normal 2 4 2 3 3 9" xfId="8898"/>
    <cellStyle name="Normal 2 4 2 3 4" xfId="288"/>
    <cellStyle name="Normal 2 4 2 3 4 10" xfId="25782"/>
    <cellStyle name="Normal 2 4 2 3 4 2" xfId="779"/>
    <cellStyle name="Normal 2 4 2 3 4 2 2" xfId="3018"/>
    <cellStyle name="Normal 2 4 2 3 4 2 2 2" xfId="7241"/>
    <cellStyle name="Normal 2 4 2 3 4 2 2 2 2" xfId="15677"/>
    <cellStyle name="Normal 2 4 2 3 4 2 2 2 3" xfId="24118"/>
    <cellStyle name="Normal 2 4 2 3 4 2 2 2 4" xfId="32558"/>
    <cellStyle name="Normal 2 4 2 3 4 2 2 3" xfId="11459"/>
    <cellStyle name="Normal 2 4 2 3 4 2 2 4" xfId="19901"/>
    <cellStyle name="Normal 2 4 2 3 4 2 2 5" xfId="28341"/>
    <cellStyle name="Normal 2 4 2 3 4 2 3" xfId="5096"/>
    <cellStyle name="Normal 2 4 2 3 4 2 3 2" xfId="13532"/>
    <cellStyle name="Normal 2 4 2 3 4 2 3 3" xfId="21973"/>
    <cellStyle name="Normal 2 4 2 3 4 2 3 4" xfId="30413"/>
    <cellStyle name="Normal 2 4 2 3 4 2 4" xfId="9314"/>
    <cellStyle name="Normal 2 4 2 3 4 2 5" xfId="17756"/>
    <cellStyle name="Normal 2 4 2 3 4 2 6" xfId="26196"/>
    <cellStyle name="Normal 2 4 2 3 4 3" xfId="1201"/>
    <cellStyle name="Normal 2 4 2 3 4 3 2" xfId="3431"/>
    <cellStyle name="Normal 2 4 2 3 4 3 2 2" xfId="7654"/>
    <cellStyle name="Normal 2 4 2 3 4 3 2 2 2" xfId="16090"/>
    <cellStyle name="Normal 2 4 2 3 4 3 2 2 3" xfId="24531"/>
    <cellStyle name="Normal 2 4 2 3 4 3 2 2 4" xfId="32971"/>
    <cellStyle name="Normal 2 4 2 3 4 3 2 3" xfId="11872"/>
    <cellStyle name="Normal 2 4 2 3 4 3 2 4" xfId="20314"/>
    <cellStyle name="Normal 2 4 2 3 4 3 2 5" xfId="28754"/>
    <cellStyle name="Normal 2 4 2 3 4 3 3" xfId="5509"/>
    <cellStyle name="Normal 2 4 2 3 4 3 3 2" xfId="13945"/>
    <cellStyle name="Normal 2 4 2 3 4 3 3 3" xfId="22386"/>
    <cellStyle name="Normal 2 4 2 3 4 3 3 4" xfId="30826"/>
    <cellStyle name="Normal 2 4 2 3 4 3 4" xfId="9727"/>
    <cellStyle name="Normal 2 4 2 3 4 3 5" xfId="18169"/>
    <cellStyle name="Normal 2 4 2 3 4 3 6" xfId="26609"/>
    <cellStyle name="Normal 2 4 2 3 4 4" xfId="1614"/>
    <cellStyle name="Normal 2 4 2 3 4 4 2" xfId="3844"/>
    <cellStyle name="Normal 2 4 2 3 4 4 2 2" xfId="8067"/>
    <cellStyle name="Normal 2 4 2 3 4 4 2 2 2" xfId="16503"/>
    <cellStyle name="Normal 2 4 2 3 4 4 2 2 3" xfId="24944"/>
    <cellStyle name="Normal 2 4 2 3 4 4 2 2 4" xfId="33384"/>
    <cellStyle name="Normal 2 4 2 3 4 4 2 3" xfId="12285"/>
    <cellStyle name="Normal 2 4 2 3 4 4 2 4" xfId="20727"/>
    <cellStyle name="Normal 2 4 2 3 4 4 2 5" xfId="29167"/>
    <cellStyle name="Normal 2 4 2 3 4 4 3" xfId="5922"/>
    <cellStyle name="Normal 2 4 2 3 4 4 3 2" xfId="14358"/>
    <cellStyle name="Normal 2 4 2 3 4 4 3 3" xfId="22799"/>
    <cellStyle name="Normal 2 4 2 3 4 4 3 4" xfId="31239"/>
    <cellStyle name="Normal 2 4 2 3 4 4 4" xfId="10140"/>
    <cellStyle name="Normal 2 4 2 3 4 4 5" xfId="18582"/>
    <cellStyle name="Normal 2 4 2 3 4 4 6" xfId="27022"/>
    <cellStyle name="Normal 2 4 2 3 4 5" xfId="2028"/>
    <cellStyle name="Normal 2 4 2 3 4 5 2" xfId="4257"/>
    <cellStyle name="Normal 2 4 2 3 4 5 2 2" xfId="8480"/>
    <cellStyle name="Normal 2 4 2 3 4 5 2 2 2" xfId="16916"/>
    <cellStyle name="Normal 2 4 2 3 4 5 2 2 3" xfId="25357"/>
    <cellStyle name="Normal 2 4 2 3 4 5 2 2 4" xfId="33797"/>
    <cellStyle name="Normal 2 4 2 3 4 5 2 3" xfId="12698"/>
    <cellStyle name="Normal 2 4 2 3 4 5 2 4" xfId="21140"/>
    <cellStyle name="Normal 2 4 2 3 4 5 2 5" xfId="29580"/>
    <cellStyle name="Normal 2 4 2 3 4 5 3" xfId="6335"/>
    <cellStyle name="Normal 2 4 2 3 4 5 3 2" xfId="14771"/>
    <cellStyle name="Normal 2 4 2 3 4 5 3 3" xfId="23212"/>
    <cellStyle name="Normal 2 4 2 3 4 5 3 4" xfId="31652"/>
    <cellStyle name="Normal 2 4 2 3 4 5 4" xfId="10553"/>
    <cellStyle name="Normal 2 4 2 3 4 5 5" xfId="18995"/>
    <cellStyle name="Normal 2 4 2 3 4 5 6" xfId="27435"/>
    <cellStyle name="Normal 2 4 2 3 4 6" xfId="2464"/>
    <cellStyle name="Normal 2 4 2 3 4 6 2" xfId="6748"/>
    <cellStyle name="Normal 2 4 2 3 4 6 2 2" xfId="15184"/>
    <cellStyle name="Normal 2 4 2 3 4 6 2 3" xfId="23625"/>
    <cellStyle name="Normal 2 4 2 3 4 6 2 4" xfId="32065"/>
    <cellStyle name="Normal 2 4 2 3 4 6 3" xfId="10966"/>
    <cellStyle name="Normal 2 4 2 3 4 6 4" xfId="19408"/>
    <cellStyle name="Normal 2 4 2 3 4 6 5" xfId="27848"/>
    <cellStyle name="Normal 2 4 2 3 4 7" xfId="4682"/>
    <cellStyle name="Normal 2 4 2 3 4 7 2" xfId="13118"/>
    <cellStyle name="Normal 2 4 2 3 4 7 3" xfId="21559"/>
    <cellStyle name="Normal 2 4 2 3 4 7 4" xfId="29999"/>
    <cellStyle name="Normal 2 4 2 3 4 8" xfId="8900"/>
    <cellStyle name="Normal 2 4 2 3 4 9" xfId="17342"/>
    <cellStyle name="Normal 2 4 2 3 5" xfId="772"/>
    <cellStyle name="Normal 2 4 2 3 5 2" xfId="3011"/>
    <cellStyle name="Normal 2 4 2 3 5 2 2" xfId="7234"/>
    <cellStyle name="Normal 2 4 2 3 5 2 2 2" xfId="15670"/>
    <cellStyle name="Normal 2 4 2 3 5 2 2 3" xfId="24111"/>
    <cellStyle name="Normal 2 4 2 3 5 2 2 4" xfId="32551"/>
    <cellStyle name="Normal 2 4 2 3 5 2 3" xfId="11452"/>
    <cellStyle name="Normal 2 4 2 3 5 2 4" xfId="19894"/>
    <cellStyle name="Normal 2 4 2 3 5 2 5" xfId="28334"/>
    <cellStyle name="Normal 2 4 2 3 5 3" xfId="5089"/>
    <cellStyle name="Normal 2 4 2 3 5 3 2" xfId="13525"/>
    <cellStyle name="Normal 2 4 2 3 5 3 3" xfId="21966"/>
    <cellStyle name="Normal 2 4 2 3 5 3 4" xfId="30406"/>
    <cellStyle name="Normal 2 4 2 3 5 4" xfId="9307"/>
    <cellStyle name="Normal 2 4 2 3 5 5" xfId="17749"/>
    <cellStyle name="Normal 2 4 2 3 5 6" xfId="26189"/>
    <cellStyle name="Normal 2 4 2 3 6" xfId="1194"/>
    <cellStyle name="Normal 2 4 2 3 6 2" xfId="3424"/>
    <cellStyle name="Normal 2 4 2 3 6 2 2" xfId="7647"/>
    <cellStyle name="Normal 2 4 2 3 6 2 2 2" xfId="16083"/>
    <cellStyle name="Normal 2 4 2 3 6 2 2 3" xfId="24524"/>
    <cellStyle name="Normal 2 4 2 3 6 2 2 4" xfId="32964"/>
    <cellStyle name="Normal 2 4 2 3 6 2 3" xfId="11865"/>
    <cellStyle name="Normal 2 4 2 3 6 2 4" xfId="20307"/>
    <cellStyle name="Normal 2 4 2 3 6 2 5" xfId="28747"/>
    <cellStyle name="Normal 2 4 2 3 6 3" xfId="5502"/>
    <cellStyle name="Normal 2 4 2 3 6 3 2" xfId="13938"/>
    <cellStyle name="Normal 2 4 2 3 6 3 3" xfId="22379"/>
    <cellStyle name="Normal 2 4 2 3 6 3 4" xfId="30819"/>
    <cellStyle name="Normal 2 4 2 3 6 4" xfId="9720"/>
    <cellStyle name="Normal 2 4 2 3 6 5" xfId="18162"/>
    <cellStyle name="Normal 2 4 2 3 6 6" xfId="26602"/>
    <cellStyle name="Normal 2 4 2 3 7" xfId="1607"/>
    <cellStyle name="Normal 2 4 2 3 7 2" xfId="3837"/>
    <cellStyle name="Normal 2 4 2 3 7 2 2" xfId="8060"/>
    <cellStyle name="Normal 2 4 2 3 7 2 2 2" xfId="16496"/>
    <cellStyle name="Normal 2 4 2 3 7 2 2 3" xfId="24937"/>
    <cellStyle name="Normal 2 4 2 3 7 2 2 4" xfId="33377"/>
    <cellStyle name="Normal 2 4 2 3 7 2 3" xfId="12278"/>
    <cellStyle name="Normal 2 4 2 3 7 2 4" xfId="20720"/>
    <cellStyle name="Normal 2 4 2 3 7 2 5" xfId="29160"/>
    <cellStyle name="Normal 2 4 2 3 7 3" xfId="5915"/>
    <cellStyle name="Normal 2 4 2 3 7 3 2" xfId="14351"/>
    <cellStyle name="Normal 2 4 2 3 7 3 3" xfId="22792"/>
    <cellStyle name="Normal 2 4 2 3 7 3 4" xfId="31232"/>
    <cellStyle name="Normal 2 4 2 3 7 4" xfId="10133"/>
    <cellStyle name="Normal 2 4 2 3 7 5" xfId="18575"/>
    <cellStyle name="Normal 2 4 2 3 7 6" xfId="27015"/>
    <cellStyle name="Normal 2 4 2 3 8" xfId="2021"/>
    <cellStyle name="Normal 2 4 2 3 8 2" xfId="4250"/>
    <cellStyle name="Normal 2 4 2 3 8 2 2" xfId="8473"/>
    <cellStyle name="Normal 2 4 2 3 8 2 2 2" xfId="16909"/>
    <cellStyle name="Normal 2 4 2 3 8 2 2 3" xfId="25350"/>
    <cellStyle name="Normal 2 4 2 3 8 2 2 4" xfId="33790"/>
    <cellStyle name="Normal 2 4 2 3 8 2 3" xfId="12691"/>
    <cellStyle name="Normal 2 4 2 3 8 2 4" xfId="21133"/>
    <cellStyle name="Normal 2 4 2 3 8 2 5" xfId="29573"/>
    <cellStyle name="Normal 2 4 2 3 8 3" xfId="6328"/>
    <cellStyle name="Normal 2 4 2 3 8 3 2" xfId="14764"/>
    <cellStyle name="Normal 2 4 2 3 8 3 3" xfId="23205"/>
    <cellStyle name="Normal 2 4 2 3 8 3 4" xfId="31645"/>
    <cellStyle name="Normal 2 4 2 3 8 4" xfId="10546"/>
    <cellStyle name="Normal 2 4 2 3 8 5" xfId="18988"/>
    <cellStyle name="Normal 2 4 2 3 8 6" xfId="27428"/>
    <cellStyle name="Normal 2 4 2 3 9" xfId="2457"/>
    <cellStyle name="Normal 2 4 2 3 9 2" xfId="6741"/>
    <cellStyle name="Normal 2 4 2 3 9 2 2" xfId="15177"/>
    <cellStyle name="Normal 2 4 2 3 9 2 3" xfId="23618"/>
    <cellStyle name="Normal 2 4 2 3 9 2 4" xfId="32058"/>
    <cellStyle name="Normal 2 4 2 3 9 3" xfId="10959"/>
    <cellStyle name="Normal 2 4 2 3 9 4" xfId="19401"/>
    <cellStyle name="Normal 2 4 2 3 9 5" xfId="27841"/>
    <cellStyle name="Normal 2 4 2 4" xfId="289"/>
    <cellStyle name="Normal 2 4 2 4 10" xfId="8901"/>
    <cellStyle name="Normal 2 4 2 4 11" xfId="17343"/>
    <cellStyle name="Normal 2 4 2 4 12" xfId="25783"/>
    <cellStyle name="Normal 2 4 2 4 2" xfId="290"/>
    <cellStyle name="Normal 2 4 2 4 2 10" xfId="17344"/>
    <cellStyle name="Normal 2 4 2 4 2 11" xfId="25784"/>
    <cellStyle name="Normal 2 4 2 4 2 2" xfId="291"/>
    <cellStyle name="Normal 2 4 2 4 2 2 10" xfId="25785"/>
    <cellStyle name="Normal 2 4 2 4 2 2 2" xfId="782"/>
    <cellStyle name="Normal 2 4 2 4 2 2 2 2" xfId="3021"/>
    <cellStyle name="Normal 2 4 2 4 2 2 2 2 2" xfId="7244"/>
    <cellStyle name="Normal 2 4 2 4 2 2 2 2 2 2" xfId="15680"/>
    <cellStyle name="Normal 2 4 2 4 2 2 2 2 2 3" xfId="24121"/>
    <cellStyle name="Normal 2 4 2 4 2 2 2 2 2 4" xfId="32561"/>
    <cellStyle name="Normal 2 4 2 4 2 2 2 2 3" xfId="11462"/>
    <cellStyle name="Normal 2 4 2 4 2 2 2 2 4" xfId="19904"/>
    <cellStyle name="Normal 2 4 2 4 2 2 2 2 5" xfId="28344"/>
    <cellStyle name="Normal 2 4 2 4 2 2 2 3" xfId="5099"/>
    <cellStyle name="Normal 2 4 2 4 2 2 2 3 2" xfId="13535"/>
    <cellStyle name="Normal 2 4 2 4 2 2 2 3 3" xfId="21976"/>
    <cellStyle name="Normal 2 4 2 4 2 2 2 3 4" xfId="30416"/>
    <cellStyle name="Normal 2 4 2 4 2 2 2 4" xfId="9317"/>
    <cellStyle name="Normal 2 4 2 4 2 2 2 5" xfId="17759"/>
    <cellStyle name="Normal 2 4 2 4 2 2 2 6" xfId="26199"/>
    <cellStyle name="Normal 2 4 2 4 2 2 3" xfId="1204"/>
    <cellStyle name="Normal 2 4 2 4 2 2 3 2" xfId="3434"/>
    <cellStyle name="Normal 2 4 2 4 2 2 3 2 2" xfId="7657"/>
    <cellStyle name="Normal 2 4 2 4 2 2 3 2 2 2" xfId="16093"/>
    <cellStyle name="Normal 2 4 2 4 2 2 3 2 2 3" xfId="24534"/>
    <cellStyle name="Normal 2 4 2 4 2 2 3 2 2 4" xfId="32974"/>
    <cellStyle name="Normal 2 4 2 4 2 2 3 2 3" xfId="11875"/>
    <cellStyle name="Normal 2 4 2 4 2 2 3 2 4" xfId="20317"/>
    <cellStyle name="Normal 2 4 2 4 2 2 3 2 5" xfId="28757"/>
    <cellStyle name="Normal 2 4 2 4 2 2 3 3" xfId="5512"/>
    <cellStyle name="Normal 2 4 2 4 2 2 3 3 2" xfId="13948"/>
    <cellStyle name="Normal 2 4 2 4 2 2 3 3 3" xfId="22389"/>
    <cellStyle name="Normal 2 4 2 4 2 2 3 3 4" xfId="30829"/>
    <cellStyle name="Normal 2 4 2 4 2 2 3 4" xfId="9730"/>
    <cellStyle name="Normal 2 4 2 4 2 2 3 5" xfId="18172"/>
    <cellStyle name="Normal 2 4 2 4 2 2 3 6" xfId="26612"/>
    <cellStyle name="Normal 2 4 2 4 2 2 4" xfId="1617"/>
    <cellStyle name="Normal 2 4 2 4 2 2 4 2" xfId="3847"/>
    <cellStyle name="Normal 2 4 2 4 2 2 4 2 2" xfId="8070"/>
    <cellStyle name="Normal 2 4 2 4 2 2 4 2 2 2" xfId="16506"/>
    <cellStyle name="Normal 2 4 2 4 2 2 4 2 2 3" xfId="24947"/>
    <cellStyle name="Normal 2 4 2 4 2 2 4 2 2 4" xfId="33387"/>
    <cellStyle name="Normal 2 4 2 4 2 2 4 2 3" xfId="12288"/>
    <cellStyle name="Normal 2 4 2 4 2 2 4 2 4" xfId="20730"/>
    <cellStyle name="Normal 2 4 2 4 2 2 4 2 5" xfId="29170"/>
    <cellStyle name="Normal 2 4 2 4 2 2 4 3" xfId="5925"/>
    <cellStyle name="Normal 2 4 2 4 2 2 4 3 2" xfId="14361"/>
    <cellStyle name="Normal 2 4 2 4 2 2 4 3 3" xfId="22802"/>
    <cellStyle name="Normal 2 4 2 4 2 2 4 3 4" xfId="31242"/>
    <cellStyle name="Normal 2 4 2 4 2 2 4 4" xfId="10143"/>
    <cellStyle name="Normal 2 4 2 4 2 2 4 5" xfId="18585"/>
    <cellStyle name="Normal 2 4 2 4 2 2 4 6" xfId="27025"/>
    <cellStyle name="Normal 2 4 2 4 2 2 5" xfId="2031"/>
    <cellStyle name="Normal 2 4 2 4 2 2 5 2" xfId="4260"/>
    <cellStyle name="Normal 2 4 2 4 2 2 5 2 2" xfId="8483"/>
    <cellStyle name="Normal 2 4 2 4 2 2 5 2 2 2" xfId="16919"/>
    <cellStyle name="Normal 2 4 2 4 2 2 5 2 2 3" xfId="25360"/>
    <cellStyle name="Normal 2 4 2 4 2 2 5 2 2 4" xfId="33800"/>
    <cellStyle name="Normal 2 4 2 4 2 2 5 2 3" xfId="12701"/>
    <cellStyle name="Normal 2 4 2 4 2 2 5 2 4" xfId="21143"/>
    <cellStyle name="Normal 2 4 2 4 2 2 5 2 5" xfId="29583"/>
    <cellStyle name="Normal 2 4 2 4 2 2 5 3" xfId="6338"/>
    <cellStyle name="Normal 2 4 2 4 2 2 5 3 2" xfId="14774"/>
    <cellStyle name="Normal 2 4 2 4 2 2 5 3 3" xfId="23215"/>
    <cellStyle name="Normal 2 4 2 4 2 2 5 3 4" xfId="31655"/>
    <cellStyle name="Normal 2 4 2 4 2 2 5 4" xfId="10556"/>
    <cellStyle name="Normal 2 4 2 4 2 2 5 5" xfId="18998"/>
    <cellStyle name="Normal 2 4 2 4 2 2 5 6" xfId="27438"/>
    <cellStyle name="Normal 2 4 2 4 2 2 6" xfId="2467"/>
    <cellStyle name="Normal 2 4 2 4 2 2 6 2" xfId="6751"/>
    <cellStyle name="Normal 2 4 2 4 2 2 6 2 2" xfId="15187"/>
    <cellStyle name="Normal 2 4 2 4 2 2 6 2 3" xfId="23628"/>
    <cellStyle name="Normal 2 4 2 4 2 2 6 2 4" xfId="32068"/>
    <cellStyle name="Normal 2 4 2 4 2 2 6 3" xfId="10969"/>
    <cellStyle name="Normal 2 4 2 4 2 2 6 4" xfId="19411"/>
    <cellStyle name="Normal 2 4 2 4 2 2 6 5" xfId="27851"/>
    <cellStyle name="Normal 2 4 2 4 2 2 7" xfId="4685"/>
    <cellStyle name="Normal 2 4 2 4 2 2 7 2" xfId="13121"/>
    <cellStyle name="Normal 2 4 2 4 2 2 7 3" xfId="21562"/>
    <cellStyle name="Normal 2 4 2 4 2 2 7 4" xfId="30002"/>
    <cellStyle name="Normal 2 4 2 4 2 2 8" xfId="8903"/>
    <cellStyle name="Normal 2 4 2 4 2 2 9" xfId="17345"/>
    <cellStyle name="Normal 2 4 2 4 2 3" xfId="781"/>
    <cellStyle name="Normal 2 4 2 4 2 3 2" xfId="3020"/>
    <cellStyle name="Normal 2 4 2 4 2 3 2 2" xfId="7243"/>
    <cellStyle name="Normal 2 4 2 4 2 3 2 2 2" xfId="15679"/>
    <cellStyle name="Normal 2 4 2 4 2 3 2 2 3" xfId="24120"/>
    <cellStyle name="Normal 2 4 2 4 2 3 2 2 4" xfId="32560"/>
    <cellStyle name="Normal 2 4 2 4 2 3 2 3" xfId="11461"/>
    <cellStyle name="Normal 2 4 2 4 2 3 2 4" xfId="19903"/>
    <cellStyle name="Normal 2 4 2 4 2 3 2 5" xfId="28343"/>
    <cellStyle name="Normal 2 4 2 4 2 3 3" xfId="5098"/>
    <cellStyle name="Normal 2 4 2 4 2 3 3 2" xfId="13534"/>
    <cellStyle name="Normal 2 4 2 4 2 3 3 3" xfId="21975"/>
    <cellStyle name="Normal 2 4 2 4 2 3 3 4" xfId="30415"/>
    <cellStyle name="Normal 2 4 2 4 2 3 4" xfId="9316"/>
    <cellStyle name="Normal 2 4 2 4 2 3 5" xfId="17758"/>
    <cellStyle name="Normal 2 4 2 4 2 3 6" xfId="26198"/>
    <cellStyle name="Normal 2 4 2 4 2 4" xfId="1203"/>
    <cellStyle name="Normal 2 4 2 4 2 4 2" xfId="3433"/>
    <cellStyle name="Normal 2 4 2 4 2 4 2 2" xfId="7656"/>
    <cellStyle name="Normal 2 4 2 4 2 4 2 2 2" xfId="16092"/>
    <cellStyle name="Normal 2 4 2 4 2 4 2 2 3" xfId="24533"/>
    <cellStyle name="Normal 2 4 2 4 2 4 2 2 4" xfId="32973"/>
    <cellStyle name="Normal 2 4 2 4 2 4 2 3" xfId="11874"/>
    <cellStyle name="Normal 2 4 2 4 2 4 2 4" xfId="20316"/>
    <cellStyle name="Normal 2 4 2 4 2 4 2 5" xfId="28756"/>
    <cellStyle name="Normal 2 4 2 4 2 4 3" xfId="5511"/>
    <cellStyle name="Normal 2 4 2 4 2 4 3 2" xfId="13947"/>
    <cellStyle name="Normal 2 4 2 4 2 4 3 3" xfId="22388"/>
    <cellStyle name="Normal 2 4 2 4 2 4 3 4" xfId="30828"/>
    <cellStyle name="Normal 2 4 2 4 2 4 4" xfId="9729"/>
    <cellStyle name="Normal 2 4 2 4 2 4 5" xfId="18171"/>
    <cellStyle name="Normal 2 4 2 4 2 4 6" xfId="26611"/>
    <cellStyle name="Normal 2 4 2 4 2 5" xfId="1616"/>
    <cellStyle name="Normal 2 4 2 4 2 5 2" xfId="3846"/>
    <cellStyle name="Normal 2 4 2 4 2 5 2 2" xfId="8069"/>
    <cellStyle name="Normal 2 4 2 4 2 5 2 2 2" xfId="16505"/>
    <cellStyle name="Normal 2 4 2 4 2 5 2 2 3" xfId="24946"/>
    <cellStyle name="Normal 2 4 2 4 2 5 2 2 4" xfId="33386"/>
    <cellStyle name="Normal 2 4 2 4 2 5 2 3" xfId="12287"/>
    <cellStyle name="Normal 2 4 2 4 2 5 2 4" xfId="20729"/>
    <cellStyle name="Normal 2 4 2 4 2 5 2 5" xfId="29169"/>
    <cellStyle name="Normal 2 4 2 4 2 5 3" xfId="5924"/>
    <cellStyle name="Normal 2 4 2 4 2 5 3 2" xfId="14360"/>
    <cellStyle name="Normal 2 4 2 4 2 5 3 3" xfId="22801"/>
    <cellStyle name="Normal 2 4 2 4 2 5 3 4" xfId="31241"/>
    <cellStyle name="Normal 2 4 2 4 2 5 4" xfId="10142"/>
    <cellStyle name="Normal 2 4 2 4 2 5 5" xfId="18584"/>
    <cellStyle name="Normal 2 4 2 4 2 5 6" xfId="27024"/>
    <cellStyle name="Normal 2 4 2 4 2 6" xfId="2030"/>
    <cellStyle name="Normal 2 4 2 4 2 6 2" xfId="4259"/>
    <cellStyle name="Normal 2 4 2 4 2 6 2 2" xfId="8482"/>
    <cellStyle name="Normal 2 4 2 4 2 6 2 2 2" xfId="16918"/>
    <cellStyle name="Normal 2 4 2 4 2 6 2 2 3" xfId="25359"/>
    <cellStyle name="Normal 2 4 2 4 2 6 2 2 4" xfId="33799"/>
    <cellStyle name="Normal 2 4 2 4 2 6 2 3" xfId="12700"/>
    <cellStyle name="Normal 2 4 2 4 2 6 2 4" xfId="21142"/>
    <cellStyle name="Normal 2 4 2 4 2 6 2 5" xfId="29582"/>
    <cellStyle name="Normal 2 4 2 4 2 6 3" xfId="6337"/>
    <cellStyle name="Normal 2 4 2 4 2 6 3 2" xfId="14773"/>
    <cellStyle name="Normal 2 4 2 4 2 6 3 3" xfId="23214"/>
    <cellStyle name="Normal 2 4 2 4 2 6 3 4" xfId="31654"/>
    <cellStyle name="Normal 2 4 2 4 2 6 4" xfId="10555"/>
    <cellStyle name="Normal 2 4 2 4 2 6 5" xfId="18997"/>
    <cellStyle name="Normal 2 4 2 4 2 6 6" xfId="27437"/>
    <cellStyle name="Normal 2 4 2 4 2 7" xfId="2466"/>
    <cellStyle name="Normal 2 4 2 4 2 7 2" xfId="6750"/>
    <cellStyle name="Normal 2 4 2 4 2 7 2 2" xfId="15186"/>
    <cellStyle name="Normal 2 4 2 4 2 7 2 3" xfId="23627"/>
    <cellStyle name="Normal 2 4 2 4 2 7 2 4" xfId="32067"/>
    <cellStyle name="Normal 2 4 2 4 2 7 3" xfId="10968"/>
    <cellStyle name="Normal 2 4 2 4 2 7 4" xfId="19410"/>
    <cellStyle name="Normal 2 4 2 4 2 7 5" xfId="27850"/>
    <cellStyle name="Normal 2 4 2 4 2 8" xfId="4684"/>
    <cellStyle name="Normal 2 4 2 4 2 8 2" xfId="13120"/>
    <cellStyle name="Normal 2 4 2 4 2 8 3" xfId="21561"/>
    <cellStyle name="Normal 2 4 2 4 2 8 4" xfId="30001"/>
    <cellStyle name="Normal 2 4 2 4 2 9" xfId="8902"/>
    <cellStyle name="Normal 2 4 2 4 3" xfId="292"/>
    <cellStyle name="Normal 2 4 2 4 3 10" xfId="25786"/>
    <cellStyle name="Normal 2 4 2 4 3 2" xfId="783"/>
    <cellStyle name="Normal 2 4 2 4 3 2 2" xfId="3022"/>
    <cellStyle name="Normal 2 4 2 4 3 2 2 2" xfId="7245"/>
    <cellStyle name="Normal 2 4 2 4 3 2 2 2 2" xfId="15681"/>
    <cellStyle name="Normal 2 4 2 4 3 2 2 2 3" xfId="24122"/>
    <cellStyle name="Normal 2 4 2 4 3 2 2 2 4" xfId="32562"/>
    <cellStyle name="Normal 2 4 2 4 3 2 2 3" xfId="11463"/>
    <cellStyle name="Normal 2 4 2 4 3 2 2 4" xfId="19905"/>
    <cellStyle name="Normal 2 4 2 4 3 2 2 5" xfId="28345"/>
    <cellStyle name="Normal 2 4 2 4 3 2 3" xfId="5100"/>
    <cellStyle name="Normal 2 4 2 4 3 2 3 2" xfId="13536"/>
    <cellStyle name="Normal 2 4 2 4 3 2 3 3" xfId="21977"/>
    <cellStyle name="Normal 2 4 2 4 3 2 3 4" xfId="30417"/>
    <cellStyle name="Normal 2 4 2 4 3 2 4" xfId="9318"/>
    <cellStyle name="Normal 2 4 2 4 3 2 5" xfId="17760"/>
    <cellStyle name="Normal 2 4 2 4 3 2 6" xfId="26200"/>
    <cellStyle name="Normal 2 4 2 4 3 3" xfId="1205"/>
    <cellStyle name="Normal 2 4 2 4 3 3 2" xfId="3435"/>
    <cellStyle name="Normal 2 4 2 4 3 3 2 2" xfId="7658"/>
    <cellStyle name="Normal 2 4 2 4 3 3 2 2 2" xfId="16094"/>
    <cellStyle name="Normal 2 4 2 4 3 3 2 2 3" xfId="24535"/>
    <cellStyle name="Normal 2 4 2 4 3 3 2 2 4" xfId="32975"/>
    <cellStyle name="Normal 2 4 2 4 3 3 2 3" xfId="11876"/>
    <cellStyle name="Normal 2 4 2 4 3 3 2 4" xfId="20318"/>
    <cellStyle name="Normal 2 4 2 4 3 3 2 5" xfId="28758"/>
    <cellStyle name="Normal 2 4 2 4 3 3 3" xfId="5513"/>
    <cellStyle name="Normal 2 4 2 4 3 3 3 2" xfId="13949"/>
    <cellStyle name="Normal 2 4 2 4 3 3 3 3" xfId="22390"/>
    <cellStyle name="Normal 2 4 2 4 3 3 3 4" xfId="30830"/>
    <cellStyle name="Normal 2 4 2 4 3 3 4" xfId="9731"/>
    <cellStyle name="Normal 2 4 2 4 3 3 5" xfId="18173"/>
    <cellStyle name="Normal 2 4 2 4 3 3 6" xfId="26613"/>
    <cellStyle name="Normal 2 4 2 4 3 4" xfId="1618"/>
    <cellStyle name="Normal 2 4 2 4 3 4 2" xfId="3848"/>
    <cellStyle name="Normal 2 4 2 4 3 4 2 2" xfId="8071"/>
    <cellStyle name="Normal 2 4 2 4 3 4 2 2 2" xfId="16507"/>
    <cellStyle name="Normal 2 4 2 4 3 4 2 2 3" xfId="24948"/>
    <cellStyle name="Normal 2 4 2 4 3 4 2 2 4" xfId="33388"/>
    <cellStyle name="Normal 2 4 2 4 3 4 2 3" xfId="12289"/>
    <cellStyle name="Normal 2 4 2 4 3 4 2 4" xfId="20731"/>
    <cellStyle name="Normal 2 4 2 4 3 4 2 5" xfId="29171"/>
    <cellStyle name="Normal 2 4 2 4 3 4 3" xfId="5926"/>
    <cellStyle name="Normal 2 4 2 4 3 4 3 2" xfId="14362"/>
    <cellStyle name="Normal 2 4 2 4 3 4 3 3" xfId="22803"/>
    <cellStyle name="Normal 2 4 2 4 3 4 3 4" xfId="31243"/>
    <cellStyle name="Normal 2 4 2 4 3 4 4" xfId="10144"/>
    <cellStyle name="Normal 2 4 2 4 3 4 5" xfId="18586"/>
    <cellStyle name="Normal 2 4 2 4 3 4 6" xfId="27026"/>
    <cellStyle name="Normal 2 4 2 4 3 5" xfId="2032"/>
    <cellStyle name="Normal 2 4 2 4 3 5 2" xfId="4261"/>
    <cellStyle name="Normal 2 4 2 4 3 5 2 2" xfId="8484"/>
    <cellStyle name="Normal 2 4 2 4 3 5 2 2 2" xfId="16920"/>
    <cellStyle name="Normal 2 4 2 4 3 5 2 2 3" xfId="25361"/>
    <cellStyle name="Normal 2 4 2 4 3 5 2 2 4" xfId="33801"/>
    <cellStyle name="Normal 2 4 2 4 3 5 2 3" xfId="12702"/>
    <cellStyle name="Normal 2 4 2 4 3 5 2 4" xfId="21144"/>
    <cellStyle name="Normal 2 4 2 4 3 5 2 5" xfId="29584"/>
    <cellStyle name="Normal 2 4 2 4 3 5 3" xfId="6339"/>
    <cellStyle name="Normal 2 4 2 4 3 5 3 2" xfId="14775"/>
    <cellStyle name="Normal 2 4 2 4 3 5 3 3" xfId="23216"/>
    <cellStyle name="Normal 2 4 2 4 3 5 3 4" xfId="31656"/>
    <cellStyle name="Normal 2 4 2 4 3 5 4" xfId="10557"/>
    <cellStyle name="Normal 2 4 2 4 3 5 5" xfId="18999"/>
    <cellStyle name="Normal 2 4 2 4 3 5 6" xfId="27439"/>
    <cellStyle name="Normal 2 4 2 4 3 6" xfId="2468"/>
    <cellStyle name="Normal 2 4 2 4 3 6 2" xfId="6752"/>
    <cellStyle name="Normal 2 4 2 4 3 6 2 2" xfId="15188"/>
    <cellStyle name="Normal 2 4 2 4 3 6 2 3" xfId="23629"/>
    <cellStyle name="Normal 2 4 2 4 3 6 2 4" xfId="32069"/>
    <cellStyle name="Normal 2 4 2 4 3 6 3" xfId="10970"/>
    <cellStyle name="Normal 2 4 2 4 3 6 4" xfId="19412"/>
    <cellStyle name="Normal 2 4 2 4 3 6 5" xfId="27852"/>
    <cellStyle name="Normal 2 4 2 4 3 7" xfId="4686"/>
    <cellStyle name="Normal 2 4 2 4 3 7 2" xfId="13122"/>
    <cellStyle name="Normal 2 4 2 4 3 7 3" xfId="21563"/>
    <cellStyle name="Normal 2 4 2 4 3 7 4" xfId="30003"/>
    <cellStyle name="Normal 2 4 2 4 3 8" xfId="8904"/>
    <cellStyle name="Normal 2 4 2 4 3 9" xfId="17346"/>
    <cellStyle name="Normal 2 4 2 4 4" xfId="780"/>
    <cellStyle name="Normal 2 4 2 4 4 2" xfId="3019"/>
    <cellStyle name="Normal 2 4 2 4 4 2 2" xfId="7242"/>
    <cellStyle name="Normal 2 4 2 4 4 2 2 2" xfId="15678"/>
    <cellStyle name="Normal 2 4 2 4 4 2 2 3" xfId="24119"/>
    <cellStyle name="Normal 2 4 2 4 4 2 2 4" xfId="32559"/>
    <cellStyle name="Normal 2 4 2 4 4 2 3" xfId="11460"/>
    <cellStyle name="Normal 2 4 2 4 4 2 4" xfId="19902"/>
    <cellStyle name="Normal 2 4 2 4 4 2 5" xfId="28342"/>
    <cellStyle name="Normal 2 4 2 4 4 3" xfId="5097"/>
    <cellStyle name="Normal 2 4 2 4 4 3 2" xfId="13533"/>
    <cellStyle name="Normal 2 4 2 4 4 3 3" xfId="21974"/>
    <cellStyle name="Normal 2 4 2 4 4 3 4" xfId="30414"/>
    <cellStyle name="Normal 2 4 2 4 4 4" xfId="9315"/>
    <cellStyle name="Normal 2 4 2 4 4 5" xfId="17757"/>
    <cellStyle name="Normal 2 4 2 4 4 6" xfId="26197"/>
    <cellStyle name="Normal 2 4 2 4 5" xfId="1202"/>
    <cellStyle name="Normal 2 4 2 4 5 2" xfId="3432"/>
    <cellStyle name="Normal 2 4 2 4 5 2 2" xfId="7655"/>
    <cellStyle name="Normal 2 4 2 4 5 2 2 2" xfId="16091"/>
    <cellStyle name="Normal 2 4 2 4 5 2 2 3" xfId="24532"/>
    <cellStyle name="Normal 2 4 2 4 5 2 2 4" xfId="32972"/>
    <cellStyle name="Normal 2 4 2 4 5 2 3" xfId="11873"/>
    <cellStyle name="Normal 2 4 2 4 5 2 4" xfId="20315"/>
    <cellStyle name="Normal 2 4 2 4 5 2 5" xfId="28755"/>
    <cellStyle name="Normal 2 4 2 4 5 3" xfId="5510"/>
    <cellStyle name="Normal 2 4 2 4 5 3 2" xfId="13946"/>
    <cellStyle name="Normal 2 4 2 4 5 3 3" xfId="22387"/>
    <cellStyle name="Normal 2 4 2 4 5 3 4" xfId="30827"/>
    <cellStyle name="Normal 2 4 2 4 5 4" xfId="9728"/>
    <cellStyle name="Normal 2 4 2 4 5 5" xfId="18170"/>
    <cellStyle name="Normal 2 4 2 4 5 6" xfId="26610"/>
    <cellStyle name="Normal 2 4 2 4 6" xfId="1615"/>
    <cellStyle name="Normal 2 4 2 4 6 2" xfId="3845"/>
    <cellStyle name="Normal 2 4 2 4 6 2 2" xfId="8068"/>
    <cellStyle name="Normal 2 4 2 4 6 2 2 2" xfId="16504"/>
    <cellStyle name="Normal 2 4 2 4 6 2 2 3" xfId="24945"/>
    <cellStyle name="Normal 2 4 2 4 6 2 2 4" xfId="33385"/>
    <cellStyle name="Normal 2 4 2 4 6 2 3" xfId="12286"/>
    <cellStyle name="Normal 2 4 2 4 6 2 4" xfId="20728"/>
    <cellStyle name="Normal 2 4 2 4 6 2 5" xfId="29168"/>
    <cellStyle name="Normal 2 4 2 4 6 3" xfId="5923"/>
    <cellStyle name="Normal 2 4 2 4 6 3 2" xfId="14359"/>
    <cellStyle name="Normal 2 4 2 4 6 3 3" xfId="22800"/>
    <cellStyle name="Normal 2 4 2 4 6 3 4" xfId="31240"/>
    <cellStyle name="Normal 2 4 2 4 6 4" xfId="10141"/>
    <cellStyle name="Normal 2 4 2 4 6 5" xfId="18583"/>
    <cellStyle name="Normal 2 4 2 4 6 6" xfId="27023"/>
    <cellStyle name="Normal 2 4 2 4 7" xfId="2029"/>
    <cellStyle name="Normal 2 4 2 4 7 2" xfId="4258"/>
    <cellStyle name="Normal 2 4 2 4 7 2 2" xfId="8481"/>
    <cellStyle name="Normal 2 4 2 4 7 2 2 2" xfId="16917"/>
    <cellStyle name="Normal 2 4 2 4 7 2 2 3" xfId="25358"/>
    <cellStyle name="Normal 2 4 2 4 7 2 2 4" xfId="33798"/>
    <cellStyle name="Normal 2 4 2 4 7 2 3" xfId="12699"/>
    <cellStyle name="Normal 2 4 2 4 7 2 4" xfId="21141"/>
    <cellStyle name="Normal 2 4 2 4 7 2 5" xfId="29581"/>
    <cellStyle name="Normal 2 4 2 4 7 3" xfId="6336"/>
    <cellStyle name="Normal 2 4 2 4 7 3 2" xfId="14772"/>
    <cellStyle name="Normal 2 4 2 4 7 3 3" xfId="23213"/>
    <cellStyle name="Normal 2 4 2 4 7 3 4" xfId="31653"/>
    <cellStyle name="Normal 2 4 2 4 7 4" xfId="10554"/>
    <cellStyle name="Normal 2 4 2 4 7 5" xfId="18996"/>
    <cellStyle name="Normal 2 4 2 4 7 6" xfId="27436"/>
    <cellStyle name="Normal 2 4 2 4 8" xfId="2465"/>
    <cellStyle name="Normal 2 4 2 4 8 2" xfId="6749"/>
    <cellStyle name="Normal 2 4 2 4 8 2 2" xfId="15185"/>
    <cellStyle name="Normal 2 4 2 4 8 2 3" xfId="23626"/>
    <cellStyle name="Normal 2 4 2 4 8 2 4" xfId="32066"/>
    <cellStyle name="Normal 2 4 2 4 8 3" xfId="10967"/>
    <cellStyle name="Normal 2 4 2 4 8 4" xfId="19409"/>
    <cellStyle name="Normal 2 4 2 4 8 5" xfId="27849"/>
    <cellStyle name="Normal 2 4 2 4 9" xfId="4683"/>
    <cellStyle name="Normal 2 4 2 4 9 2" xfId="13119"/>
    <cellStyle name="Normal 2 4 2 4 9 3" xfId="21560"/>
    <cellStyle name="Normal 2 4 2 4 9 4" xfId="30000"/>
    <cellStyle name="Normal 2 4 2 5" xfId="293"/>
    <cellStyle name="Normal 2 4 2 5 10" xfId="17347"/>
    <cellStyle name="Normal 2 4 2 5 11" xfId="25787"/>
    <cellStyle name="Normal 2 4 2 5 2" xfId="294"/>
    <cellStyle name="Normal 2 4 2 5 2 10" xfId="25788"/>
    <cellStyle name="Normal 2 4 2 5 2 2" xfId="785"/>
    <cellStyle name="Normal 2 4 2 5 2 2 2" xfId="3024"/>
    <cellStyle name="Normal 2 4 2 5 2 2 2 2" xfId="7247"/>
    <cellStyle name="Normal 2 4 2 5 2 2 2 2 2" xfId="15683"/>
    <cellStyle name="Normal 2 4 2 5 2 2 2 2 3" xfId="24124"/>
    <cellStyle name="Normal 2 4 2 5 2 2 2 2 4" xfId="32564"/>
    <cellStyle name="Normal 2 4 2 5 2 2 2 3" xfId="11465"/>
    <cellStyle name="Normal 2 4 2 5 2 2 2 4" xfId="19907"/>
    <cellStyle name="Normal 2 4 2 5 2 2 2 5" xfId="28347"/>
    <cellStyle name="Normal 2 4 2 5 2 2 3" xfId="5102"/>
    <cellStyle name="Normal 2 4 2 5 2 2 3 2" xfId="13538"/>
    <cellStyle name="Normal 2 4 2 5 2 2 3 3" xfId="21979"/>
    <cellStyle name="Normal 2 4 2 5 2 2 3 4" xfId="30419"/>
    <cellStyle name="Normal 2 4 2 5 2 2 4" xfId="9320"/>
    <cellStyle name="Normal 2 4 2 5 2 2 5" xfId="17762"/>
    <cellStyle name="Normal 2 4 2 5 2 2 6" xfId="26202"/>
    <cellStyle name="Normal 2 4 2 5 2 3" xfId="1207"/>
    <cellStyle name="Normal 2 4 2 5 2 3 2" xfId="3437"/>
    <cellStyle name="Normal 2 4 2 5 2 3 2 2" xfId="7660"/>
    <cellStyle name="Normal 2 4 2 5 2 3 2 2 2" xfId="16096"/>
    <cellStyle name="Normal 2 4 2 5 2 3 2 2 3" xfId="24537"/>
    <cellStyle name="Normal 2 4 2 5 2 3 2 2 4" xfId="32977"/>
    <cellStyle name="Normal 2 4 2 5 2 3 2 3" xfId="11878"/>
    <cellStyle name="Normal 2 4 2 5 2 3 2 4" xfId="20320"/>
    <cellStyle name="Normal 2 4 2 5 2 3 2 5" xfId="28760"/>
    <cellStyle name="Normal 2 4 2 5 2 3 3" xfId="5515"/>
    <cellStyle name="Normal 2 4 2 5 2 3 3 2" xfId="13951"/>
    <cellStyle name="Normal 2 4 2 5 2 3 3 3" xfId="22392"/>
    <cellStyle name="Normal 2 4 2 5 2 3 3 4" xfId="30832"/>
    <cellStyle name="Normal 2 4 2 5 2 3 4" xfId="9733"/>
    <cellStyle name="Normal 2 4 2 5 2 3 5" xfId="18175"/>
    <cellStyle name="Normal 2 4 2 5 2 3 6" xfId="26615"/>
    <cellStyle name="Normal 2 4 2 5 2 4" xfId="1620"/>
    <cellStyle name="Normal 2 4 2 5 2 4 2" xfId="3850"/>
    <cellStyle name="Normal 2 4 2 5 2 4 2 2" xfId="8073"/>
    <cellStyle name="Normal 2 4 2 5 2 4 2 2 2" xfId="16509"/>
    <cellStyle name="Normal 2 4 2 5 2 4 2 2 3" xfId="24950"/>
    <cellStyle name="Normal 2 4 2 5 2 4 2 2 4" xfId="33390"/>
    <cellStyle name="Normal 2 4 2 5 2 4 2 3" xfId="12291"/>
    <cellStyle name="Normal 2 4 2 5 2 4 2 4" xfId="20733"/>
    <cellStyle name="Normal 2 4 2 5 2 4 2 5" xfId="29173"/>
    <cellStyle name="Normal 2 4 2 5 2 4 3" xfId="5928"/>
    <cellStyle name="Normal 2 4 2 5 2 4 3 2" xfId="14364"/>
    <cellStyle name="Normal 2 4 2 5 2 4 3 3" xfId="22805"/>
    <cellStyle name="Normal 2 4 2 5 2 4 3 4" xfId="31245"/>
    <cellStyle name="Normal 2 4 2 5 2 4 4" xfId="10146"/>
    <cellStyle name="Normal 2 4 2 5 2 4 5" xfId="18588"/>
    <cellStyle name="Normal 2 4 2 5 2 4 6" xfId="27028"/>
    <cellStyle name="Normal 2 4 2 5 2 5" xfId="2034"/>
    <cellStyle name="Normal 2 4 2 5 2 5 2" xfId="4263"/>
    <cellStyle name="Normal 2 4 2 5 2 5 2 2" xfId="8486"/>
    <cellStyle name="Normal 2 4 2 5 2 5 2 2 2" xfId="16922"/>
    <cellStyle name="Normal 2 4 2 5 2 5 2 2 3" xfId="25363"/>
    <cellStyle name="Normal 2 4 2 5 2 5 2 2 4" xfId="33803"/>
    <cellStyle name="Normal 2 4 2 5 2 5 2 3" xfId="12704"/>
    <cellStyle name="Normal 2 4 2 5 2 5 2 4" xfId="21146"/>
    <cellStyle name="Normal 2 4 2 5 2 5 2 5" xfId="29586"/>
    <cellStyle name="Normal 2 4 2 5 2 5 3" xfId="6341"/>
    <cellStyle name="Normal 2 4 2 5 2 5 3 2" xfId="14777"/>
    <cellStyle name="Normal 2 4 2 5 2 5 3 3" xfId="23218"/>
    <cellStyle name="Normal 2 4 2 5 2 5 3 4" xfId="31658"/>
    <cellStyle name="Normal 2 4 2 5 2 5 4" xfId="10559"/>
    <cellStyle name="Normal 2 4 2 5 2 5 5" xfId="19001"/>
    <cellStyle name="Normal 2 4 2 5 2 5 6" xfId="27441"/>
    <cellStyle name="Normal 2 4 2 5 2 6" xfId="2470"/>
    <cellStyle name="Normal 2 4 2 5 2 6 2" xfId="6754"/>
    <cellStyle name="Normal 2 4 2 5 2 6 2 2" xfId="15190"/>
    <cellStyle name="Normal 2 4 2 5 2 6 2 3" xfId="23631"/>
    <cellStyle name="Normal 2 4 2 5 2 6 2 4" xfId="32071"/>
    <cellStyle name="Normal 2 4 2 5 2 6 3" xfId="10972"/>
    <cellStyle name="Normal 2 4 2 5 2 6 4" xfId="19414"/>
    <cellStyle name="Normal 2 4 2 5 2 6 5" xfId="27854"/>
    <cellStyle name="Normal 2 4 2 5 2 7" xfId="4688"/>
    <cellStyle name="Normal 2 4 2 5 2 7 2" xfId="13124"/>
    <cellStyle name="Normal 2 4 2 5 2 7 3" xfId="21565"/>
    <cellStyle name="Normal 2 4 2 5 2 7 4" xfId="30005"/>
    <cellStyle name="Normal 2 4 2 5 2 8" xfId="8906"/>
    <cellStyle name="Normal 2 4 2 5 2 9" xfId="17348"/>
    <cellStyle name="Normal 2 4 2 5 3" xfId="784"/>
    <cellStyle name="Normal 2 4 2 5 3 2" xfId="3023"/>
    <cellStyle name="Normal 2 4 2 5 3 2 2" xfId="7246"/>
    <cellStyle name="Normal 2 4 2 5 3 2 2 2" xfId="15682"/>
    <cellStyle name="Normal 2 4 2 5 3 2 2 3" xfId="24123"/>
    <cellStyle name="Normal 2 4 2 5 3 2 2 4" xfId="32563"/>
    <cellStyle name="Normal 2 4 2 5 3 2 3" xfId="11464"/>
    <cellStyle name="Normal 2 4 2 5 3 2 4" xfId="19906"/>
    <cellStyle name="Normal 2 4 2 5 3 2 5" xfId="28346"/>
    <cellStyle name="Normal 2 4 2 5 3 3" xfId="5101"/>
    <cellStyle name="Normal 2 4 2 5 3 3 2" xfId="13537"/>
    <cellStyle name="Normal 2 4 2 5 3 3 3" xfId="21978"/>
    <cellStyle name="Normal 2 4 2 5 3 3 4" xfId="30418"/>
    <cellStyle name="Normal 2 4 2 5 3 4" xfId="9319"/>
    <cellStyle name="Normal 2 4 2 5 3 5" xfId="17761"/>
    <cellStyle name="Normal 2 4 2 5 3 6" xfId="26201"/>
    <cellStyle name="Normal 2 4 2 5 4" xfId="1206"/>
    <cellStyle name="Normal 2 4 2 5 4 2" xfId="3436"/>
    <cellStyle name="Normal 2 4 2 5 4 2 2" xfId="7659"/>
    <cellStyle name="Normal 2 4 2 5 4 2 2 2" xfId="16095"/>
    <cellStyle name="Normal 2 4 2 5 4 2 2 3" xfId="24536"/>
    <cellStyle name="Normal 2 4 2 5 4 2 2 4" xfId="32976"/>
    <cellStyle name="Normal 2 4 2 5 4 2 3" xfId="11877"/>
    <cellStyle name="Normal 2 4 2 5 4 2 4" xfId="20319"/>
    <cellStyle name="Normal 2 4 2 5 4 2 5" xfId="28759"/>
    <cellStyle name="Normal 2 4 2 5 4 3" xfId="5514"/>
    <cellStyle name="Normal 2 4 2 5 4 3 2" xfId="13950"/>
    <cellStyle name="Normal 2 4 2 5 4 3 3" xfId="22391"/>
    <cellStyle name="Normal 2 4 2 5 4 3 4" xfId="30831"/>
    <cellStyle name="Normal 2 4 2 5 4 4" xfId="9732"/>
    <cellStyle name="Normal 2 4 2 5 4 5" xfId="18174"/>
    <cellStyle name="Normal 2 4 2 5 4 6" xfId="26614"/>
    <cellStyle name="Normal 2 4 2 5 5" xfId="1619"/>
    <cellStyle name="Normal 2 4 2 5 5 2" xfId="3849"/>
    <cellStyle name="Normal 2 4 2 5 5 2 2" xfId="8072"/>
    <cellStyle name="Normal 2 4 2 5 5 2 2 2" xfId="16508"/>
    <cellStyle name="Normal 2 4 2 5 5 2 2 3" xfId="24949"/>
    <cellStyle name="Normal 2 4 2 5 5 2 2 4" xfId="33389"/>
    <cellStyle name="Normal 2 4 2 5 5 2 3" xfId="12290"/>
    <cellStyle name="Normal 2 4 2 5 5 2 4" xfId="20732"/>
    <cellStyle name="Normal 2 4 2 5 5 2 5" xfId="29172"/>
    <cellStyle name="Normal 2 4 2 5 5 3" xfId="5927"/>
    <cellStyle name="Normal 2 4 2 5 5 3 2" xfId="14363"/>
    <cellStyle name="Normal 2 4 2 5 5 3 3" xfId="22804"/>
    <cellStyle name="Normal 2 4 2 5 5 3 4" xfId="31244"/>
    <cellStyle name="Normal 2 4 2 5 5 4" xfId="10145"/>
    <cellStyle name="Normal 2 4 2 5 5 5" xfId="18587"/>
    <cellStyle name="Normal 2 4 2 5 5 6" xfId="27027"/>
    <cellStyle name="Normal 2 4 2 5 6" xfId="2033"/>
    <cellStyle name="Normal 2 4 2 5 6 2" xfId="4262"/>
    <cellStyle name="Normal 2 4 2 5 6 2 2" xfId="8485"/>
    <cellStyle name="Normal 2 4 2 5 6 2 2 2" xfId="16921"/>
    <cellStyle name="Normal 2 4 2 5 6 2 2 3" xfId="25362"/>
    <cellStyle name="Normal 2 4 2 5 6 2 2 4" xfId="33802"/>
    <cellStyle name="Normal 2 4 2 5 6 2 3" xfId="12703"/>
    <cellStyle name="Normal 2 4 2 5 6 2 4" xfId="21145"/>
    <cellStyle name="Normal 2 4 2 5 6 2 5" xfId="29585"/>
    <cellStyle name="Normal 2 4 2 5 6 3" xfId="6340"/>
    <cellStyle name="Normal 2 4 2 5 6 3 2" xfId="14776"/>
    <cellStyle name="Normal 2 4 2 5 6 3 3" xfId="23217"/>
    <cellStyle name="Normal 2 4 2 5 6 3 4" xfId="31657"/>
    <cellStyle name="Normal 2 4 2 5 6 4" xfId="10558"/>
    <cellStyle name="Normal 2 4 2 5 6 5" xfId="19000"/>
    <cellStyle name="Normal 2 4 2 5 6 6" xfId="27440"/>
    <cellStyle name="Normal 2 4 2 5 7" xfId="2469"/>
    <cellStyle name="Normal 2 4 2 5 7 2" xfId="6753"/>
    <cellStyle name="Normal 2 4 2 5 7 2 2" xfId="15189"/>
    <cellStyle name="Normal 2 4 2 5 7 2 3" xfId="23630"/>
    <cellStyle name="Normal 2 4 2 5 7 2 4" xfId="32070"/>
    <cellStyle name="Normal 2 4 2 5 7 3" xfId="10971"/>
    <cellStyle name="Normal 2 4 2 5 7 4" xfId="19413"/>
    <cellStyle name="Normal 2 4 2 5 7 5" xfId="27853"/>
    <cellStyle name="Normal 2 4 2 5 8" xfId="4687"/>
    <cellStyle name="Normal 2 4 2 5 8 2" xfId="13123"/>
    <cellStyle name="Normal 2 4 2 5 8 3" xfId="21564"/>
    <cellStyle name="Normal 2 4 2 5 8 4" xfId="30004"/>
    <cellStyle name="Normal 2 4 2 5 9" xfId="8905"/>
    <cellStyle name="Normal 2 4 2 6" xfId="295"/>
    <cellStyle name="Normal 2 4 2 6 10" xfId="25789"/>
    <cellStyle name="Normal 2 4 2 6 2" xfId="786"/>
    <cellStyle name="Normal 2 4 2 6 2 2" xfId="3025"/>
    <cellStyle name="Normal 2 4 2 6 2 2 2" xfId="7248"/>
    <cellStyle name="Normal 2 4 2 6 2 2 2 2" xfId="15684"/>
    <cellStyle name="Normal 2 4 2 6 2 2 2 3" xfId="24125"/>
    <cellStyle name="Normal 2 4 2 6 2 2 2 4" xfId="32565"/>
    <cellStyle name="Normal 2 4 2 6 2 2 3" xfId="11466"/>
    <cellStyle name="Normal 2 4 2 6 2 2 4" xfId="19908"/>
    <cellStyle name="Normal 2 4 2 6 2 2 5" xfId="28348"/>
    <cellStyle name="Normal 2 4 2 6 2 3" xfId="5103"/>
    <cellStyle name="Normal 2 4 2 6 2 3 2" xfId="13539"/>
    <cellStyle name="Normal 2 4 2 6 2 3 3" xfId="21980"/>
    <cellStyle name="Normal 2 4 2 6 2 3 4" xfId="30420"/>
    <cellStyle name="Normal 2 4 2 6 2 4" xfId="9321"/>
    <cellStyle name="Normal 2 4 2 6 2 5" xfId="17763"/>
    <cellStyle name="Normal 2 4 2 6 2 6" xfId="26203"/>
    <cellStyle name="Normal 2 4 2 6 3" xfId="1208"/>
    <cellStyle name="Normal 2 4 2 6 3 2" xfId="3438"/>
    <cellStyle name="Normal 2 4 2 6 3 2 2" xfId="7661"/>
    <cellStyle name="Normal 2 4 2 6 3 2 2 2" xfId="16097"/>
    <cellStyle name="Normal 2 4 2 6 3 2 2 3" xfId="24538"/>
    <cellStyle name="Normal 2 4 2 6 3 2 2 4" xfId="32978"/>
    <cellStyle name="Normal 2 4 2 6 3 2 3" xfId="11879"/>
    <cellStyle name="Normal 2 4 2 6 3 2 4" xfId="20321"/>
    <cellStyle name="Normal 2 4 2 6 3 2 5" xfId="28761"/>
    <cellStyle name="Normal 2 4 2 6 3 3" xfId="5516"/>
    <cellStyle name="Normal 2 4 2 6 3 3 2" xfId="13952"/>
    <cellStyle name="Normal 2 4 2 6 3 3 3" xfId="22393"/>
    <cellStyle name="Normal 2 4 2 6 3 3 4" xfId="30833"/>
    <cellStyle name="Normal 2 4 2 6 3 4" xfId="9734"/>
    <cellStyle name="Normal 2 4 2 6 3 5" xfId="18176"/>
    <cellStyle name="Normal 2 4 2 6 3 6" xfId="26616"/>
    <cellStyle name="Normal 2 4 2 6 4" xfId="1621"/>
    <cellStyle name="Normal 2 4 2 6 4 2" xfId="3851"/>
    <cellStyle name="Normal 2 4 2 6 4 2 2" xfId="8074"/>
    <cellStyle name="Normal 2 4 2 6 4 2 2 2" xfId="16510"/>
    <cellStyle name="Normal 2 4 2 6 4 2 2 3" xfId="24951"/>
    <cellStyle name="Normal 2 4 2 6 4 2 2 4" xfId="33391"/>
    <cellStyle name="Normal 2 4 2 6 4 2 3" xfId="12292"/>
    <cellStyle name="Normal 2 4 2 6 4 2 4" xfId="20734"/>
    <cellStyle name="Normal 2 4 2 6 4 2 5" xfId="29174"/>
    <cellStyle name="Normal 2 4 2 6 4 3" xfId="5929"/>
    <cellStyle name="Normal 2 4 2 6 4 3 2" xfId="14365"/>
    <cellStyle name="Normal 2 4 2 6 4 3 3" xfId="22806"/>
    <cellStyle name="Normal 2 4 2 6 4 3 4" xfId="31246"/>
    <cellStyle name="Normal 2 4 2 6 4 4" xfId="10147"/>
    <cellStyle name="Normal 2 4 2 6 4 5" xfId="18589"/>
    <cellStyle name="Normal 2 4 2 6 4 6" xfId="27029"/>
    <cellStyle name="Normal 2 4 2 6 5" xfId="2035"/>
    <cellStyle name="Normal 2 4 2 6 5 2" xfId="4264"/>
    <cellStyle name="Normal 2 4 2 6 5 2 2" xfId="8487"/>
    <cellStyle name="Normal 2 4 2 6 5 2 2 2" xfId="16923"/>
    <cellStyle name="Normal 2 4 2 6 5 2 2 3" xfId="25364"/>
    <cellStyle name="Normal 2 4 2 6 5 2 2 4" xfId="33804"/>
    <cellStyle name="Normal 2 4 2 6 5 2 3" xfId="12705"/>
    <cellStyle name="Normal 2 4 2 6 5 2 4" xfId="21147"/>
    <cellStyle name="Normal 2 4 2 6 5 2 5" xfId="29587"/>
    <cellStyle name="Normal 2 4 2 6 5 3" xfId="6342"/>
    <cellStyle name="Normal 2 4 2 6 5 3 2" xfId="14778"/>
    <cellStyle name="Normal 2 4 2 6 5 3 3" xfId="23219"/>
    <cellStyle name="Normal 2 4 2 6 5 3 4" xfId="31659"/>
    <cellStyle name="Normal 2 4 2 6 5 4" xfId="10560"/>
    <cellStyle name="Normal 2 4 2 6 5 5" xfId="19002"/>
    <cellStyle name="Normal 2 4 2 6 5 6" xfId="27442"/>
    <cellStyle name="Normal 2 4 2 6 6" xfId="2471"/>
    <cellStyle name="Normal 2 4 2 6 6 2" xfId="6755"/>
    <cellStyle name="Normal 2 4 2 6 6 2 2" xfId="15191"/>
    <cellStyle name="Normal 2 4 2 6 6 2 3" xfId="23632"/>
    <cellStyle name="Normal 2 4 2 6 6 2 4" xfId="32072"/>
    <cellStyle name="Normal 2 4 2 6 6 3" xfId="10973"/>
    <cellStyle name="Normal 2 4 2 6 6 4" xfId="19415"/>
    <cellStyle name="Normal 2 4 2 6 6 5" xfId="27855"/>
    <cellStyle name="Normal 2 4 2 6 7" xfId="4689"/>
    <cellStyle name="Normal 2 4 2 6 7 2" xfId="13125"/>
    <cellStyle name="Normal 2 4 2 6 7 3" xfId="21566"/>
    <cellStyle name="Normal 2 4 2 6 7 4" xfId="30006"/>
    <cellStyle name="Normal 2 4 2 6 8" xfId="8907"/>
    <cellStyle name="Normal 2 4 2 6 9" xfId="17349"/>
    <cellStyle name="Normal 2 4 2 7" xfId="771"/>
    <cellStyle name="Normal 2 4 2 7 2" xfId="3010"/>
    <cellStyle name="Normal 2 4 2 7 2 2" xfId="7233"/>
    <cellStyle name="Normal 2 4 2 7 2 2 2" xfId="15669"/>
    <cellStyle name="Normal 2 4 2 7 2 2 3" xfId="24110"/>
    <cellStyle name="Normal 2 4 2 7 2 2 4" xfId="32550"/>
    <cellStyle name="Normal 2 4 2 7 2 3" xfId="11451"/>
    <cellStyle name="Normal 2 4 2 7 2 4" xfId="19893"/>
    <cellStyle name="Normal 2 4 2 7 2 5" xfId="28333"/>
    <cellStyle name="Normal 2 4 2 7 3" xfId="5088"/>
    <cellStyle name="Normal 2 4 2 7 3 2" xfId="13524"/>
    <cellStyle name="Normal 2 4 2 7 3 3" xfId="21965"/>
    <cellStyle name="Normal 2 4 2 7 3 4" xfId="30405"/>
    <cellStyle name="Normal 2 4 2 7 4" xfId="9306"/>
    <cellStyle name="Normal 2 4 2 7 5" xfId="17748"/>
    <cellStyle name="Normal 2 4 2 7 6" xfId="26188"/>
    <cellStyle name="Normal 2 4 2 8" xfId="1193"/>
    <cellStyle name="Normal 2 4 2 8 2" xfId="3423"/>
    <cellStyle name="Normal 2 4 2 8 2 2" xfId="7646"/>
    <cellStyle name="Normal 2 4 2 8 2 2 2" xfId="16082"/>
    <cellStyle name="Normal 2 4 2 8 2 2 3" xfId="24523"/>
    <cellStyle name="Normal 2 4 2 8 2 2 4" xfId="32963"/>
    <cellStyle name="Normal 2 4 2 8 2 3" xfId="11864"/>
    <cellStyle name="Normal 2 4 2 8 2 4" xfId="20306"/>
    <cellStyle name="Normal 2 4 2 8 2 5" xfId="28746"/>
    <cellStyle name="Normal 2 4 2 8 3" xfId="5501"/>
    <cellStyle name="Normal 2 4 2 8 3 2" xfId="13937"/>
    <cellStyle name="Normal 2 4 2 8 3 3" xfId="22378"/>
    <cellStyle name="Normal 2 4 2 8 3 4" xfId="30818"/>
    <cellStyle name="Normal 2 4 2 8 4" xfId="9719"/>
    <cellStyle name="Normal 2 4 2 8 5" xfId="18161"/>
    <cellStyle name="Normal 2 4 2 8 6" xfId="26601"/>
    <cellStyle name="Normal 2 4 2 9" xfId="1606"/>
    <cellStyle name="Normal 2 4 2 9 2" xfId="3836"/>
    <cellStyle name="Normal 2 4 2 9 2 2" xfId="8059"/>
    <cellStyle name="Normal 2 4 2 9 2 2 2" xfId="16495"/>
    <cellStyle name="Normal 2 4 2 9 2 2 3" xfId="24936"/>
    <cellStyle name="Normal 2 4 2 9 2 2 4" xfId="33376"/>
    <cellStyle name="Normal 2 4 2 9 2 3" xfId="12277"/>
    <cellStyle name="Normal 2 4 2 9 2 4" xfId="20719"/>
    <cellStyle name="Normal 2 4 2 9 2 5" xfId="29159"/>
    <cellStyle name="Normal 2 4 2 9 3" xfId="5914"/>
    <cellStyle name="Normal 2 4 2 9 3 2" xfId="14350"/>
    <cellStyle name="Normal 2 4 2 9 3 3" xfId="22791"/>
    <cellStyle name="Normal 2 4 2 9 3 4" xfId="31231"/>
    <cellStyle name="Normal 2 4 2 9 4" xfId="10132"/>
    <cellStyle name="Normal 2 4 2 9 5" xfId="18574"/>
    <cellStyle name="Normal 2 4 2 9 6" xfId="27014"/>
    <cellStyle name="Normal 2 4 3" xfId="296"/>
    <cellStyle name="Normal 2 4 3 10" xfId="8908"/>
    <cellStyle name="Normal 2 4 3 11" xfId="17350"/>
    <cellStyle name="Normal 2 4 3 12" xfId="25790"/>
    <cellStyle name="Normal 2 4 3 2" xfId="297"/>
    <cellStyle name="Normal 2 4 3 3" xfId="298"/>
    <cellStyle name="Normal 2 4 3 3 10" xfId="8909"/>
    <cellStyle name="Normal 2 4 3 3 11" xfId="17351"/>
    <cellStyle name="Normal 2 4 3 3 12" xfId="25791"/>
    <cellStyle name="Normal 2 4 3 3 2" xfId="299"/>
    <cellStyle name="Normal 2 4 3 3 2 10" xfId="17352"/>
    <cellStyle name="Normal 2 4 3 3 2 11" xfId="25792"/>
    <cellStyle name="Normal 2 4 3 3 2 2" xfId="300"/>
    <cellStyle name="Normal 2 4 3 3 2 2 10" xfId="25793"/>
    <cellStyle name="Normal 2 4 3 3 2 2 2" xfId="790"/>
    <cellStyle name="Normal 2 4 3 3 2 2 2 2" xfId="3029"/>
    <cellStyle name="Normal 2 4 3 3 2 2 2 2 2" xfId="7252"/>
    <cellStyle name="Normal 2 4 3 3 2 2 2 2 2 2" xfId="15688"/>
    <cellStyle name="Normal 2 4 3 3 2 2 2 2 2 3" xfId="24129"/>
    <cellStyle name="Normal 2 4 3 3 2 2 2 2 2 4" xfId="32569"/>
    <cellStyle name="Normal 2 4 3 3 2 2 2 2 3" xfId="11470"/>
    <cellStyle name="Normal 2 4 3 3 2 2 2 2 4" xfId="19912"/>
    <cellStyle name="Normal 2 4 3 3 2 2 2 2 5" xfId="28352"/>
    <cellStyle name="Normal 2 4 3 3 2 2 2 3" xfId="5107"/>
    <cellStyle name="Normal 2 4 3 3 2 2 2 3 2" xfId="13543"/>
    <cellStyle name="Normal 2 4 3 3 2 2 2 3 3" xfId="21984"/>
    <cellStyle name="Normal 2 4 3 3 2 2 2 3 4" xfId="30424"/>
    <cellStyle name="Normal 2 4 3 3 2 2 2 4" xfId="9325"/>
    <cellStyle name="Normal 2 4 3 3 2 2 2 5" xfId="17767"/>
    <cellStyle name="Normal 2 4 3 3 2 2 2 6" xfId="26207"/>
    <cellStyle name="Normal 2 4 3 3 2 2 3" xfId="1212"/>
    <cellStyle name="Normal 2 4 3 3 2 2 3 2" xfId="3442"/>
    <cellStyle name="Normal 2 4 3 3 2 2 3 2 2" xfId="7665"/>
    <cellStyle name="Normal 2 4 3 3 2 2 3 2 2 2" xfId="16101"/>
    <cellStyle name="Normal 2 4 3 3 2 2 3 2 2 3" xfId="24542"/>
    <cellStyle name="Normal 2 4 3 3 2 2 3 2 2 4" xfId="32982"/>
    <cellStyle name="Normal 2 4 3 3 2 2 3 2 3" xfId="11883"/>
    <cellStyle name="Normal 2 4 3 3 2 2 3 2 4" xfId="20325"/>
    <cellStyle name="Normal 2 4 3 3 2 2 3 2 5" xfId="28765"/>
    <cellStyle name="Normal 2 4 3 3 2 2 3 3" xfId="5520"/>
    <cellStyle name="Normal 2 4 3 3 2 2 3 3 2" xfId="13956"/>
    <cellStyle name="Normal 2 4 3 3 2 2 3 3 3" xfId="22397"/>
    <cellStyle name="Normal 2 4 3 3 2 2 3 3 4" xfId="30837"/>
    <cellStyle name="Normal 2 4 3 3 2 2 3 4" xfId="9738"/>
    <cellStyle name="Normal 2 4 3 3 2 2 3 5" xfId="18180"/>
    <cellStyle name="Normal 2 4 3 3 2 2 3 6" xfId="26620"/>
    <cellStyle name="Normal 2 4 3 3 2 2 4" xfId="1625"/>
    <cellStyle name="Normal 2 4 3 3 2 2 4 2" xfId="3855"/>
    <cellStyle name="Normal 2 4 3 3 2 2 4 2 2" xfId="8078"/>
    <cellStyle name="Normal 2 4 3 3 2 2 4 2 2 2" xfId="16514"/>
    <cellStyle name="Normal 2 4 3 3 2 2 4 2 2 3" xfId="24955"/>
    <cellStyle name="Normal 2 4 3 3 2 2 4 2 2 4" xfId="33395"/>
    <cellStyle name="Normal 2 4 3 3 2 2 4 2 3" xfId="12296"/>
    <cellStyle name="Normal 2 4 3 3 2 2 4 2 4" xfId="20738"/>
    <cellStyle name="Normal 2 4 3 3 2 2 4 2 5" xfId="29178"/>
    <cellStyle name="Normal 2 4 3 3 2 2 4 3" xfId="5933"/>
    <cellStyle name="Normal 2 4 3 3 2 2 4 3 2" xfId="14369"/>
    <cellStyle name="Normal 2 4 3 3 2 2 4 3 3" xfId="22810"/>
    <cellStyle name="Normal 2 4 3 3 2 2 4 3 4" xfId="31250"/>
    <cellStyle name="Normal 2 4 3 3 2 2 4 4" xfId="10151"/>
    <cellStyle name="Normal 2 4 3 3 2 2 4 5" xfId="18593"/>
    <cellStyle name="Normal 2 4 3 3 2 2 4 6" xfId="27033"/>
    <cellStyle name="Normal 2 4 3 3 2 2 5" xfId="2039"/>
    <cellStyle name="Normal 2 4 3 3 2 2 5 2" xfId="4268"/>
    <cellStyle name="Normal 2 4 3 3 2 2 5 2 2" xfId="8491"/>
    <cellStyle name="Normal 2 4 3 3 2 2 5 2 2 2" xfId="16927"/>
    <cellStyle name="Normal 2 4 3 3 2 2 5 2 2 3" xfId="25368"/>
    <cellStyle name="Normal 2 4 3 3 2 2 5 2 2 4" xfId="33808"/>
    <cellStyle name="Normal 2 4 3 3 2 2 5 2 3" xfId="12709"/>
    <cellStyle name="Normal 2 4 3 3 2 2 5 2 4" xfId="21151"/>
    <cellStyle name="Normal 2 4 3 3 2 2 5 2 5" xfId="29591"/>
    <cellStyle name="Normal 2 4 3 3 2 2 5 3" xfId="6346"/>
    <cellStyle name="Normal 2 4 3 3 2 2 5 3 2" xfId="14782"/>
    <cellStyle name="Normal 2 4 3 3 2 2 5 3 3" xfId="23223"/>
    <cellStyle name="Normal 2 4 3 3 2 2 5 3 4" xfId="31663"/>
    <cellStyle name="Normal 2 4 3 3 2 2 5 4" xfId="10564"/>
    <cellStyle name="Normal 2 4 3 3 2 2 5 5" xfId="19006"/>
    <cellStyle name="Normal 2 4 3 3 2 2 5 6" xfId="27446"/>
    <cellStyle name="Normal 2 4 3 3 2 2 6" xfId="2475"/>
    <cellStyle name="Normal 2 4 3 3 2 2 6 2" xfId="6759"/>
    <cellStyle name="Normal 2 4 3 3 2 2 6 2 2" xfId="15195"/>
    <cellStyle name="Normal 2 4 3 3 2 2 6 2 3" xfId="23636"/>
    <cellStyle name="Normal 2 4 3 3 2 2 6 2 4" xfId="32076"/>
    <cellStyle name="Normal 2 4 3 3 2 2 6 3" xfId="10977"/>
    <cellStyle name="Normal 2 4 3 3 2 2 6 4" xfId="19419"/>
    <cellStyle name="Normal 2 4 3 3 2 2 6 5" xfId="27859"/>
    <cellStyle name="Normal 2 4 3 3 2 2 7" xfId="4693"/>
    <cellStyle name="Normal 2 4 3 3 2 2 7 2" xfId="13129"/>
    <cellStyle name="Normal 2 4 3 3 2 2 7 3" xfId="21570"/>
    <cellStyle name="Normal 2 4 3 3 2 2 7 4" xfId="30010"/>
    <cellStyle name="Normal 2 4 3 3 2 2 8" xfId="8911"/>
    <cellStyle name="Normal 2 4 3 3 2 2 9" xfId="17353"/>
    <cellStyle name="Normal 2 4 3 3 2 3" xfId="789"/>
    <cellStyle name="Normal 2 4 3 3 2 3 2" xfId="3028"/>
    <cellStyle name="Normal 2 4 3 3 2 3 2 2" xfId="7251"/>
    <cellStyle name="Normal 2 4 3 3 2 3 2 2 2" xfId="15687"/>
    <cellStyle name="Normal 2 4 3 3 2 3 2 2 3" xfId="24128"/>
    <cellStyle name="Normal 2 4 3 3 2 3 2 2 4" xfId="32568"/>
    <cellStyle name="Normal 2 4 3 3 2 3 2 3" xfId="11469"/>
    <cellStyle name="Normal 2 4 3 3 2 3 2 4" xfId="19911"/>
    <cellStyle name="Normal 2 4 3 3 2 3 2 5" xfId="28351"/>
    <cellStyle name="Normal 2 4 3 3 2 3 3" xfId="5106"/>
    <cellStyle name="Normal 2 4 3 3 2 3 3 2" xfId="13542"/>
    <cellStyle name="Normal 2 4 3 3 2 3 3 3" xfId="21983"/>
    <cellStyle name="Normal 2 4 3 3 2 3 3 4" xfId="30423"/>
    <cellStyle name="Normal 2 4 3 3 2 3 4" xfId="9324"/>
    <cellStyle name="Normal 2 4 3 3 2 3 5" xfId="17766"/>
    <cellStyle name="Normal 2 4 3 3 2 3 6" xfId="26206"/>
    <cellStyle name="Normal 2 4 3 3 2 4" xfId="1211"/>
    <cellStyle name="Normal 2 4 3 3 2 4 2" xfId="3441"/>
    <cellStyle name="Normal 2 4 3 3 2 4 2 2" xfId="7664"/>
    <cellStyle name="Normal 2 4 3 3 2 4 2 2 2" xfId="16100"/>
    <cellStyle name="Normal 2 4 3 3 2 4 2 2 3" xfId="24541"/>
    <cellStyle name="Normal 2 4 3 3 2 4 2 2 4" xfId="32981"/>
    <cellStyle name="Normal 2 4 3 3 2 4 2 3" xfId="11882"/>
    <cellStyle name="Normal 2 4 3 3 2 4 2 4" xfId="20324"/>
    <cellStyle name="Normal 2 4 3 3 2 4 2 5" xfId="28764"/>
    <cellStyle name="Normal 2 4 3 3 2 4 3" xfId="5519"/>
    <cellStyle name="Normal 2 4 3 3 2 4 3 2" xfId="13955"/>
    <cellStyle name="Normal 2 4 3 3 2 4 3 3" xfId="22396"/>
    <cellStyle name="Normal 2 4 3 3 2 4 3 4" xfId="30836"/>
    <cellStyle name="Normal 2 4 3 3 2 4 4" xfId="9737"/>
    <cellStyle name="Normal 2 4 3 3 2 4 5" xfId="18179"/>
    <cellStyle name="Normal 2 4 3 3 2 4 6" xfId="26619"/>
    <cellStyle name="Normal 2 4 3 3 2 5" xfId="1624"/>
    <cellStyle name="Normal 2 4 3 3 2 5 2" xfId="3854"/>
    <cellStyle name="Normal 2 4 3 3 2 5 2 2" xfId="8077"/>
    <cellStyle name="Normal 2 4 3 3 2 5 2 2 2" xfId="16513"/>
    <cellStyle name="Normal 2 4 3 3 2 5 2 2 3" xfId="24954"/>
    <cellStyle name="Normal 2 4 3 3 2 5 2 2 4" xfId="33394"/>
    <cellStyle name="Normal 2 4 3 3 2 5 2 3" xfId="12295"/>
    <cellStyle name="Normal 2 4 3 3 2 5 2 4" xfId="20737"/>
    <cellStyle name="Normal 2 4 3 3 2 5 2 5" xfId="29177"/>
    <cellStyle name="Normal 2 4 3 3 2 5 3" xfId="5932"/>
    <cellStyle name="Normal 2 4 3 3 2 5 3 2" xfId="14368"/>
    <cellStyle name="Normal 2 4 3 3 2 5 3 3" xfId="22809"/>
    <cellStyle name="Normal 2 4 3 3 2 5 3 4" xfId="31249"/>
    <cellStyle name="Normal 2 4 3 3 2 5 4" xfId="10150"/>
    <cellStyle name="Normal 2 4 3 3 2 5 5" xfId="18592"/>
    <cellStyle name="Normal 2 4 3 3 2 5 6" xfId="27032"/>
    <cellStyle name="Normal 2 4 3 3 2 6" xfId="2038"/>
    <cellStyle name="Normal 2 4 3 3 2 6 2" xfId="4267"/>
    <cellStyle name="Normal 2 4 3 3 2 6 2 2" xfId="8490"/>
    <cellStyle name="Normal 2 4 3 3 2 6 2 2 2" xfId="16926"/>
    <cellStyle name="Normal 2 4 3 3 2 6 2 2 3" xfId="25367"/>
    <cellStyle name="Normal 2 4 3 3 2 6 2 2 4" xfId="33807"/>
    <cellStyle name="Normal 2 4 3 3 2 6 2 3" xfId="12708"/>
    <cellStyle name="Normal 2 4 3 3 2 6 2 4" xfId="21150"/>
    <cellStyle name="Normal 2 4 3 3 2 6 2 5" xfId="29590"/>
    <cellStyle name="Normal 2 4 3 3 2 6 3" xfId="6345"/>
    <cellStyle name="Normal 2 4 3 3 2 6 3 2" xfId="14781"/>
    <cellStyle name="Normal 2 4 3 3 2 6 3 3" xfId="23222"/>
    <cellStyle name="Normal 2 4 3 3 2 6 3 4" xfId="31662"/>
    <cellStyle name="Normal 2 4 3 3 2 6 4" xfId="10563"/>
    <cellStyle name="Normal 2 4 3 3 2 6 5" xfId="19005"/>
    <cellStyle name="Normal 2 4 3 3 2 6 6" xfId="27445"/>
    <cellStyle name="Normal 2 4 3 3 2 7" xfId="2474"/>
    <cellStyle name="Normal 2 4 3 3 2 7 2" xfId="6758"/>
    <cellStyle name="Normal 2 4 3 3 2 7 2 2" xfId="15194"/>
    <cellStyle name="Normal 2 4 3 3 2 7 2 3" xfId="23635"/>
    <cellStyle name="Normal 2 4 3 3 2 7 2 4" xfId="32075"/>
    <cellStyle name="Normal 2 4 3 3 2 7 3" xfId="10976"/>
    <cellStyle name="Normal 2 4 3 3 2 7 4" xfId="19418"/>
    <cellStyle name="Normal 2 4 3 3 2 7 5" xfId="27858"/>
    <cellStyle name="Normal 2 4 3 3 2 8" xfId="4692"/>
    <cellStyle name="Normal 2 4 3 3 2 8 2" xfId="13128"/>
    <cellStyle name="Normal 2 4 3 3 2 8 3" xfId="21569"/>
    <cellStyle name="Normal 2 4 3 3 2 8 4" xfId="30009"/>
    <cellStyle name="Normal 2 4 3 3 2 9" xfId="8910"/>
    <cellStyle name="Normal 2 4 3 3 3" xfId="301"/>
    <cellStyle name="Normal 2 4 3 3 3 10" xfId="25794"/>
    <cellStyle name="Normal 2 4 3 3 3 2" xfId="791"/>
    <cellStyle name="Normal 2 4 3 3 3 2 2" xfId="3030"/>
    <cellStyle name="Normal 2 4 3 3 3 2 2 2" xfId="7253"/>
    <cellStyle name="Normal 2 4 3 3 3 2 2 2 2" xfId="15689"/>
    <cellStyle name="Normal 2 4 3 3 3 2 2 2 3" xfId="24130"/>
    <cellStyle name="Normal 2 4 3 3 3 2 2 2 4" xfId="32570"/>
    <cellStyle name="Normal 2 4 3 3 3 2 2 3" xfId="11471"/>
    <cellStyle name="Normal 2 4 3 3 3 2 2 4" xfId="19913"/>
    <cellStyle name="Normal 2 4 3 3 3 2 2 5" xfId="28353"/>
    <cellStyle name="Normal 2 4 3 3 3 2 3" xfId="5108"/>
    <cellStyle name="Normal 2 4 3 3 3 2 3 2" xfId="13544"/>
    <cellStyle name="Normal 2 4 3 3 3 2 3 3" xfId="21985"/>
    <cellStyle name="Normal 2 4 3 3 3 2 3 4" xfId="30425"/>
    <cellStyle name="Normal 2 4 3 3 3 2 4" xfId="9326"/>
    <cellStyle name="Normal 2 4 3 3 3 2 5" xfId="17768"/>
    <cellStyle name="Normal 2 4 3 3 3 2 6" xfId="26208"/>
    <cellStyle name="Normal 2 4 3 3 3 3" xfId="1213"/>
    <cellStyle name="Normal 2 4 3 3 3 3 2" xfId="3443"/>
    <cellStyle name="Normal 2 4 3 3 3 3 2 2" xfId="7666"/>
    <cellStyle name="Normal 2 4 3 3 3 3 2 2 2" xfId="16102"/>
    <cellStyle name="Normal 2 4 3 3 3 3 2 2 3" xfId="24543"/>
    <cellStyle name="Normal 2 4 3 3 3 3 2 2 4" xfId="32983"/>
    <cellStyle name="Normal 2 4 3 3 3 3 2 3" xfId="11884"/>
    <cellStyle name="Normal 2 4 3 3 3 3 2 4" xfId="20326"/>
    <cellStyle name="Normal 2 4 3 3 3 3 2 5" xfId="28766"/>
    <cellStyle name="Normal 2 4 3 3 3 3 3" xfId="5521"/>
    <cellStyle name="Normal 2 4 3 3 3 3 3 2" xfId="13957"/>
    <cellStyle name="Normal 2 4 3 3 3 3 3 3" xfId="22398"/>
    <cellStyle name="Normal 2 4 3 3 3 3 3 4" xfId="30838"/>
    <cellStyle name="Normal 2 4 3 3 3 3 4" xfId="9739"/>
    <cellStyle name="Normal 2 4 3 3 3 3 5" xfId="18181"/>
    <cellStyle name="Normal 2 4 3 3 3 3 6" xfId="26621"/>
    <cellStyle name="Normal 2 4 3 3 3 4" xfId="1626"/>
    <cellStyle name="Normal 2 4 3 3 3 4 2" xfId="3856"/>
    <cellStyle name="Normal 2 4 3 3 3 4 2 2" xfId="8079"/>
    <cellStyle name="Normal 2 4 3 3 3 4 2 2 2" xfId="16515"/>
    <cellStyle name="Normal 2 4 3 3 3 4 2 2 3" xfId="24956"/>
    <cellStyle name="Normal 2 4 3 3 3 4 2 2 4" xfId="33396"/>
    <cellStyle name="Normal 2 4 3 3 3 4 2 3" xfId="12297"/>
    <cellStyle name="Normal 2 4 3 3 3 4 2 4" xfId="20739"/>
    <cellStyle name="Normal 2 4 3 3 3 4 2 5" xfId="29179"/>
    <cellStyle name="Normal 2 4 3 3 3 4 3" xfId="5934"/>
    <cellStyle name="Normal 2 4 3 3 3 4 3 2" xfId="14370"/>
    <cellStyle name="Normal 2 4 3 3 3 4 3 3" xfId="22811"/>
    <cellStyle name="Normal 2 4 3 3 3 4 3 4" xfId="31251"/>
    <cellStyle name="Normal 2 4 3 3 3 4 4" xfId="10152"/>
    <cellStyle name="Normal 2 4 3 3 3 4 5" xfId="18594"/>
    <cellStyle name="Normal 2 4 3 3 3 4 6" xfId="27034"/>
    <cellStyle name="Normal 2 4 3 3 3 5" xfId="2040"/>
    <cellStyle name="Normal 2 4 3 3 3 5 2" xfId="4269"/>
    <cellStyle name="Normal 2 4 3 3 3 5 2 2" xfId="8492"/>
    <cellStyle name="Normal 2 4 3 3 3 5 2 2 2" xfId="16928"/>
    <cellStyle name="Normal 2 4 3 3 3 5 2 2 3" xfId="25369"/>
    <cellStyle name="Normal 2 4 3 3 3 5 2 2 4" xfId="33809"/>
    <cellStyle name="Normal 2 4 3 3 3 5 2 3" xfId="12710"/>
    <cellStyle name="Normal 2 4 3 3 3 5 2 4" xfId="21152"/>
    <cellStyle name="Normal 2 4 3 3 3 5 2 5" xfId="29592"/>
    <cellStyle name="Normal 2 4 3 3 3 5 3" xfId="6347"/>
    <cellStyle name="Normal 2 4 3 3 3 5 3 2" xfId="14783"/>
    <cellStyle name="Normal 2 4 3 3 3 5 3 3" xfId="23224"/>
    <cellStyle name="Normal 2 4 3 3 3 5 3 4" xfId="31664"/>
    <cellStyle name="Normal 2 4 3 3 3 5 4" xfId="10565"/>
    <cellStyle name="Normal 2 4 3 3 3 5 5" xfId="19007"/>
    <cellStyle name="Normal 2 4 3 3 3 5 6" xfId="27447"/>
    <cellStyle name="Normal 2 4 3 3 3 6" xfId="2476"/>
    <cellStyle name="Normal 2 4 3 3 3 6 2" xfId="6760"/>
    <cellStyle name="Normal 2 4 3 3 3 6 2 2" xfId="15196"/>
    <cellStyle name="Normal 2 4 3 3 3 6 2 3" xfId="23637"/>
    <cellStyle name="Normal 2 4 3 3 3 6 2 4" xfId="32077"/>
    <cellStyle name="Normal 2 4 3 3 3 6 3" xfId="10978"/>
    <cellStyle name="Normal 2 4 3 3 3 6 4" xfId="19420"/>
    <cellStyle name="Normal 2 4 3 3 3 6 5" xfId="27860"/>
    <cellStyle name="Normal 2 4 3 3 3 7" xfId="4694"/>
    <cellStyle name="Normal 2 4 3 3 3 7 2" xfId="13130"/>
    <cellStyle name="Normal 2 4 3 3 3 7 3" xfId="21571"/>
    <cellStyle name="Normal 2 4 3 3 3 7 4" xfId="30011"/>
    <cellStyle name="Normal 2 4 3 3 3 8" xfId="8912"/>
    <cellStyle name="Normal 2 4 3 3 3 9" xfId="17354"/>
    <cellStyle name="Normal 2 4 3 3 4" xfId="788"/>
    <cellStyle name="Normal 2 4 3 3 4 2" xfId="3027"/>
    <cellStyle name="Normal 2 4 3 3 4 2 2" xfId="7250"/>
    <cellStyle name="Normal 2 4 3 3 4 2 2 2" xfId="15686"/>
    <cellStyle name="Normal 2 4 3 3 4 2 2 3" xfId="24127"/>
    <cellStyle name="Normal 2 4 3 3 4 2 2 4" xfId="32567"/>
    <cellStyle name="Normal 2 4 3 3 4 2 3" xfId="11468"/>
    <cellStyle name="Normal 2 4 3 3 4 2 4" xfId="19910"/>
    <cellStyle name="Normal 2 4 3 3 4 2 5" xfId="28350"/>
    <cellStyle name="Normal 2 4 3 3 4 3" xfId="5105"/>
    <cellStyle name="Normal 2 4 3 3 4 3 2" xfId="13541"/>
    <cellStyle name="Normal 2 4 3 3 4 3 3" xfId="21982"/>
    <cellStyle name="Normal 2 4 3 3 4 3 4" xfId="30422"/>
    <cellStyle name="Normal 2 4 3 3 4 4" xfId="9323"/>
    <cellStyle name="Normal 2 4 3 3 4 5" xfId="17765"/>
    <cellStyle name="Normal 2 4 3 3 4 6" xfId="26205"/>
    <cellStyle name="Normal 2 4 3 3 5" xfId="1210"/>
    <cellStyle name="Normal 2 4 3 3 5 2" xfId="3440"/>
    <cellStyle name="Normal 2 4 3 3 5 2 2" xfId="7663"/>
    <cellStyle name="Normal 2 4 3 3 5 2 2 2" xfId="16099"/>
    <cellStyle name="Normal 2 4 3 3 5 2 2 3" xfId="24540"/>
    <cellStyle name="Normal 2 4 3 3 5 2 2 4" xfId="32980"/>
    <cellStyle name="Normal 2 4 3 3 5 2 3" xfId="11881"/>
    <cellStyle name="Normal 2 4 3 3 5 2 4" xfId="20323"/>
    <cellStyle name="Normal 2 4 3 3 5 2 5" xfId="28763"/>
    <cellStyle name="Normal 2 4 3 3 5 3" xfId="5518"/>
    <cellStyle name="Normal 2 4 3 3 5 3 2" xfId="13954"/>
    <cellStyle name="Normal 2 4 3 3 5 3 3" xfId="22395"/>
    <cellStyle name="Normal 2 4 3 3 5 3 4" xfId="30835"/>
    <cellStyle name="Normal 2 4 3 3 5 4" xfId="9736"/>
    <cellStyle name="Normal 2 4 3 3 5 5" xfId="18178"/>
    <cellStyle name="Normal 2 4 3 3 5 6" xfId="26618"/>
    <cellStyle name="Normal 2 4 3 3 6" xfId="1623"/>
    <cellStyle name="Normal 2 4 3 3 6 2" xfId="3853"/>
    <cellStyle name="Normal 2 4 3 3 6 2 2" xfId="8076"/>
    <cellStyle name="Normal 2 4 3 3 6 2 2 2" xfId="16512"/>
    <cellStyle name="Normal 2 4 3 3 6 2 2 3" xfId="24953"/>
    <cellStyle name="Normal 2 4 3 3 6 2 2 4" xfId="33393"/>
    <cellStyle name="Normal 2 4 3 3 6 2 3" xfId="12294"/>
    <cellStyle name="Normal 2 4 3 3 6 2 4" xfId="20736"/>
    <cellStyle name="Normal 2 4 3 3 6 2 5" xfId="29176"/>
    <cellStyle name="Normal 2 4 3 3 6 3" xfId="5931"/>
    <cellStyle name="Normal 2 4 3 3 6 3 2" xfId="14367"/>
    <cellStyle name="Normal 2 4 3 3 6 3 3" xfId="22808"/>
    <cellStyle name="Normal 2 4 3 3 6 3 4" xfId="31248"/>
    <cellStyle name="Normal 2 4 3 3 6 4" xfId="10149"/>
    <cellStyle name="Normal 2 4 3 3 6 5" xfId="18591"/>
    <cellStyle name="Normal 2 4 3 3 6 6" xfId="27031"/>
    <cellStyle name="Normal 2 4 3 3 7" xfId="2037"/>
    <cellStyle name="Normal 2 4 3 3 7 2" xfId="4266"/>
    <cellStyle name="Normal 2 4 3 3 7 2 2" xfId="8489"/>
    <cellStyle name="Normal 2 4 3 3 7 2 2 2" xfId="16925"/>
    <cellStyle name="Normal 2 4 3 3 7 2 2 3" xfId="25366"/>
    <cellStyle name="Normal 2 4 3 3 7 2 2 4" xfId="33806"/>
    <cellStyle name="Normal 2 4 3 3 7 2 3" xfId="12707"/>
    <cellStyle name="Normal 2 4 3 3 7 2 4" xfId="21149"/>
    <cellStyle name="Normal 2 4 3 3 7 2 5" xfId="29589"/>
    <cellStyle name="Normal 2 4 3 3 7 3" xfId="6344"/>
    <cellStyle name="Normal 2 4 3 3 7 3 2" xfId="14780"/>
    <cellStyle name="Normal 2 4 3 3 7 3 3" xfId="23221"/>
    <cellStyle name="Normal 2 4 3 3 7 3 4" xfId="31661"/>
    <cellStyle name="Normal 2 4 3 3 7 4" xfId="10562"/>
    <cellStyle name="Normal 2 4 3 3 7 5" xfId="19004"/>
    <cellStyle name="Normal 2 4 3 3 7 6" xfId="27444"/>
    <cellStyle name="Normal 2 4 3 3 8" xfId="2473"/>
    <cellStyle name="Normal 2 4 3 3 8 2" xfId="6757"/>
    <cellStyle name="Normal 2 4 3 3 8 2 2" xfId="15193"/>
    <cellStyle name="Normal 2 4 3 3 8 2 3" xfId="23634"/>
    <cellStyle name="Normal 2 4 3 3 8 2 4" xfId="32074"/>
    <cellStyle name="Normal 2 4 3 3 8 3" xfId="10975"/>
    <cellStyle name="Normal 2 4 3 3 8 4" xfId="19417"/>
    <cellStyle name="Normal 2 4 3 3 8 5" xfId="27857"/>
    <cellStyle name="Normal 2 4 3 3 9" xfId="4691"/>
    <cellStyle name="Normal 2 4 3 3 9 2" xfId="13127"/>
    <cellStyle name="Normal 2 4 3 3 9 3" xfId="21568"/>
    <cellStyle name="Normal 2 4 3 3 9 4" xfId="30008"/>
    <cellStyle name="Normal 2 4 3 4" xfId="787"/>
    <cellStyle name="Normal 2 4 3 4 2" xfId="3026"/>
    <cellStyle name="Normal 2 4 3 4 2 2" xfId="7249"/>
    <cellStyle name="Normal 2 4 3 4 2 2 2" xfId="15685"/>
    <cellStyle name="Normal 2 4 3 4 2 2 3" xfId="24126"/>
    <cellStyle name="Normal 2 4 3 4 2 2 4" xfId="32566"/>
    <cellStyle name="Normal 2 4 3 4 2 3" xfId="11467"/>
    <cellStyle name="Normal 2 4 3 4 2 4" xfId="19909"/>
    <cellStyle name="Normal 2 4 3 4 2 5" xfId="28349"/>
    <cellStyle name="Normal 2 4 3 4 3" xfId="5104"/>
    <cellStyle name="Normal 2 4 3 4 3 2" xfId="13540"/>
    <cellStyle name="Normal 2 4 3 4 3 3" xfId="21981"/>
    <cellStyle name="Normal 2 4 3 4 3 4" xfId="30421"/>
    <cellStyle name="Normal 2 4 3 4 4" xfId="9322"/>
    <cellStyle name="Normal 2 4 3 4 5" xfId="17764"/>
    <cellStyle name="Normal 2 4 3 4 6" xfId="26204"/>
    <cellStyle name="Normal 2 4 3 5" xfId="1209"/>
    <cellStyle name="Normal 2 4 3 5 2" xfId="3439"/>
    <cellStyle name="Normal 2 4 3 5 2 2" xfId="7662"/>
    <cellStyle name="Normal 2 4 3 5 2 2 2" xfId="16098"/>
    <cellStyle name="Normal 2 4 3 5 2 2 3" xfId="24539"/>
    <cellStyle name="Normal 2 4 3 5 2 2 4" xfId="32979"/>
    <cellStyle name="Normal 2 4 3 5 2 3" xfId="11880"/>
    <cellStyle name="Normal 2 4 3 5 2 4" xfId="20322"/>
    <cellStyle name="Normal 2 4 3 5 2 5" xfId="28762"/>
    <cellStyle name="Normal 2 4 3 5 3" xfId="5517"/>
    <cellStyle name="Normal 2 4 3 5 3 2" xfId="13953"/>
    <cellStyle name="Normal 2 4 3 5 3 3" xfId="22394"/>
    <cellStyle name="Normal 2 4 3 5 3 4" xfId="30834"/>
    <cellStyle name="Normal 2 4 3 5 4" xfId="9735"/>
    <cellStyle name="Normal 2 4 3 5 5" xfId="18177"/>
    <cellStyle name="Normal 2 4 3 5 6" xfId="26617"/>
    <cellStyle name="Normal 2 4 3 6" xfId="1622"/>
    <cellStyle name="Normal 2 4 3 6 2" xfId="3852"/>
    <cellStyle name="Normal 2 4 3 6 2 2" xfId="8075"/>
    <cellStyle name="Normal 2 4 3 6 2 2 2" xfId="16511"/>
    <cellStyle name="Normal 2 4 3 6 2 2 3" xfId="24952"/>
    <cellStyle name="Normal 2 4 3 6 2 2 4" xfId="33392"/>
    <cellStyle name="Normal 2 4 3 6 2 3" xfId="12293"/>
    <cellStyle name="Normal 2 4 3 6 2 4" xfId="20735"/>
    <cellStyle name="Normal 2 4 3 6 2 5" xfId="29175"/>
    <cellStyle name="Normal 2 4 3 6 3" xfId="5930"/>
    <cellStyle name="Normal 2 4 3 6 3 2" xfId="14366"/>
    <cellStyle name="Normal 2 4 3 6 3 3" xfId="22807"/>
    <cellStyle name="Normal 2 4 3 6 3 4" xfId="31247"/>
    <cellStyle name="Normal 2 4 3 6 4" xfId="10148"/>
    <cellStyle name="Normal 2 4 3 6 5" xfId="18590"/>
    <cellStyle name="Normal 2 4 3 6 6" xfId="27030"/>
    <cellStyle name="Normal 2 4 3 7" xfId="2036"/>
    <cellStyle name="Normal 2 4 3 7 2" xfId="4265"/>
    <cellStyle name="Normal 2 4 3 7 2 2" xfId="8488"/>
    <cellStyle name="Normal 2 4 3 7 2 2 2" xfId="16924"/>
    <cellStyle name="Normal 2 4 3 7 2 2 3" xfId="25365"/>
    <cellStyle name="Normal 2 4 3 7 2 2 4" xfId="33805"/>
    <cellStyle name="Normal 2 4 3 7 2 3" xfId="12706"/>
    <cellStyle name="Normal 2 4 3 7 2 4" xfId="21148"/>
    <cellStyle name="Normal 2 4 3 7 2 5" xfId="29588"/>
    <cellStyle name="Normal 2 4 3 7 3" xfId="6343"/>
    <cellStyle name="Normal 2 4 3 7 3 2" xfId="14779"/>
    <cellStyle name="Normal 2 4 3 7 3 3" xfId="23220"/>
    <cellStyle name="Normal 2 4 3 7 3 4" xfId="31660"/>
    <cellStyle name="Normal 2 4 3 7 4" xfId="10561"/>
    <cellStyle name="Normal 2 4 3 7 5" xfId="19003"/>
    <cellStyle name="Normal 2 4 3 7 6" xfId="27443"/>
    <cellStyle name="Normal 2 4 3 8" xfId="2472"/>
    <cellStyle name="Normal 2 4 3 8 2" xfId="6756"/>
    <cellStyle name="Normal 2 4 3 8 2 2" xfId="15192"/>
    <cellStyle name="Normal 2 4 3 8 2 3" xfId="23633"/>
    <cellStyle name="Normal 2 4 3 8 2 4" xfId="32073"/>
    <cellStyle name="Normal 2 4 3 8 3" xfId="10974"/>
    <cellStyle name="Normal 2 4 3 8 4" xfId="19416"/>
    <cellStyle name="Normal 2 4 3 8 5" xfId="27856"/>
    <cellStyle name="Normal 2 4 3 9" xfId="4690"/>
    <cellStyle name="Normal 2 4 3 9 2" xfId="13126"/>
    <cellStyle name="Normal 2 4 3 9 3" xfId="21567"/>
    <cellStyle name="Normal 2 4 3 9 4" xfId="30007"/>
    <cellStyle name="Normal 2 4 4" xfId="302"/>
    <cellStyle name="Normal 2 4 5" xfId="303"/>
    <cellStyle name="Normal 2 4 5 10" xfId="4695"/>
    <cellStyle name="Normal 2 4 5 10 2" xfId="13131"/>
    <cellStyle name="Normal 2 4 5 10 3" xfId="21572"/>
    <cellStyle name="Normal 2 4 5 10 4" xfId="30012"/>
    <cellStyle name="Normal 2 4 5 11" xfId="8913"/>
    <cellStyle name="Normal 2 4 5 12" xfId="17355"/>
    <cellStyle name="Normal 2 4 5 13" xfId="25795"/>
    <cellStyle name="Normal 2 4 5 2" xfId="304"/>
    <cellStyle name="Normal 2 4 5 2 10" xfId="8914"/>
    <cellStyle name="Normal 2 4 5 2 11" xfId="17356"/>
    <cellStyle name="Normal 2 4 5 2 12" xfId="25796"/>
    <cellStyle name="Normal 2 4 5 2 2" xfId="305"/>
    <cellStyle name="Normal 2 4 5 2 2 10" xfId="17357"/>
    <cellStyle name="Normal 2 4 5 2 2 11" xfId="25797"/>
    <cellStyle name="Normal 2 4 5 2 2 2" xfId="306"/>
    <cellStyle name="Normal 2 4 5 2 2 2 10" xfId="25798"/>
    <cellStyle name="Normal 2 4 5 2 2 2 2" xfId="795"/>
    <cellStyle name="Normal 2 4 5 2 2 2 2 2" xfId="3034"/>
    <cellStyle name="Normal 2 4 5 2 2 2 2 2 2" xfId="7257"/>
    <cellStyle name="Normal 2 4 5 2 2 2 2 2 2 2" xfId="15693"/>
    <cellStyle name="Normal 2 4 5 2 2 2 2 2 2 3" xfId="24134"/>
    <cellStyle name="Normal 2 4 5 2 2 2 2 2 2 4" xfId="32574"/>
    <cellStyle name="Normal 2 4 5 2 2 2 2 2 3" xfId="11475"/>
    <cellStyle name="Normal 2 4 5 2 2 2 2 2 4" xfId="19917"/>
    <cellStyle name="Normal 2 4 5 2 2 2 2 2 5" xfId="28357"/>
    <cellStyle name="Normal 2 4 5 2 2 2 2 3" xfId="5112"/>
    <cellStyle name="Normal 2 4 5 2 2 2 2 3 2" xfId="13548"/>
    <cellStyle name="Normal 2 4 5 2 2 2 2 3 3" xfId="21989"/>
    <cellStyle name="Normal 2 4 5 2 2 2 2 3 4" xfId="30429"/>
    <cellStyle name="Normal 2 4 5 2 2 2 2 4" xfId="9330"/>
    <cellStyle name="Normal 2 4 5 2 2 2 2 5" xfId="17772"/>
    <cellStyle name="Normal 2 4 5 2 2 2 2 6" xfId="26212"/>
    <cellStyle name="Normal 2 4 5 2 2 2 3" xfId="1217"/>
    <cellStyle name="Normal 2 4 5 2 2 2 3 2" xfId="3447"/>
    <cellStyle name="Normal 2 4 5 2 2 2 3 2 2" xfId="7670"/>
    <cellStyle name="Normal 2 4 5 2 2 2 3 2 2 2" xfId="16106"/>
    <cellStyle name="Normal 2 4 5 2 2 2 3 2 2 3" xfId="24547"/>
    <cellStyle name="Normal 2 4 5 2 2 2 3 2 2 4" xfId="32987"/>
    <cellStyle name="Normal 2 4 5 2 2 2 3 2 3" xfId="11888"/>
    <cellStyle name="Normal 2 4 5 2 2 2 3 2 4" xfId="20330"/>
    <cellStyle name="Normal 2 4 5 2 2 2 3 2 5" xfId="28770"/>
    <cellStyle name="Normal 2 4 5 2 2 2 3 3" xfId="5525"/>
    <cellStyle name="Normal 2 4 5 2 2 2 3 3 2" xfId="13961"/>
    <cellStyle name="Normal 2 4 5 2 2 2 3 3 3" xfId="22402"/>
    <cellStyle name="Normal 2 4 5 2 2 2 3 3 4" xfId="30842"/>
    <cellStyle name="Normal 2 4 5 2 2 2 3 4" xfId="9743"/>
    <cellStyle name="Normal 2 4 5 2 2 2 3 5" xfId="18185"/>
    <cellStyle name="Normal 2 4 5 2 2 2 3 6" xfId="26625"/>
    <cellStyle name="Normal 2 4 5 2 2 2 4" xfId="1630"/>
    <cellStyle name="Normal 2 4 5 2 2 2 4 2" xfId="3860"/>
    <cellStyle name="Normal 2 4 5 2 2 2 4 2 2" xfId="8083"/>
    <cellStyle name="Normal 2 4 5 2 2 2 4 2 2 2" xfId="16519"/>
    <cellStyle name="Normal 2 4 5 2 2 2 4 2 2 3" xfId="24960"/>
    <cellStyle name="Normal 2 4 5 2 2 2 4 2 2 4" xfId="33400"/>
    <cellStyle name="Normal 2 4 5 2 2 2 4 2 3" xfId="12301"/>
    <cellStyle name="Normal 2 4 5 2 2 2 4 2 4" xfId="20743"/>
    <cellStyle name="Normal 2 4 5 2 2 2 4 2 5" xfId="29183"/>
    <cellStyle name="Normal 2 4 5 2 2 2 4 3" xfId="5938"/>
    <cellStyle name="Normal 2 4 5 2 2 2 4 3 2" xfId="14374"/>
    <cellStyle name="Normal 2 4 5 2 2 2 4 3 3" xfId="22815"/>
    <cellStyle name="Normal 2 4 5 2 2 2 4 3 4" xfId="31255"/>
    <cellStyle name="Normal 2 4 5 2 2 2 4 4" xfId="10156"/>
    <cellStyle name="Normal 2 4 5 2 2 2 4 5" xfId="18598"/>
    <cellStyle name="Normal 2 4 5 2 2 2 4 6" xfId="27038"/>
    <cellStyle name="Normal 2 4 5 2 2 2 5" xfId="2044"/>
    <cellStyle name="Normal 2 4 5 2 2 2 5 2" xfId="4273"/>
    <cellStyle name="Normal 2 4 5 2 2 2 5 2 2" xfId="8496"/>
    <cellStyle name="Normal 2 4 5 2 2 2 5 2 2 2" xfId="16932"/>
    <cellStyle name="Normal 2 4 5 2 2 2 5 2 2 3" xfId="25373"/>
    <cellStyle name="Normal 2 4 5 2 2 2 5 2 2 4" xfId="33813"/>
    <cellStyle name="Normal 2 4 5 2 2 2 5 2 3" xfId="12714"/>
    <cellStyle name="Normal 2 4 5 2 2 2 5 2 4" xfId="21156"/>
    <cellStyle name="Normal 2 4 5 2 2 2 5 2 5" xfId="29596"/>
    <cellStyle name="Normal 2 4 5 2 2 2 5 3" xfId="6351"/>
    <cellStyle name="Normal 2 4 5 2 2 2 5 3 2" xfId="14787"/>
    <cellStyle name="Normal 2 4 5 2 2 2 5 3 3" xfId="23228"/>
    <cellStyle name="Normal 2 4 5 2 2 2 5 3 4" xfId="31668"/>
    <cellStyle name="Normal 2 4 5 2 2 2 5 4" xfId="10569"/>
    <cellStyle name="Normal 2 4 5 2 2 2 5 5" xfId="19011"/>
    <cellStyle name="Normal 2 4 5 2 2 2 5 6" xfId="27451"/>
    <cellStyle name="Normal 2 4 5 2 2 2 6" xfId="2480"/>
    <cellStyle name="Normal 2 4 5 2 2 2 6 2" xfId="6764"/>
    <cellStyle name="Normal 2 4 5 2 2 2 6 2 2" xfId="15200"/>
    <cellStyle name="Normal 2 4 5 2 2 2 6 2 3" xfId="23641"/>
    <cellStyle name="Normal 2 4 5 2 2 2 6 2 4" xfId="32081"/>
    <cellStyle name="Normal 2 4 5 2 2 2 6 3" xfId="10982"/>
    <cellStyle name="Normal 2 4 5 2 2 2 6 4" xfId="19424"/>
    <cellStyle name="Normal 2 4 5 2 2 2 6 5" xfId="27864"/>
    <cellStyle name="Normal 2 4 5 2 2 2 7" xfId="4698"/>
    <cellStyle name="Normal 2 4 5 2 2 2 7 2" xfId="13134"/>
    <cellStyle name="Normal 2 4 5 2 2 2 7 3" xfId="21575"/>
    <cellStyle name="Normal 2 4 5 2 2 2 7 4" xfId="30015"/>
    <cellStyle name="Normal 2 4 5 2 2 2 8" xfId="8916"/>
    <cellStyle name="Normal 2 4 5 2 2 2 9" xfId="17358"/>
    <cellStyle name="Normal 2 4 5 2 2 3" xfId="794"/>
    <cellStyle name="Normal 2 4 5 2 2 3 2" xfId="3033"/>
    <cellStyle name="Normal 2 4 5 2 2 3 2 2" xfId="7256"/>
    <cellStyle name="Normal 2 4 5 2 2 3 2 2 2" xfId="15692"/>
    <cellStyle name="Normal 2 4 5 2 2 3 2 2 3" xfId="24133"/>
    <cellStyle name="Normal 2 4 5 2 2 3 2 2 4" xfId="32573"/>
    <cellStyle name="Normal 2 4 5 2 2 3 2 3" xfId="11474"/>
    <cellStyle name="Normal 2 4 5 2 2 3 2 4" xfId="19916"/>
    <cellStyle name="Normal 2 4 5 2 2 3 2 5" xfId="28356"/>
    <cellStyle name="Normal 2 4 5 2 2 3 3" xfId="5111"/>
    <cellStyle name="Normal 2 4 5 2 2 3 3 2" xfId="13547"/>
    <cellStyle name="Normal 2 4 5 2 2 3 3 3" xfId="21988"/>
    <cellStyle name="Normal 2 4 5 2 2 3 3 4" xfId="30428"/>
    <cellStyle name="Normal 2 4 5 2 2 3 4" xfId="9329"/>
    <cellStyle name="Normal 2 4 5 2 2 3 5" xfId="17771"/>
    <cellStyle name="Normal 2 4 5 2 2 3 6" xfId="26211"/>
    <cellStyle name="Normal 2 4 5 2 2 4" xfId="1216"/>
    <cellStyle name="Normal 2 4 5 2 2 4 2" xfId="3446"/>
    <cellStyle name="Normal 2 4 5 2 2 4 2 2" xfId="7669"/>
    <cellStyle name="Normal 2 4 5 2 2 4 2 2 2" xfId="16105"/>
    <cellStyle name="Normal 2 4 5 2 2 4 2 2 3" xfId="24546"/>
    <cellStyle name="Normal 2 4 5 2 2 4 2 2 4" xfId="32986"/>
    <cellStyle name="Normal 2 4 5 2 2 4 2 3" xfId="11887"/>
    <cellStyle name="Normal 2 4 5 2 2 4 2 4" xfId="20329"/>
    <cellStyle name="Normal 2 4 5 2 2 4 2 5" xfId="28769"/>
    <cellStyle name="Normal 2 4 5 2 2 4 3" xfId="5524"/>
    <cellStyle name="Normal 2 4 5 2 2 4 3 2" xfId="13960"/>
    <cellStyle name="Normal 2 4 5 2 2 4 3 3" xfId="22401"/>
    <cellStyle name="Normal 2 4 5 2 2 4 3 4" xfId="30841"/>
    <cellStyle name="Normal 2 4 5 2 2 4 4" xfId="9742"/>
    <cellStyle name="Normal 2 4 5 2 2 4 5" xfId="18184"/>
    <cellStyle name="Normal 2 4 5 2 2 4 6" xfId="26624"/>
    <cellStyle name="Normal 2 4 5 2 2 5" xfId="1629"/>
    <cellStyle name="Normal 2 4 5 2 2 5 2" xfId="3859"/>
    <cellStyle name="Normal 2 4 5 2 2 5 2 2" xfId="8082"/>
    <cellStyle name="Normal 2 4 5 2 2 5 2 2 2" xfId="16518"/>
    <cellStyle name="Normal 2 4 5 2 2 5 2 2 3" xfId="24959"/>
    <cellStyle name="Normal 2 4 5 2 2 5 2 2 4" xfId="33399"/>
    <cellStyle name="Normal 2 4 5 2 2 5 2 3" xfId="12300"/>
    <cellStyle name="Normal 2 4 5 2 2 5 2 4" xfId="20742"/>
    <cellStyle name="Normal 2 4 5 2 2 5 2 5" xfId="29182"/>
    <cellStyle name="Normal 2 4 5 2 2 5 3" xfId="5937"/>
    <cellStyle name="Normal 2 4 5 2 2 5 3 2" xfId="14373"/>
    <cellStyle name="Normal 2 4 5 2 2 5 3 3" xfId="22814"/>
    <cellStyle name="Normal 2 4 5 2 2 5 3 4" xfId="31254"/>
    <cellStyle name="Normal 2 4 5 2 2 5 4" xfId="10155"/>
    <cellStyle name="Normal 2 4 5 2 2 5 5" xfId="18597"/>
    <cellStyle name="Normal 2 4 5 2 2 5 6" xfId="27037"/>
    <cellStyle name="Normal 2 4 5 2 2 6" xfId="2043"/>
    <cellStyle name="Normal 2 4 5 2 2 6 2" xfId="4272"/>
    <cellStyle name="Normal 2 4 5 2 2 6 2 2" xfId="8495"/>
    <cellStyle name="Normal 2 4 5 2 2 6 2 2 2" xfId="16931"/>
    <cellStyle name="Normal 2 4 5 2 2 6 2 2 3" xfId="25372"/>
    <cellStyle name="Normal 2 4 5 2 2 6 2 2 4" xfId="33812"/>
    <cellStyle name="Normal 2 4 5 2 2 6 2 3" xfId="12713"/>
    <cellStyle name="Normal 2 4 5 2 2 6 2 4" xfId="21155"/>
    <cellStyle name="Normal 2 4 5 2 2 6 2 5" xfId="29595"/>
    <cellStyle name="Normal 2 4 5 2 2 6 3" xfId="6350"/>
    <cellStyle name="Normal 2 4 5 2 2 6 3 2" xfId="14786"/>
    <cellStyle name="Normal 2 4 5 2 2 6 3 3" xfId="23227"/>
    <cellStyle name="Normal 2 4 5 2 2 6 3 4" xfId="31667"/>
    <cellStyle name="Normal 2 4 5 2 2 6 4" xfId="10568"/>
    <cellStyle name="Normal 2 4 5 2 2 6 5" xfId="19010"/>
    <cellStyle name="Normal 2 4 5 2 2 6 6" xfId="27450"/>
    <cellStyle name="Normal 2 4 5 2 2 7" xfId="2479"/>
    <cellStyle name="Normal 2 4 5 2 2 7 2" xfId="6763"/>
    <cellStyle name="Normal 2 4 5 2 2 7 2 2" xfId="15199"/>
    <cellStyle name="Normal 2 4 5 2 2 7 2 3" xfId="23640"/>
    <cellStyle name="Normal 2 4 5 2 2 7 2 4" xfId="32080"/>
    <cellStyle name="Normal 2 4 5 2 2 7 3" xfId="10981"/>
    <cellStyle name="Normal 2 4 5 2 2 7 4" xfId="19423"/>
    <cellStyle name="Normal 2 4 5 2 2 7 5" xfId="27863"/>
    <cellStyle name="Normal 2 4 5 2 2 8" xfId="4697"/>
    <cellStyle name="Normal 2 4 5 2 2 8 2" xfId="13133"/>
    <cellStyle name="Normal 2 4 5 2 2 8 3" xfId="21574"/>
    <cellStyle name="Normal 2 4 5 2 2 8 4" xfId="30014"/>
    <cellStyle name="Normal 2 4 5 2 2 9" xfId="8915"/>
    <cellStyle name="Normal 2 4 5 2 3" xfId="307"/>
    <cellStyle name="Normal 2 4 5 2 3 10" xfId="25799"/>
    <cellStyle name="Normal 2 4 5 2 3 2" xfId="796"/>
    <cellStyle name="Normal 2 4 5 2 3 2 2" xfId="3035"/>
    <cellStyle name="Normal 2 4 5 2 3 2 2 2" xfId="7258"/>
    <cellStyle name="Normal 2 4 5 2 3 2 2 2 2" xfId="15694"/>
    <cellStyle name="Normal 2 4 5 2 3 2 2 2 3" xfId="24135"/>
    <cellStyle name="Normal 2 4 5 2 3 2 2 2 4" xfId="32575"/>
    <cellStyle name="Normal 2 4 5 2 3 2 2 3" xfId="11476"/>
    <cellStyle name="Normal 2 4 5 2 3 2 2 4" xfId="19918"/>
    <cellStyle name="Normal 2 4 5 2 3 2 2 5" xfId="28358"/>
    <cellStyle name="Normal 2 4 5 2 3 2 3" xfId="5113"/>
    <cellStyle name="Normal 2 4 5 2 3 2 3 2" xfId="13549"/>
    <cellStyle name="Normal 2 4 5 2 3 2 3 3" xfId="21990"/>
    <cellStyle name="Normal 2 4 5 2 3 2 3 4" xfId="30430"/>
    <cellStyle name="Normal 2 4 5 2 3 2 4" xfId="9331"/>
    <cellStyle name="Normal 2 4 5 2 3 2 5" xfId="17773"/>
    <cellStyle name="Normal 2 4 5 2 3 2 6" xfId="26213"/>
    <cellStyle name="Normal 2 4 5 2 3 3" xfId="1218"/>
    <cellStyle name="Normal 2 4 5 2 3 3 2" xfId="3448"/>
    <cellStyle name="Normal 2 4 5 2 3 3 2 2" xfId="7671"/>
    <cellStyle name="Normal 2 4 5 2 3 3 2 2 2" xfId="16107"/>
    <cellStyle name="Normal 2 4 5 2 3 3 2 2 3" xfId="24548"/>
    <cellStyle name="Normal 2 4 5 2 3 3 2 2 4" xfId="32988"/>
    <cellStyle name="Normal 2 4 5 2 3 3 2 3" xfId="11889"/>
    <cellStyle name="Normal 2 4 5 2 3 3 2 4" xfId="20331"/>
    <cellStyle name="Normal 2 4 5 2 3 3 2 5" xfId="28771"/>
    <cellStyle name="Normal 2 4 5 2 3 3 3" xfId="5526"/>
    <cellStyle name="Normal 2 4 5 2 3 3 3 2" xfId="13962"/>
    <cellStyle name="Normal 2 4 5 2 3 3 3 3" xfId="22403"/>
    <cellStyle name="Normal 2 4 5 2 3 3 3 4" xfId="30843"/>
    <cellStyle name="Normal 2 4 5 2 3 3 4" xfId="9744"/>
    <cellStyle name="Normal 2 4 5 2 3 3 5" xfId="18186"/>
    <cellStyle name="Normal 2 4 5 2 3 3 6" xfId="26626"/>
    <cellStyle name="Normal 2 4 5 2 3 4" xfId="1631"/>
    <cellStyle name="Normal 2 4 5 2 3 4 2" xfId="3861"/>
    <cellStyle name="Normal 2 4 5 2 3 4 2 2" xfId="8084"/>
    <cellStyle name="Normal 2 4 5 2 3 4 2 2 2" xfId="16520"/>
    <cellStyle name="Normal 2 4 5 2 3 4 2 2 3" xfId="24961"/>
    <cellStyle name="Normal 2 4 5 2 3 4 2 2 4" xfId="33401"/>
    <cellStyle name="Normal 2 4 5 2 3 4 2 3" xfId="12302"/>
    <cellStyle name="Normal 2 4 5 2 3 4 2 4" xfId="20744"/>
    <cellStyle name="Normal 2 4 5 2 3 4 2 5" xfId="29184"/>
    <cellStyle name="Normal 2 4 5 2 3 4 3" xfId="5939"/>
    <cellStyle name="Normal 2 4 5 2 3 4 3 2" xfId="14375"/>
    <cellStyle name="Normal 2 4 5 2 3 4 3 3" xfId="22816"/>
    <cellStyle name="Normal 2 4 5 2 3 4 3 4" xfId="31256"/>
    <cellStyle name="Normal 2 4 5 2 3 4 4" xfId="10157"/>
    <cellStyle name="Normal 2 4 5 2 3 4 5" xfId="18599"/>
    <cellStyle name="Normal 2 4 5 2 3 4 6" xfId="27039"/>
    <cellStyle name="Normal 2 4 5 2 3 5" xfId="2045"/>
    <cellStyle name="Normal 2 4 5 2 3 5 2" xfId="4274"/>
    <cellStyle name="Normal 2 4 5 2 3 5 2 2" xfId="8497"/>
    <cellStyle name="Normal 2 4 5 2 3 5 2 2 2" xfId="16933"/>
    <cellStyle name="Normal 2 4 5 2 3 5 2 2 3" xfId="25374"/>
    <cellStyle name="Normal 2 4 5 2 3 5 2 2 4" xfId="33814"/>
    <cellStyle name="Normal 2 4 5 2 3 5 2 3" xfId="12715"/>
    <cellStyle name="Normal 2 4 5 2 3 5 2 4" xfId="21157"/>
    <cellStyle name="Normal 2 4 5 2 3 5 2 5" xfId="29597"/>
    <cellStyle name="Normal 2 4 5 2 3 5 3" xfId="6352"/>
    <cellStyle name="Normal 2 4 5 2 3 5 3 2" xfId="14788"/>
    <cellStyle name="Normal 2 4 5 2 3 5 3 3" xfId="23229"/>
    <cellStyle name="Normal 2 4 5 2 3 5 3 4" xfId="31669"/>
    <cellStyle name="Normal 2 4 5 2 3 5 4" xfId="10570"/>
    <cellStyle name="Normal 2 4 5 2 3 5 5" xfId="19012"/>
    <cellStyle name="Normal 2 4 5 2 3 5 6" xfId="27452"/>
    <cellStyle name="Normal 2 4 5 2 3 6" xfId="2481"/>
    <cellStyle name="Normal 2 4 5 2 3 6 2" xfId="6765"/>
    <cellStyle name="Normal 2 4 5 2 3 6 2 2" xfId="15201"/>
    <cellStyle name="Normal 2 4 5 2 3 6 2 3" xfId="23642"/>
    <cellStyle name="Normal 2 4 5 2 3 6 2 4" xfId="32082"/>
    <cellStyle name="Normal 2 4 5 2 3 6 3" xfId="10983"/>
    <cellStyle name="Normal 2 4 5 2 3 6 4" xfId="19425"/>
    <cellStyle name="Normal 2 4 5 2 3 6 5" xfId="27865"/>
    <cellStyle name="Normal 2 4 5 2 3 7" xfId="4699"/>
    <cellStyle name="Normal 2 4 5 2 3 7 2" xfId="13135"/>
    <cellStyle name="Normal 2 4 5 2 3 7 3" xfId="21576"/>
    <cellStyle name="Normal 2 4 5 2 3 7 4" xfId="30016"/>
    <cellStyle name="Normal 2 4 5 2 3 8" xfId="8917"/>
    <cellStyle name="Normal 2 4 5 2 3 9" xfId="17359"/>
    <cellStyle name="Normal 2 4 5 2 4" xfId="793"/>
    <cellStyle name="Normal 2 4 5 2 4 2" xfId="3032"/>
    <cellStyle name="Normal 2 4 5 2 4 2 2" xfId="7255"/>
    <cellStyle name="Normal 2 4 5 2 4 2 2 2" xfId="15691"/>
    <cellStyle name="Normal 2 4 5 2 4 2 2 3" xfId="24132"/>
    <cellStyle name="Normal 2 4 5 2 4 2 2 4" xfId="32572"/>
    <cellStyle name="Normal 2 4 5 2 4 2 3" xfId="11473"/>
    <cellStyle name="Normal 2 4 5 2 4 2 4" xfId="19915"/>
    <cellStyle name="Normal 2 4 5 2 4 2 5" xfId="28355"/>
    <cellStyle name="Normal 2 4 5 2 4 3" xfId="5110"/>
    <cellStyle name="Normal 2 4 5 2 4 3 2" xfId="13546"/>
    <cellStyle name="Normal 2 4 5 2 4 3 3" xfId="21987"/>
    <cellStyle name="Normal 2 4 5 2 4 3 4" xfId="30427"/>
    <cellStyle name="Normal 2 4 5 2 4 4" xfId="9328"/>
    <cellStyle name="Normal 2 4 5 2 4 5" xfId="17770"/>
    <cellStyle name="Normal 2 4 5 2 4 6" xfId="26210"/>
    <cellStyle name="Normal 2 4 5 2 5" xfId="1215"/>
    <cellStyle name="Normal 2 4 5 2 5 2" xfId="3445"/>
    <cellStyle name="Normal 2 4 5 2 5 2 2" xfId="7668"/>
    <cellStyle name="Normal 2 4 5 2 5 2 2 2" xfId="16104"/>
    <cellStyle name="Normal 2 4 5 2 5 2 2 3" xfId="24545"/>
    <cellStyle name="Normal 2 4 5 2 5 2 2 4" xfId="32985"/>
    <cellStyle name="Normal 2 4 5 2 5 2 3" xfId="11886"/>
    <cellStyle name="Normal 2 4 5 2 5 2 4" xfId="20328"/>
    <cellStyle name="Normal 2 4 5 2 5 2 5" xfId="28768"/>
    <cellStyle name="Normal 2 4 5 2 5 3" xfId="5523"/>
    <cellStyle name="Normal 2 4 5 2 5 3 2" xfId="13959"/>
    <cellStyle name="Normal 2 4 5 2 5 3 3" xfId="22400"/>
    <cellStyle name="Normal 2 4 5 2 5 3 4" xfId="30840"/>
    <cellStyle name="Normal 2 4 5 2 5 4" xfId="9741"/>
    <cellStyle name="Normal 2 4 5 2 5 5" xfId="18183"/>
    <cellStyle name="Normal 2 4 5 2 5 6" xfId="26623"/>
    <cellStyle name="Normal 2 4 5 2 6" xfId="1628"/>
    <cellStyle name="Normal 2 4 5 2 6 2" xfId="3858"/>
    <cellStyle name="Normal 2 4 5 2 6 2 2" xfId="8081"/>
    <cellStyle name="Normal 2 4 5 2 6 2 2 2" xfId="16517"/>
    <cellStyle name="Normal 2 4 5 2 6 2 2 3" xfId="24958"/>
    <cellStyle name="Normal 2 4 5 2 6 2 2 4" xfId="33398"/>
    <cellStyle name="Normal 2 4 5 2 6 2 3" xfId="12299"/>
    <cellStyle name="Normal 2 4 5 2 6 2 4" xfId="20741"/>
    <cellStyle name="Normal 2 4 5 2 6 2 5" xfId="29181"/>
    <cellStyle name="Normal 2 4 5 2 6 3" xfId="5936"/>
    <cellStyle name="Normal 2 4 5 2 6 3 2" xfId="14372"/>
    <cellStyle name="Normal 2 4 5 2 6 3 3" xfId="22813"/>
    <cellStyle name="Normal 2 4 5 2 6 3 4" xfId="31253"/>
    <cellStyle name="Normal 2 4 5 2 6 4" xfId="10154"/>
    <cellStyle name="Normal 2 4 5 2 6 5" xfId="18596"/>
    <cellStyle name="Normal 2 4 5 2 6 6" xfId="27036"/>
    <cellStyle name="Normal 2 4 5 2 7" xfId="2042"/>
    <cellStyle name="Normal 2 4 5 2 7 2" xfId="4271"/>
    <cellStyle name="Normal 2 4 5 2 7 2 2" xfId="8494"/>
    <cellStyle name="Normal 2 4 5 2 7 2 2 2" xfId="16930"/>
    <cellStyle name="Normal 2 4 5 2 7 2 2 3" xfId="25371"/>
    <cellStyle name="Normal 2 4 5 2 7 2 2 4" xfId="33811"/>
    <cellStyle name="Normal 2 4 5 2 7 2 3" xfId="12712"/>
    <cellStyle name="Normal 2 4 5 2 7 2 4" xfId="21154"/>
    <cellStyle name="Normal 2 4 5 2 7 2 5" xfId="29594"/>
    <cellStyle name="Normal 2 4 5 2 7 3" xfId="6349"/>
    <cellStyle name="Normal 2 4 5 2 7 3 2" xfId="14785"/>
    <cellStyle name="Normal 2 4 5 2 7 3 3" xfId="23226"/>
    <cellStyle name="Normal 2 4 5 2 7 3 4" xfId="31666"/>
    <cellStyle name="Normal 2 4 5 2 7 4" xfId="10567"/>
    <cellStyle name="Normal 2 4 5 2 7 5" xfId="19009"/>
    <cellStyle name="Normal 2 4 5 2 7 6" xfId="27449"/>
    <cellStyle name="Normal 2 4 5 2 8" xfId="2478"/>
    <cellStyle name="Normal 2 4 5 2 8 2" xfId="6762"/>
    <cellStyle name="Normal 2 4 5 2 8 2 2" xfId="15198"/>
    <cellStyle name="Normal 2 4 5 2 8 2 3" xfId="23639"/>
    <cellStyle name="Normal 2 4 5 2 8 2 4" xfId="32079"/>
    <cellStyle name="Normal 2 4 5 2 8 3" xfId="10980"/>
    <cellStyle name="Normal 2 4 5 2 8 4" xfId="19422"/>
    <cellStyle name="Normal 2 4 5 2 8 5" xfId="27862"/>
    <cellStyle name="Normal 2 4 5 2 9" xfId="4696"/>
    <cellStyle name="Normal 2 4 5 2 9 2" xfId="13132"/>
    <cellStyle name="Normal 2 4 5 2 9 3" xfId="21573"/>
    <cellStyle name="Normal 2 4 5 2 9 4" xfId="30013"/>
    <cellStyle name="Normal 2 4 5 3" xfId="308"/>
    <cellStyle name="Normal 2 4 5 3 10" xfId="17360"/>
    <cellStyle name="Normal 2 4 5 3 11" xfId="25800"/>
    <cellStyle name="Normal 2 4 5 3 2" xfId="309"/>
    <cellStyle name="Normal 2 4 5 3 2 10" xfId="25801"/>
    <cellStyle name="Normal 2 4 5 3 2 2" xfId="798"/>
    <cellStyle name="Normal 2 4 5 3 2 2 2" xfId="3037"/>
    <cellStyle name="Normal 2 4 5 3 2 2 2 2" xfId="7260"/>
    <cellStyle name="Normal 2 4 5 3 2 2 2 2 2" xfId="15696"/>
    <cellStyle name="Normal 2 4 5 3 2 2 2 2 3" xfId="24137"/>
    <cellStyle name="Normal 2 4 5 3 2 2 2 2 4" xfId="32577"/>
    <cellStyle name="Normal 2 4 5 3 2 2 2 3" xfId="11478"/>
    <cellStyle name="Normal 2 4 5 3 2 2 2 4" xfId="19920"/>
    <cellStyle name="Normal 2 4 5 3 2 2 2 5" xfId="28360"/>
    <cellStyle name="Normal 2 4 5 3 2 2 3" xfId="5115"/>
    <cellStyle name="Normal 2 4 5 3 2 2 3 2" xfId="13551"/>
    <cellStyle name="Normal 2 4 5 3 2 2 3 3" xfId="21992"/>
    <cellStyle name="Normal 2 4 5 3 2 2 3 4" xfId="30432"/>
    <cellStyle name="Normal 2 4 5 3 2 2 4" xfId="9333"/>
    <cellStyle name="Normal 2 4 5 3 2 2 5" xfId="17775"/>
    <cellStyle name="Normal 2 4 5 3 2 2 6" xfId="26215"/>
    <cellStyle name="Normal 2 4 5 3 2 3" xfId="1220"/>
    <cellStyle name="Normal 2 4 5 3 2 3 2" xfId="3450"/>
    <cellStyle name="Normal 2 4 5 3 2 3 2 2" xfId="7673"/>
    <cellStyle name="Normal 2 4 5 3 2 3 2 2 2" xfId="16109"/>
    <cellStyle name="Normal 2 4 5 3 2 3 2 2 3" xfId="24550"/>
    <cellStyle name="Normal 2 4 5 3 2 3 2 2 4" xfId="32990"/>
    <cellStyle name="Normal 2 4 5 3 2 3 2 3" xfId="11891"/>
    <cellStyle name="Normal 2 4 5 3 2 3 2 4" xfId="20333"/>
    <cellStyle name="Normal 2 4 5 3 2 3 2 5" xfId="28773"/>
    <cellStyle name="Normal 2 4 5 3 2 3 3" xfId="5528"/>
    <cellStyle name="Normal 2 4 5 3 2 3 3 2" xfId="13964"/>
    <cellStyle name="Normal 2 4 5 3 2 3 3 3" xfId="22405"/>
    <cellStyle name="Normal 2 4 5 3 2 3 3 4" xfId="30845"/>
    <cellStyle name="Normal 2 4 5 3 2 3 4" xfId="9746"/>
    <cellStyle name="Normal 2 4 5 3 2 3 5" xfId="18188"/>
    <cellStyle name="Normal 2 4 5 3 2 3 6" xfId="26628"/>
    <cellStyle name="Normal 2 4 5 3 2 4" xfId="1633"/>
    <cellStyle name="Normal 2 4 5 3 2 4 2" xfId="3863"/>
    <cellStyle name="Normal 2 4 5 3 2 4 2 2" xfId="8086"/>
    <cellStyle name="Normal 2 4 5 3 2 4 2 2 2" xfId="16522"/>
    <cellStyle name="Normal 2 4 5 3 2 4 2 2 3" xfId="24963"/>
    <cellStyle name="Normal 2 4 5 3 2 4 2 2 4" xfId="33403"/>
    <cellStyle name="Normal 2 4 5 3 2 4 2 3" xfId="12304"/>
    <cellStyle name="Normal 2 4 5 3 2 4 2 4" xfId="20746"/>
    <cellStyle name="Normal 2 4 5 3 2 4 2 5" xfId="29186"/>
    <cellStyle name="Normal 2 4 5 3 2 4 3" xfId="5941"/>
    <cellStyle name="Normal 2 4 5 3 2 4 3 2" xfId="14377"/>
    <cellStyle name="Normal 2 4 5 3 2 4 3 3" xfId="22818"/>
    <cellStyle name="Normal 2 4 5 3 2 4 3 4" xfId="31258"/>
    <cellStyle name="Normal 2 4 5 3 2 4 4" xfId="10159"/>
    <cellStyle name="Normal 2 4 5 3 2 4 5" xfId="18601"/>
    <cellStyle name="Normal 2 4 5 3 2 4 6" xfId="27041"/>
    <cellStyle name="Normal 2 4 5 3 2 5" xfId="2047"/>
    <cellStyle name="Normal 2 4 5 3 2 5 2" xfId="4276"/>
    <cellStyle name="Normal 2 4 5 3 2 5 2 2" xfId="8499"/>
    <cellStyle name="Normal 2 4 5 3 2 5 2 2 2" xfId="16935"/>
    <cellStyle name="Normal 2 4 5 3 2 5 2 2 3" xfId="25376"/>
    <cellStyle name="Normal 2 4 5 3 2 5 2 2 4" xfId="33816"/>
    <cellStyle name="Normal 2 4 5 3 2 5 2 3" xfId="12717"/>
    <cellStyle name="Normal 2 4 5 3 2 5 2 4" xfId="21159"/>
    <cellStyle name="Normal 2 4 5 3 2 5 2 5" xfId="29599"/>
    <cellStyle name="Normal 2 4 5 3 2 5 3" xfId="6354"/>
    <cellStyle name="Normal 2 4 5 3 2 5 3 2" xfId="14790"/>
    <cellStyle name="Normal 2 4 5 3 2 5 3 3" xfId="23231"/>
    <cellStyle name="Normal 2 4 5 3 2 5 3 4" xfId="31671"/>
    <cellStyle name="Normal 2 4 5 3 2 5 4" xfId="10572"/>
    <cellStyle name="Normal 2 4 5 3 2 5 5" xfId="19014"/>
    <cellStyle name="Normal 2 4 5 3 2 5 6" xfId="27454"/>
    <cellStyle name="Normal 2 4 5 3 2 6" xfId="2483"/>
    <cellStyle name="Normal 2 4 5 3 2 6 2" xfId="6767"/>
    <cellStyle name="Normal 2 4 5 3 2 6 2 2" xfId="15203"/>
    <cellStyle name="Normal 2 4 5 3 2 6 2 3" xfId="23644"/>
    <cellStyle name="Normal 2 4 5 3 2 6 2 4" xfId="32084"/>
    <cellStyle name="Normal 2 4 5 3 2 6 3" xfId="10985"/>
    <cellStyle name="Normal 2 4 5 3 2 6 4" xfId="19427"/>
    <cellStyle name="Normal 2 4 5 3 2 6 5" xfId="27867"/>
    <cellStyle name="Normal 2 4 5 3 2 7" xfId="4701"/>
    <cellStyle name="Normal 2 4 5 3 2 7 2" xfId="13137"/>
    <cellStyle name="Normal 2 4 5 3 2 7 3" xfId="21578"/>
    <cellStyle name="Normal 2 4 5 3 2 7 4" xfId="30018"/>
    <cellStyle name="Normal 2 4 5 3 2 8" xfId="8919"/>
    <cellStyle name="Normal 2 4 5 3 2 9" xfId="17361"/>
    <cellStyle name="Normal 2 4 5 3 3" xfId="797"/>
    <cellStyle name="Normal 2 4 5 3 3 2" xfId="3036"/>
    <cellStyle name="Normal 2 4 5 3 3 2 2" xfId="7259"/>
    <cellStyle name="Normal 2 4 5 3 3 2 2 2" xfId="15695"/>
    <cellStyle name="Normal 2 4 5 3 3 2 2 3" xfId="24136"/>
    <cellStyle name="Normal 2 4 5 3 3 2 2 4" xfId="32576"/>
    <cellStyle name="Normal 2 4 5 3 3 2 3" xfId="11477"/>
    <cellStyle name="Normal 2 4 5 3 3 2 4" xfId="19919"/>
    <cellStyle name="Normal 2 4 5 3 3 2 5" xfId="28359"/>
    <cellStyle name="Normal 2 4 5 3 3 3" xfId="5114"/>
    <cellStyle name="Normal 2 4 5 3 3 3 2" xfId="13550"/>
    <cellStyle name="Normal 2 4 5 3 3 3 3" xfId="21991"/>
    <cellStyle name="Normal 2 4 5 3 3 3 4" xfId="30431"/>
    <cellStyle name="Normal 2 4 5 3 3 4" xfId="9332"/>
    <cellStyle name="Normal 2 4 5 3 3 5" xfId="17774"/>
    <cellStyle name="Normal 2 4 5 3 3 6" xfId="26214"/>
    <cellStyle name="Normal 2 4 5 3 4" xfId="1219"/>
    <cellStyle name="Normal 2 4 5 3 4 2" xfId="3449"/>
    <cellStyle name="Normal 2 4 5 3 4 2 2" xfId="7672"/>
    <cellStyle name="Normal 2 4 5 3 4 2 2 2" xfId="16108"/>
    <cellStyle name="Normal 2 4 5 3 4 2 2 3" xfId="24549"/>
    <cellStyle name="Normal 2 4 5 3 4 2 2 4" xfId="32989"/>
    <cellStyle name="Normal 2 4 5 3 4 2 3" xfId="11890"/>
    <cellStyle name="Normal 2 4 5 3 4 2 4" xfId="20332"/>
    <cellStyle name="Normal 2 4 5 3 4 2 5" xfId="28772"/>
    <cellStyle name="Normal 2 4 5 3 4 3" xfId="5527"/>
    <cellStyle name="Normal 2 4 5 3 4 3 2" xfId="13963"/>
    <cellStyle name="Normal 2 4 5 3 4 3 3" xfId="22404"/>
    <cellStyle name="Normal 2 4 5 3 4 3 4" xfId="30844"/>
    <cellStyle name="Normal 2 4 5 3 4 4" xfId="9745"/>
    <cellStyle name="Normal 2 4 5 3 4 5" xfId="18187"/>
    <cellStyle name="Normal 2 4 5 3 4 6" xfId="26627"/>
    <cellStyle name="Normal 2 4 5 3 5" xfId="1632"/>
    <cellStyle name="Normal 2 4 5 3 5 2" xfId="3862"/>
    <cellStyle name="Normal 2 4 5 3 5 2 2" xfId="8085"/>
    <cellStyle name="Normal 2 4 5 3 5 2 2 2" xfId="16521"/>
    <cellStyle name="Normal 2 4 5 3 5 2 2 3" xfId="24962"/>
    <cellStyle name="Normal 2 4 5 3 5 2 2 4" xfId="33402"/>
    <cellStyle name="Normal 2 4 5 3 5 2 3" xfId="12303"/>
    <cellStyle name="Normal 2 4 5 3 5 2 4" xfId="20745"/>
    <cellStyle name="Normal 2 4 5 3 5 2 5" xfId="29185"/>
    <cellStyle name="Normal 2 4 5 3 5 3" xfId="5940"/>
    <cellStyle name="Normal 2 4 5 3 5 3 2" xfId="14376"/>
    <cellStyle name="Normal 2 4 5 3 5 3 3" xfId="22817"/>
    <cellStyle name="Normal 2 4 5 3 5 3 4" xfId="31257"/>
    <cellStyle name="Normal 2 4 5 3 5 4" xfId="10158"/>
    <cellStyle name="Normal 2 4 5 3 5 5" xfId="18600"/>
    <cellStyle name="Normal 2 4 5 3 5 6" xfId="27040"/>
    <cellStyle name="Normal 2 4 5 3 6" xfId="2046"/>
    <cellStyle name="Normal 2 4 5 3 6 2" xfId="4275"/>
    <cellStyle name="Normal 2 4 5 3 6 2 2" xfId="8498"/>
    <cellStyle name="Normal 2 4 5 3 6 2 2 2" xfId="16934"/>
    <cellStyle name="Normal 2 4 5 3 6 2 2 3" xfId="25375"/>
    <cellStyle name="Normal 2 4 5 3 6 2 2 4" xfId="33815"/>
    <cellStyle name="Normal 2 4 5 3 6 2 3" xfId="12716"/>
    <cellStyle name="Normal 2 4 5 3 6 2 4" xfId="21158"/>
    <cellStyle name="Normal 2 4 5 3 6 2 5" xfId="29598"/>
    <cellStyle name="Normal 2 4 5 3 6 3" xfId="6353"/>
    <cellStyle name="Normal 2 4 5 3 6 3 2" xfId="14789"/>
    <cellStyle name="Normal 2 4 5 3 6 3 3" xfId="23230"/>
    <cellStyle name="Normal 2 4 5 3 6 3 4" xfId="31670"/>
    <cellStyle name="Normal 2 4 5 3 6 4" xfId="10571"/>
    <cellStyle name="Normal 2 4 5 3 6 5" xfId="19013"/>
    <cellStyle name="Normal 2 4 5 3 6 6" xfId="27453"/>
    <cellStyle name="Normal 2 4 5 3 7" xfId="2482"/>
    <cellStyle name="Normal 2 4 5 3 7 2" xfId="6766"/>
    <cellStyle name="Normal 2 4 5 3 7 2 2" xfId="15202"/>
    <cellStyle name="Normal 2 4 5 3 7 2 3" xfId="23643"/>
    <cellStyle name="Normal 2 4 5 3 7 2 4" xfId="32083"/>
    <cellStyle name="Normal 2 4 5 3 7 3" xfId="10984"/>
    <cellStyle name="Normal 2 4 5 3 7 4" xfId="19426"/>
    <cellStyle name="Normal 2 4 5 3 7 5" xfId="27866"/>
    <cellStyle name="Normal 2 4 5 3 8" xfId="4700"/>
    <cellStyle name="Normal 2 4 5 3 8 2" xfId="13136"/>
    <cellStyle name="Normal 2 4 5 3 8 3" xfId="21577"/>
    <cellStyle name="Normal 2 4 5 3 8 4" xfId="30017"/>
    <cellStyle name="Normal 2 4 5 3 9" xfId="8918"/>
    <cellStyle name="Normal 2 4 5 4" xfId="310"/>
    <cellStyle name="Normal 2 4 5 4 10" xfId="25802"/>
    <cellStyle name="Normal 2 4 5 4 2" xfId="799"/>
    <cellStyle name="Normal 2 4 5 4 2 2" xfId="3038"/>
    <cellStyle name="Normal 2 4 5 4 2 2 2" xfId="7261"/>
    <cellStyle name="Normal 2 4 5 4 2 2 2 2" xfId="15697"/>
    <cellStyle name="Normal 2 4 5 4 2 2 2 3" xfId="24138"/>
    <cellStyle name="Normal 2 4 5 4 2 2 2 4" xfId="32578"/>
    <cellStyle name="Normal 2 4 5 4 2 2 3" xfId="11479"/>
    <cellStyle name="Normal 2 4 5 4 2 2 4" xfId="19921"/>
    <cellStyle name="Normal 2 4 5 4 2 2 5" xfId="28361"/>
    <cellStyle name="Normal 2 4 5 4 2 3" xfId="5116"/>
    <cellStyle name="Normal 2 4 5 4 2 3 2" xfId="13552"/>
    <cellStyle name="Normal 2 4 5 4 2 3 3" xfId="21993"/>
    <cellStyle name="Normal 2 4 5 4 2 3 4" xfId="30433"/>
    <cellStyle name="Normal 2 4 5 4 2 4" xfId="9334"/>
    <cellStyle name="Normal 2 4 5 4 2 5" xfId="17776"/>
    <cellStyle name="Normal 2 4 5 4 2 6" xfId="26216"/>
    <cellStyle name="Normal 2 4 5 4 3" xfId="1221"/>
    <cellStyle name="Normal 2 4 5 4 3 2" xfId="3451"/>
    <cellStyle name="Normal 2 4 5 4 3 2 2" xfId="7674"/>
    <cellStyle name="Normal 2 4 5 4 3 2 2 2" xfId="16110"/>
    <cellStyle name="Normal 2 4 5 4 3 2 2 3" xfId="24551"/>
    <cellStyle name="Normal 2 4 5 4 3 2 2 4" xfId="32991"/>
    <cellStyle name="Normal 2 4 5 4 3 2 3" xfId="11892"/>
    <cellStyle name="Normal 2 4 5 4 3 2 4" xfId="20334"/>
    <cellStyle name="Normal 2 4 5 4 3 2 5" xfId="28774"/>
    <cellStyle name="Normal 2 4 5 4 3 3" xfId="5529"/>
    <cellStyle name="Normal 2 4 5 4 3 3 2" xfId="13965"/>
    <cellStyle name="Normal 2 4 5 4 3 3 3" xfId="22406"/>
    <cellStyle name="Normal 2 4 5 4 3 3 4" xfId="30846"/>
    <cellStyle name="Normal 2 4 5 4 3 4" xfId="9747"/>
    <cellStyle name="Normal 2 4 5 4 3 5" xfId="18189"/>
    <cellStyle name="Normal 2 4 5 4 3 6" xfId="26629"/>
    <cellStyle name="Normal 2 4 5 4 4" xfId="1634"/>
    <cellStyle name="Normal 2 4 5 4 4 2" xfId="3864"/>
    <cellStyle name="Normal 2 4 5 4 4 2 2" xfId="8087"/>
    <cellStyle name="Normal 2 4 5 4 4 2 2 2" xfId="16523"/>
    <cellStyle name="Normal 2 4 5 4 4 2 2 3" xfId="24964"/>
    <cellStyle name="Normal 2 4 5 4 4 2 2 4" xfId="33404"/>
    <cellStyle name="Normal 2 4 5 4 4 2 3" xfId="12305"/>
    <cellStyle name="Normal 2 4 5 4 4 2 4" xfId="20747"/>
    <cellStyle name="Normal 2 4 5 4 4 2 5" xfId="29187"/>
    <cellStyle name="Normal 2 4 5 4 4 3" xfId="5942"/>
    <cellStyle name="Normal 2 4 5 4 4 3 2" xfId="14378"/>
    <cellStyle name="Normal 2 4 5 4 4 3 3" xfId="22819"/>
    <cellStyle name="Normal 2 4 5 4 4 3 4" xfId="31259"/>
    <cellStyle name="Normal 2 4 5 4 4 4" xfId="10160"/>
    <cellStyle name="Normal 2 4 5 4 4 5" xfId="18602"/>
    <cellStyle name="Normal 2 4 5 4 4 6" xfId="27042"/>
    <cellStyle name="Normal 2 4 5 4 5" xfId="2048"/>
    <cellStyle name="Normal 2 4 5 4 5 2" xfId="4277"/>
    <cellStyle name="Normal 2 4 5 4 5 2 2" xfId="8500"/>
    <cellStyle name="Normal 2 4 5 4 5 2 2 2" xfId="16936"/>
    <cellStyle name="Normal 2 4 5 4 5 2 2 3" xfId="25377"/>
    <cellStyle name="Normal 2 4 5 4 5 2 2 4" xfId="33817"/>
    <cellStyle name="Normal 2 4 5 4 5 2 3" xfId="12718"/>
    <cellStyle name="Normal 2 4 5 4 5 2 4" xfId="21160"/>
    <cellStyle name="Normal 2 4 5 4 5 2 5" xfId="29600"/>
    <cellStyle name="Normal 2 4 5 4 5 3" xfId="6355"/>
    <cellStyle name="Normal 2 4 5 4 5 3 2" xfId="14791"/>
    <cellStyle name="Normal 2 4 5 4 5 3 3" xfId="23232"/>
    <cellStyle name="Normal 2 4 5 4 5 3 4" xfId="31672"/>
    <cellStyle name="Normal 2 4 5 4 5 4" xfId="10573"/>
    <cellStyle name="Normal 2 4 5 4 5 5" xfId="19015"/>
    <cellStyle name="Normal 2 4 5 4 5 6" xfId="27455"/>
    <cellStyle name="Normal 2 4 5 4 6" xfId="2484"/>
    <cellStyle name="Normal 2 4 5 4 6 2" xfId="6768"/>
    <cellStyle name="Normal 2 4 5 4 6 2 2" xfId="15204"/>
    <cellStyle name="Normal 2 4 5 4 6 2 3" xfId="23645"/>
    <cellStyle name="Normal 2 4 5 4 6 2 4" xfId="32085"/>
    <cellStyle name="Normal 2 4 5 4 6 3" xfId="10986"/>
    <cellStyle name="Normal 2 4 5 4 6 4" xfId="19428"/>
    <cellStyle name="Normal 2 4 5 4 6 5" xfId="27868"/>
    <cellStyle name="Normal 2 4 5 4 7" xfId="4702"/>
    <cellStyle name="Normal 2 4 5 4 7 2" xfId="13138"/>
    <cellStyle name="Normal 2 4 5 4 7 3" xfId="21579"/>
    <cellStyle name="Normal 2 4 5 4 7 4" xfId="30019"/>
    <cellStyle name="Normal 2 4 5 4 8" xfId="8920"/>
    <cellStyle name="Normal 2 4 5 4 9" xfId="17362"/>
    <cellStyle name="Normal 2 4 5 5" xfId="792"/>
    <cellStyle name="Normal 2 4 5 5 2" xfId="3031"/>
    <cellStyle name="Normal 2 4 5 5 2 2" xfId="7254"/>
    <cellStyle name="Normal 2 4 5 5 2 2 2" xfId="15690"/>
    <cellStyle name="Normal 2 4 5 5 2 2 3" xfId="24131"/>
    <cellStyle name="Normal 2 4 5 5 2 2 4" xfId="32571"/>
    <cellStyle name="Normal 2 4 5 5 2 3" xfId="11472"/>
    <cellStyle name="Normal 2 4 5 5 2 4" xfId="19914"/>
    <cellStyle name="Normal 2 4 5 5 2 5" xfId="28354"/>
    <cellStyle name="Normal 2 4 5 5 3" xfId="5109"/>
    <cellStyle name="Normal 2 4 5 5 3 2" xfId="13545"/>
    <cellStyle name="Normal 2 4 5 5 3 3" xfId="21986"/>
    <cellStyle name="Normal 2 4 5 5 3 4" xfId="30426"/>
    <cellStyle name="Normal 2 4 5 5 4" xfId="9327"/>
    <cellStyle name="Normal 2 4 5 5 5" xfId="17769"/>
    <cellStyle name="Normal 2 4 5 5 6" xfId="26209"/>
    <cellStyle name="Normal 2 4 5 6" xfId="1214"/>
    <cellStyle name="Normal 2 4 5 6 2" xfId="3444"/>
    <cellStyle name="Normal 2 4 5 6 2 2" xfId="7667"/>
    <cellStyle name="Normal 2 4 5 6 2 2 2" xfId="16103"/>
    <cellStyle name="Normal 2 4 5 6 2 2 3" xfId="24544"/>
    <cellStyle name="Normal 2 4 5 6 2 2 4" xfId="32984"/>
    <cellStyle name="Normal 2 4 5 6 2 3" xfId="11885"/>
    <cellStyle name="Normal 2 4 5 6 2 4" xfId="20327"/>
    <cellStyle name="Normal 2 4 5 6 2 5" xfId="28767"/>
    <cellStyle name="Normal 2 4 5 6 3" xfId="5522"/>
    <cellStyle name="Normal 2 4 5 6 3 2" xfId="13958"/>
    <cellStyle name="Normal 2 4 5 6 3 3" xfId="22399"/>
    <cellStyle name="Normal 2 4 5 6 3 4" xfId="30839"/>
    <cellStyle name="Normal 2 4 5 6 4" xfId="9740"/>
    <cellStyle name="Normal 2 4 5 6 5" xfId="18182"/>
    <cellStyle name="Normal 2 4 5 6 6" xfId="26622"/>
    <cellStyle name="Normal 2 4 5 7" xfId="1627"/>
    <cellStyle name="Normal 2 4 5 7 2" xfId="3857"/>
    <cellStyle name="Normal 2 4 5 7 2 2" xfId="8080"/>
    <cellStyle name="Normal 2 4 5 7 2 2 2" xfId="16516"/>
    <cellStyle name="Normal 2 4 5 7 2 2 3" xfId="24957"/>
    <cellStyle name="Normal 2 4 5 7 2 2 4" xfId="33397"/>
    <cellStyle name="Normal 2 4 5 7 2 3" xfId="12298"/>
    <cellStyle name="Normal 2 4 5 7 2 4" xfId="20740"/>
    <cellStyle name="Normal 2 4 5 7 2 5" xfId="29180"/>
    <cellStyle name="Normal 2 4 5 7 3" xfId="5935"/>
    <cellStyle name="Normal 2 4 5 7 3 2" xfId="14371"/>
    <cellStyle name="Normal 2 4 5 7 3 3" xfId="22812"/>
    <cellStyle name="Normal 2 4 5 7 3 4" xfId="31252"/>
    <cellStyle name="Normal 2 4 5 7 4" xfId="10153"/>
    <cellStyle name="Normal 2 4 5 7 5" xfId="18595"/>
    <cellStyle name="Normal 2 4 5 7 6" xfId="27035"/>
    <cellStyle name="Normal 2 4 5 8" xfId="2041"/>
    <cellStyle name="Normal 2 4 5 8 2" xfId="4270"/>
    <cellStyle name="Normal 2 4 5 8 2 2" xfId="8493"/>
    <cellStyle name="Normal 2 4 5 8 2 2 2" xfId="16929"/>
    <cellStyle name="Normal 2 4 5 8 2 2 3" xfId="25370"/>
    <cellStyle name="Normal 2 4 5 8 2 2 4" xfId="33810"/>
    <cellStyle name="Normal 2 4 5 8 2 3" xfId="12711"/>
    <cellStyle name="Normal 2 4 5 8 2 4" xfId="21153"/>
    <cellStyle name="Normal 2 4 5 8 2 5" xfId="29593"/>
    <cellStyle name="Normal 2 4 5 8 3" xfId="6348"/>
    <cellStyle name="Normal 2 4 5 8 3 2" xfId="14784"/>
    <cellStyle name="Normal 2 4 5 8 3 3" xfId="23225"/>
    <cellStyle name="Normal 2 4 5 8 3 4" xfId="31665"/>
    <cellStyle name="Normal 2 4 5 8 4" xfId="10566"/>
    <cellStyle name="Normal 2 4 5 8 5" xfId="19008"/>
    <cellStyle name="Normal 2 4 5 8 6" xfId="27448"/>
    <cellStyle name="Normal 2 4 5 9" xfId="2477"/>
    <cellStyle name="Normal 2 4 5 9 2" xfId="6761"/>
    <cellStyle name="Normal 2 4 5 9 2 2" xfId="15197"/>
    <cellStyle name="Normal 2 4 5 9 2 3" xfId="23638"/>
    <cellStyle name="Normal 2 4 5 9 2 4" xfId="32078"/>
    <cellStyle name="Normal 2 4 5 9 3" xfId="10979"/>
    <cellStyle name="Normal 2 4 5 9 4" xfId="19421"/>
    <cellStyle name="Normal 2 4 5 9 5" xfId="27861"/>
    <cellStyle name="Normal 2 4 6" xfId="311"/>
    <cellStyle name="Normal 2 4 7" xfId="312"/>
    <cellStyle name="Normal 2 4 7 10" xfId="17363"/>
    <cellStyle name="Normal 2 4 7 11" xfId="25803"/>
    <cellStyle name="Normal 2 4 7 2" xfId="313"/>
    <cellStyle name="Normal 2 4 7 2 10" xfId="25804"/>
    <cellStyle name="Normal 2 4 7 2 2" xfId="801"/>
    <cellStyle name="Normal 2 4 7 2 2 2" xfId="3040"/>
    <cellStyle name="Normal 2 4 7 2 2 2 2" xfId="7263"/>
    <cellStyle name="Normal 2 4 7 2 2 2 2 2" xfId="15699"/>
    <cellStyle name="Normal 2 4 7 2 2 2 2 3" xfId="24140"/>
    <cellStyle name="Normal 2 4 7 2 2 2 2 4" xfId="32580"/>
    <cellStyle name="Normal 2 4 7 2 2 2 3" xfId="11481"/>
    <cellStyle name="Normal 2 4 7 2 2 2 4" xfId="19923"/>
    <cellStyle name="Normal 2 4 7 2 2 2 5" xfId="28363"/>
    <cellStyle name="Normal 2 4 7 2 2 3" xfId="5118"/>
    <cellStyle name="Normal 2 4 7 2 2 3 2" xfId="13554"/>
    <cellStyle name="Normal 2 4 7 2 2 3 3" xfId="21995"/>
    <cellStyle name="Normal 2 4 7 2 2 3 4" xfId="30435"/>
    <cellStyle name="Normal 2 4 7 2 2 4" xfId="9336"/>
    <cellStyle name="Normal 2 4 7 2 2 5" xfId="17778"/>
    <cellStyle name="Normal 2 4 7 2 2 6" xfId="26218"/>
    <cellStyle name="Normal 2 4 7 2 3" xfId="1223"/>
    <cellStyle name="Normal 2 4 7 2 3 2" xfId="3453"/>
    <cellStyle name="Normal 2 4 7 2 3 2 2" xfId="7676"/>
    <cellStyle name="Normal 2 4 7 2 3 2 2 2" xfId="16112"/>
    <cellStyle name="Normal 2 4 7 2 3 2 2 3" xfId="24553"/>
    <cellStyle name="Normal 2 4 7 2 3 2 2 4" xfId="32993"/>
    <cellStyle name="Normal 2 4 7 2 3 2 3" xfId="11894"/>
    <cellStyle name="Normal 2 4 7 2 3 2 4" xfId="20336"/>
    <cellStyle name="Normal 2 4 7 2 3 2 5" xfId="28776"/>
    <cellStyle name="Normal 2 4 7 2 3 3" xfId="5531"/>
    <cellStyle name="Normal 2 4 7 2 3 3 2" xfId="13967"/>
    <cellStyle name="Normal 2 4 7 2 3 3 3" xfId="22408"/>
    <cellStyle name="Normal 2 4 7 2 3 3 4" xfId="30848"/>
    <cellStyle name="Normal 2 4 7 2 3 4" xfId="9749"/>
    <cellStyle name="Normal 2 4 7 2 3 5" xfId="18191"/>
    <cellStyle name="Normal 2 4 7 2 3 6" xfId="26631"/>
    <cellStyle name="Normal 2 4 7 2 4" xfId="1636"/>
    <cellStyle name="Normal 2 4 7 2 4 2" xfId="3866"/>
    <cellStyle name="Normal 2 4 7 2 4 2 2" xfId="8089"/>
    <cellStyle name="Normal 2 4 7 2 4 2 2 2" xfId="16525"/>
    <cellStyle name="Normal 2 4 7 2 4 2 2 3" xfId="24966"/>
    <cellStyle name="Normal 2 4 7 2 4 2 2 4" xfId="33406"/>
    <cellStyle name="Normal 2 4 7 2 4 2 3" xfId="12307"/>
    <cellStyle name="Normal 2 4 7 2 4 2 4" xfId="20749"/>
    <cellStyle name="Normal 2 4 7 2 4 2 5" xfId="29189"/>
    <cellStyle name="Normal 2 4 7 2 4 3" xfId="5944"/>
    <cellStyle name="Normal 2 4 7 2 4 3 2" xfId="14380"/>
    <cellStyle name="Normal 2 4 7 2 4 3 3" xfId="22821"/>
    <cellStyle name="Normal 2 4 7 2 4 3 4" xfId="31261"/>
    <cellStyle name="Normal 2 4 7 2 4 4" xfId="10162"/>
    <cellStyle name="Normal 2 4 7 2 4 5" xfId="18604"/>
    <cellStyle name="Normal 2 4 7 2 4 6" xfId="27044"/>
    <cellStyle name="Normal 2 4 7 2 5" xfId="2050"/>
    <cellStyle name="Normal 2 4 7 2 5 2" xfId="4279"/>
    <cellStyle name="Normal 2 4 7 2 5 2 2" xfId="8502"/>
    <cellStyle name="Normal 2 4 7 2 5 2 2 2" xfId="16938"/>
    <cellStyle name="Normal 2 4 7 2 5 2 2 3" xfId="25379"/>
    <cellStyle name="Normal 2 4 7 2 5 2 2 4" xfId="33819"/>
    <cellStyle name="Normal 2 4 7 2 5 2 3" xfId="12720"/>
    <cellStyle name="Normal 2 4 7 2 5 2 4" xfId="21162"/>
    <cellStyle name="Normal 2 4 7 2 5 2 5" xfId="29602"/>
    <cellStyle name="Normal 2 4 7 2 5 3" xfId="6357"/>
    <cellStyle name="Normal 2 4 7 2 5 3 2" xfId="14793"/>
    <cellStyle name="Normal 2 4 7 2 5 3 3" xfId="23234"/>
    <cellStyle name="Normal 2 4 7 2 5 3 4" xfId="31674"/>
    <cellStyle name="Normal 2 4 7 2 5 4" xfId="10575"/>
    <cellStyle name="Normal 2 4 7 2 5 5" xfId="19017"/>
    <cellStyle name="Normal 2 4 7 2 5 6" xfId="27457"/>
    <cellStyle name="Normal 2 4 7 2 6" xfId="2486"/>
    <cellStyle name="Normal 2 4 7 2 6 2" xfId="6770"/>
    <cellStyle name="Normal 2 4 7 2 6 2 2" xfId="15206"/>
    <cellStyle name="Normal 2 4 7 2 6 2 3" xfId="23647"/>
    <cellStyle name="Normal 2 4 7 2 6 2 4" xfId="32087"/>
    <cellStyle name="Normal 2 4 7 2 6 3" xfId="10988"/>
    <cellStyle name="Normal 2 4 7 2 6 4" xfId="19430"/>
    <cellStyle name="Normal 2 4 7 2 6 5" xfId="27870"/>
    <cellStyle name="Normal 2 4 7 2 7" xfId="4704"/>
    <cellStyle name="Normal 2 4 7 2 7 2" xfId="13140"/>
    <cellStyle name="Normal 2 4 7 2 7 3" xfId="21581"/>
    <cellStyle name="Normal 2 4 7 2 7 4" xfId="30021"/>
    <cellStyle name="Normal 2 4 7 2 8" xfId="8922"/>
    <cellStyle name="Normal 2 4 7 2 9" xfId="17364"/>
    <cellStyle name="Normal 2 4 7 3" xfId="800"/>
    <cellStyle name="Normal 2 4 7 3 2" xfId="3039"/>
    <cellStyle name="Normal 2 4 7 3 2 2" xfId="7262"/>
    <cellStyle name="Normal 2 4 7 3 2 2 2" xfId="15698"/>
    <cellStyle name="Normal 2 4 7 3 2 2 3" xfId="24139"/>
    <cellStyle name="Normal 2 4 7 3 2 2 4" xfId="32579"/>
    <cellStyle name="Normal 2 4 7 3 2 3" xfId="11480"/>
    <cellStyle name="Normal 2 4 7 3 2 4" xfId="19922"/>
    <cellStyle name="Normal 2 4 7 3 2 5" xfId="28362"/>
    <cellStyle name="Normal 2 4 7 3 3" xfId="5117"/>
    <cellStyle name="Normal 2 4 7 3 3 2" xfId="13553"/>
    <cellStyle name="Normal 2 4 7 3 3 3" xfId="21994"/>
    <cellStyle name="Normal 2 4 7 3 3 4" xfId="30434"/>
    <cellStyle name="Normal 2 4 7 3 4" xfId="9335"/>
    <cellStyle name="Normal 2 4 7 3 5" xfId="17777"/>
    <cellStyle name="Normal 2 4 7 3 6" xfId="26217"/>
    <cellStyle name="Normal 2 4 7 4" xfId="1222"/>
    <cellStyle name="Normal 2 4 7 4 2" xfId="3452"/>
    <cellStyle name="Normal 2 4 7 4 2 2" xfId="7675"/>
    <cellStyle name="Normal 2 4 7 4 2 2 2" xfId="16111"/>
    <cellStyle name="Normal 2 4 7 4 2 2 3" xfId="24552"/>
    <cellStyle name="Normal 2 4 7 4 2 2 4" xfId="32992"/>
    <cellStyle name="Normal 2 4 7 4 2 3" xfId="11893"/>
    <cellStyle name="Normal 2 4 7 4 2 4" xfId="20335"/>
    <cellStyle name="Normal 2 4 7 4 2 5" xfId="28775"/>
    <cellStyle name="Normal 2 4 7 4 3" xfId="5530"/>
    <cellStyle name="Normal 2 4 7 4 3 2" xfId="13966"/>
    <cellStyle name="Normal 2 4 7 4 3 3" xfId="22407"/>
    <cellStyle name="Normal 2 4 7 4 3 4" xfId="30847"/>
    <cellStyle name="Normal 2 4 7 4 4" xfId="9748"/>
    <cellStyle name="Normal 2 4 7 4 5" xfId="18190"/>
    <cellStyle name="Normal 2 4 7 4 6" xfId="26630"/>
    <cellStyle name="Normal 2 4 7 5" xfId="1635"/>
    <cellStyle name="Normal 2 4 7 5 2" xfId="3865"/>
    <cellStyle name="Normal 2 4 7 5 2 2" xfId="8088"/>
    <cellStyle name="Normal 2 4 7 5 2 2 2" xfId="16524"/>
    <cellStyle name="Normal 2 4 7 5 2 2 3" xfId="24965"/>
    <cellStyle name="Normal 2 4 7 5 2 2 4" xfId="33405"/>
    <cellStyle name="Normal 2 4 7 5 2 3" xfId="12306"/>
    <cellStyle name="Normal 2 4 7 5 2 4" xfId="20748"/>
    <cellStyle name="Normal 2 4 7 5 2 5" xfId="29188"/>
    <cellStyle name="Normal 2 4 7 5 3" xfId="5943"/>
    <cellStyle name="Normal 2 4 7 5 3 2" xfId="14379"/>
    <cellStyle name="Normal 2 4 7 5 3 3" xfId="22820"/>
    <cellStyle name="Normal 2 4 7 5 3 4" xfId="31260"/>
    <cellStyle name="Normal 2 4 7 5 4" xfId="10161"/>
    <cellStyle name="Normal 2 4 7 5 5" xfId="18603"/>
    <cellStyle name="Normal 2 4 7 5 6" xfId="27043"/>
    <cellStyle name="Normal 2 4 7 6" xfId="2049"/>
    <cellStyle name="Normal 2 4 7 6 2" xfId="4278"/>
    <cellStyle name="Normal 2 4 7 6 2 2" xfId="8501"/>
    <cellStyle name="Normal 2 4 7 6 2 2 2" xfId="16937"/>
    <cellStyle name="Normal 2 4 7 6 2 2 3" xfId="25378"/>
    <cellStyle name="Normal 2 4 7 6 2 2 4" xfId="33818"/>
    <cellStyle name="Normal 2 4 7 6 2 3" xfId="12719"/>
    <cellStyle name="Normal 2 4 7 6 2 4" xfId="21161"/>
    <cellStyle name="Normal 2 4 7 6 2 5" xfId="29601"/>
    <cellStyle name="Normal 2 4 7 6 3" xfId="6356"/>
    <cellStyle name="Normal 2 4 7 6 3 2" xfId="14792"/>
    <cellStyle name="Normal 2 4 7 6 3 3" xfId="23233"/>
    <cellStyle name="Normal 2 4 7 6 3 4" xfId="31673"/>
    <cellStyle name="Normal 2 4 7 6 4" xfId="10574"/>
    <cellStyle name="Normal 2 4 7 6 5" xfId="19016"/>
    <cellStyle name="Normal 2 4 7 6 6" xfId="27456"/>
    <cellStyle name="Normal 2 4 7 7" xfId="2485"/>
    <cellStyle name="Normal 2 4 7 7 2" xfId="6769"/>
    <cellStyle name="Normal 2 4 7 7 2 2" xfId="15205"/>
    <cellStyle name="Normal 2 4 7 7 2 3" xfId="23646"/>
    <cellStyle name="Normal 2 4 7 7 2 4" xfId="32086"/>
    <cellStyle name="Normal 2 4 7 7 3" xfId="10987"/>
    <cellStyle name="Normal 2 4 7 7 4" xfId="19429"/>
    <cellStyle name="Normal 2 4 7 7 5" xfId="27869"/>
    <cellStyle name="Normal 2 4 7 8" xfId="4703"/>
    <cellStyle name="Normal 2 4 7 8 2" xfId="13139"/>
    <cellStyle name="Normal 2 4 7 8 3" xfId="21580"/>
    <cellStyle name="Normal 2 4 7 8 4" xfId="30020"/>
    <cellStyle name="Normal 2 4 7 9" xfId="8921"/>
    <cellStyle name="Normal 2 4 8" xfId="314"/>
    <cellStyle name="Normal 2 4 8 10" xfId="25805"/>
    <cellStyle name="Normal 2 4 8 2" xfId="802"/>
    <cellStyle name="Normal 2 4 8 2 2" xfId="3041"/>
    <cellStyle name="Normal 2 4 8 2 2 2" xfId="7264"/>
    <cellStyle name="Normal 2 4 8 2 2 2 2" xfId="15700"/>
    <cellStyle name="Normal 2 4 8 2 2 2 3" xfId="24141"/>
    <cellStyle name="Normal 2 4 8 2 2 2 4" xfId="32581"/>
    <cellStyle name="Normal 2 4 8 2 2 3" xfId="11482"/>
    <cellStyle name="Normal 2 4 8 2 2 4" xfId="19924"/>
    <cellStyle name="Normal 2 4 8 2 2 5" xfId="28364"/>
    <cellStyle name="Normal 2 4 8 2 3" xfId="5119"/>
    <cellStyle name="Normal 2 4 8 2 3 2" xfId="13555"/>
    <cellStyle name="Normal 2 4 8 2 3 3" xfId="21996"/>
    <cellStyle name="Normal 2 4 8 2 3 4" xfId="30436"/>
    <cellStyle name="Normal 2 4 8 2 4" xfId="9337"/>
    <cellStyle name="Normal 2 4 8 2 5" xfId="17779"/>
    <cellStyle name="Normal 2 4 8 2 6" xfId="26219"/>
    <cellStyle name="Normal 2 4 8 3" xfId="1224"/>
    <cellStyle name="Normal 2 4 8 3 2" xfId="3454"/>
    <cellStyle name="Normal 2 4 8 3 2 2" xfId="7677"/>
    <cellStyle name="Normal 2 4 8 3 2 2 2" xfId="16113"/>
    <cellStyle name="Normal 2 4 8 3 2 2 3" xfId="24554"/>
    <cellStyle name="Normal 2 4 8 3 2 2 4" xfId="32994"/>
    <cellStyle name="Normal 2 4 8 3 2 3" xfId="11895"/>
    <cellStyle name="Normal 2 4 8 3 2 4" xfId="20337"/>
    <cellStyle name="Normal 2 4 8 3 2 5" xfId="28777"/>
    <cellStyle name="Normal 2 4 8 3 3" xfId="5532"/>
    <cellStyle name="Normal 2 4 8 3 3 2" xfId="13968"/>
    <cellStyle name="Normal 2 4 8 3 3 3" xfId="22409"/>
    <cellStyle name="Normal 2 4 8 3 3 4" xfId="30849"/>
    <cellStyle name="Normal 2 4 8 3 4" xfId="9750"/>
    <cellStyle name="Normal 2 4 8 3 5" xfId="18192"/>
    <cellStyle name="Normal 2 4 8 3 6" xfId="26632"/>
    <cellStyle name="Normal 2 4 8 4" xfId="1637"/>
    <cellStyle name="Normal 2 4 8 4 2" xfId="3867"/>
    <cellStyle name="Normal 2 4 8 4 2 2" xfId="8090"/>
    <cellStyle name="Normal 2 4 8 4 2 2 2" xfId="16526"/>
    <cellStyle name="Normal 2 4 8 4 2 2 3" xfId="24967"/>
    <cellStyle name="Normal 2 4 8 4 2 2 4" xfId="33407"/>
    <cellStyle name="Normal 2 4 8 4 2 3" xfId="12308"/>
    <cellStyle name="Normal 2 4 8 4 2 4" xfId="20750"/>
    <cellStyle name="Normal 2 4 8 4 2 5" xfId="29190"/>
    <cellStyle name="Normal 2 4 8 4 3" xfId="5945"/>
    <cellStyle name="Normal 2 4 8 4 3 2" xfId="14381"/>
    <cellStyle name="Normal 2 4 8 4 3 3" xfId="22822"/>
    <cellStyle name="Normal 2 4 8 4 3 4" xfId="31262"/>
    <cellStyle name="Normal 2 4 8 4 4" xfId="10163"/>
    <cellStyle name="Normal 2 4 8 4 5" xfId="18605"/>
    <cellStyle name="Normal 2 4 8 4 6" xfId="27045"/>
    <cellStyle name="Normal 2 4 8 5" xfId="2051"/>
    <cellStyle name="Normal 2 4 8 5 2" xfId="4280"/>
    <cellStyle name="Normal 2 4 8 5 2 2" xfId="8503"/>
    <cellStyle name="Normal 2 4 8 5 2 2 2" xfId="16939"/>
    <cellStyle name="Normal 2 4 8 5 2 2 3" xfId="25380"/>
    <cellStyle name="Normal 2 4 8 5 2 2 4" xfId="33820"/>
    <cellStyle name="Normal 2 4 8 5 2 3" xfId="12721"/>
    <cellStyle name="Normal 2 4 8 5 2 4" xfId="21163"/>
    <cellStyle name="Normal 2 4 8 5 2 5" xfId="29603"/>
    <cellStyle name="Normal 2 4 8 5 3" xfId="6358"/>
    <cellStyle name="Normal 2 4 8 5 3 2" xfId="14794"/>
    <cellStyle name="Normal 2 4 8 5 3 3" xfId="23235"/>
    <cellStyle name="Normal 2 4 8 5 3 4" xfId="31675"/>
    <cellStyle name="Normal 2 4 8 5 4" xfId="10576"/>
    <cellStyle name="Normal 2 4 8 5 5" xfId="19018"/>
    <cellStyle name="Normal 2 4 8 5 6" xfId="27458"/>
    <cellStyle name="Normal 2 4 8 6" xfId="2487"/>
    <cellStyle name="Normal 2 4 8 6 2" xfId="6771"/>
    <cellStyle name="Normal 2 4 8 6 2 2" xfId="15207"/>
    <cellStyle name="Normal 2 4 8 6 2 3" xfId="23648"/>
    <cellStyle name="Normal 2 4 8 6 2 4" xfId="32088"/>
    <cellStyle name="Normal 2 4 8 6 3" xfId="10989"/>
    <cellStyle name="Normal 2 4 8 6 4" xfId="19431"/>
    <cellStyle name="Normal 2 4 8 6 5" xfId="27871"/>
    <cellStyle name="Normal 2 4 8 7" xfId="4705"/>
    <cellStyle name="Normal 2 4 8 7 2" xfId="13141"/>
    <cellStyle name="Normal 2 4 8 7 3" xfId="21582"/>
    <cellStyle name="Normal 2 4 8 7 4" xfId="30022"/>
    <cellStyle name="Normal 2 4 8 8" xfId="8923"/>
    <cellStyle name="Normal 2 4 8 9" xfId="17365"/>
    <cellStyle name="Normal 2 5" xfId="315"/>
    <cellStyle name="Normal 2 5 10" xfId="4706"/>
    <cellStyle name="Normal 2 5 10 2" xfId="13142"/>
    <cellStyle name="Normal 2 5 10 3" xfId="21583"/>
    <cellStyle name="Normal 2 5 10 4" xfId="30023"/>
    <cellStyle name="Normal 2 5 11" xfId="8924"/>
    <cellStyle name="Normal 2 5 12" xfId="17366"/>
    <cellStyle name="Normal 2 5 13" xfId="25806"/>
    <cellStyle name="Normal 2 5 2" xfId="316"/>
    <cellStyle name="Normal 2 5 3" xfId="317"/>
    <cellStyle name="Normal 2 5 4" xfId="318"/>
    <cellStyle name="Normal 2 5 4 10" xfId="8925"/>
    <cellStyle name="Normal 2 5 4 11" xfId="17367"/>
    <cellStyle name="Normal 2 5 4 12" xfId="25807"/>
    <cellStyle name="Normal 2 5 4 2" xfId="319"/>
    <cellStyle name="Normal 2 5 4 2 10" xfId="17368"/>
    <cellStyle name="Normal 2 5 4 2 11" xfId="25808"/>
    <cellStyle name="Normal 2 5 4 2 2" xfId="320"/>
    <cellStyle name="Normal 2 5 4 2 2 10" xfId="25809"/>
    <cellStyle name="Normal 2 5 4 2 2 2" xfId="806"/>
    <cellStyle name="Normal 2 5 4 2 2 2 2" xfId="3045"/>
    <cellStyle name="Normal 2 5 4 2 2 2 2 2" xfId="7268"/>
    <cellStyle name="Normal 2 5 4 2 2 2 2 2 2" xfId="15704"/>
    <cellStyle name="Normal 2 5 4 2 2 2 2 2 3" xfId="24145"/>
    <cellStyle name="Normal 2 5 4 2 2 2 2 2 4" xfId="32585"/>
    <cellStyle name="Normal 2 5 4 2 2 2 2 3" xfId="11486"/>
    <cellStyle name="Normal 2 5 4 2 2 2 2 4" xfId="19928"/>
    <cellStyle name="Normal 2 5 4 2 2 2 2 5" xfId="28368"/>
    <cellStyle name="Normal 2 5 4 2 2 2 3" xfId="5123"/>
    <cellStyle name="Normal 2 5 4 2 2 2 3 2" xfId="13559"/>
    <cellStyle name="Normal 2 5 4 2 2 2 3 3" xfId="22000"/>
    <cellStyle name="Normal 2 5 4 2 2 2 3 4" xfId="30440"/>
    <cellStyle name="Normal 2 5 4 2 2 2 4" xfId="9341"/>
    <cellStyle name="Normal 2 5 4 2 2 2 5" xfId="17783"/>
    <cellStyle name="Normal 2 5 4 2 2 2 6" xfId="26223"/>
    <cellStyle name="Normal 2 5 4 2 2 3" xfId="1228"/>
    <cellStyle name="Normal 2 5 4 2 2 3 2" xfId="3458"/>
    <cellStyle name="Normal 2 5 4 2 2 3 2 2" xfId="7681"/>
    <cellStyle name="Normal 2 5 4 2 2 3 2 2 2" xfId="16117"/>
    <cellStyle name="Normal 2 5 4 2 2 3 2 2 3" xfId="24558"/>
    <cellStyle name="Normal 2 5 4 2 2 3 2 2 4" xfId="32998"/>
    <cellStyle name="Normal 2 5 4 2 2 3 2 3" xfId="11899"/>
    <cellStyle name="Normal 2 5 4 2 2 3 2 4" xfId="20341"/>
    <cellStyle name="Normal 2 5 4 2 2 3 2 5" xfId="28781"/>
    <cellStyle name="Normal 2 5 4 2 2 3 3" xfId="5536"/>
    <cellStyle name="Normal 2 5 4 2 2 3 3 2" xfId="13972"/>
    <cellStyle name="Normal 2 5 4 2 2 3 3 3" xfId="22413"/>
    <cellStyle name="Normal 2 5 4 2 2 3 3 4" xfId="30853"/>
    <cellStyle name="Normal 2 5 4 2 2 3 4" xfId="9754"/>
    <cellStyle name="Normal 2 5 4 2 2 3 5" xfId="18196"/>
    <cellStyle name="Normal 2 5 4 2 2 3 6" xfId="26636"/>
    <cellStyle name="Normal 2 5 4 2 2 4" xfId="1641"/>
    <cellStyle name="Normal 2 5 4 2 2 4 2" xfId="3871"/>
    <cellStyle name="Normal 2 5 4 2 2 4 2 2" xfId="8094"/>
    <cellStyle name="Normal 2 5 4 2 2 4 2 2 2" xfId="16530"/>
    <cellStyle name="Normal 2 5 4 2 2 4 2 2 3" xfId="24971"/>
    <cellStyle name="Normal 2 5 4 2 2 4 2 2 4" xfId="33411"/>
    <cellStyle name="Normal 2 5 4 2 2 4 2 3" xfId="12312"/>
    <cellStyle name="Normal 2 5 4 2 2 4 2 4" xfId="20754"/>
    <cellStyle name="Normal 2 5 4 2 2 4 2 5" xfId="29194"/>
    <cellStyle name="Normal 2 5 4 2 2 4 3" xfId="5949"/>
    <cellStyle name="Normal 2 5 4 2 2 4 3 2" xfId="14385"/>
    <cellStyle name="Normal 2 5 4 2 2 4 3 3" xfId="22826"/>
    <cellStyle name="Normal 2 5 4 2 2 4 3 4" xfId="31266"/>
    <cellStyle name="Normal 2 5 4 2 2 4 4" xfId="10167"/>
    <cellStyle name="Normal 2 5 4 2 2 4 5" xfId="18609"/>
    <cellStyle name="Normal 2 5 4 2 2 4 6" xfId="27049"/>
    <cellStyle name="Normal 2 5 4 2 2 5" xfId="2055"/>
    <cellStyle name="Normal 2 5 4 2 2 5 2" xfId="4284"/>
    <cellStyle name="Normal 2 5 4 2 2 5 2 2" xfId="8507"/>
    <cellStyle name="Normal 2 5 4 2 2 5 2 2 2" xfId="16943"/>
    <cellStyle name="Normal 2 5 4 2 2 5 2 2 3" xfId="25384"/>
    <cellStyle name="Normal 2 5 4 2 2 5 2 2 4" xfId="33824"/>
    <cellStyle name="Normal 2 5 4 2 2 5 2 3" xfId="12725"/>
    <cellStyle name="Normal 2 5 4 2 2 5 2 4" xfId="21167"/>
    <cellStyle name="Normal 2 5 4 2 2 5 2 5" xfId="29607"/>
    <cellStyle name="Normal 2 5 4 2 2 5 3" xfId="6362"/>
    <cellStyle name="Normal 2 5 4 2 2 5 3 2" xfId="14798"/>
    <cellStyle name="Normal 2 5 4 2 2 5 3 3" xfId="23239"/>
    <cellStyle name="Normal 2 5 4 2 2 5 3 4" xfId="31679"/>
    <cellStyle name="Normal 2 5 4 2 2 5 4" xfId="10580"/>
    <cellStyle name="Normal 2 5 4 2 2 5 5" xfId="19022"/>
    <cellStyle name="Normal 2 5 4 2 2 5 6" xfId="27462"/>
    <cellStyle name="Normal 2 5 4 2 2 6" xfId="2491"/>
    <cellStyle name="Normal 2 5 4 2 2 6 2" xfId="6775"/>
    <cellStyle name="Normal 2 5 4 2 2 6 2 2" xfId="15211"/>
    <cellStyle name="Normal 2 5 4 2 2 6 2 3" xfId="23652"/>
    <cellStyle name="Normal 2 5 4 2 2 6 2 4" xfId="32092"/>
    <cellStyle name="Normal 2 5 4 2 2 6 3" xfId="10993"/>
    <cellStyle name="Normal 2 5 4 2 2 6 4" xfId="19435"/>
    <cellStyle name="Normal 2 5 4 2 2 6 5" xfId="27875"/>
    <cellStyle name="Normal 2 5 4 2 2 7" xfId="4709"/>
    <cellStyle name="Normal 2 5 4 2 2 7 2" xfId="13145"/>
    <cellStyle name="Normal 2 5 4 2 2 7 3" xfId="21586"/>
    <cellStyle name="Normal 2 5 4 2 2 7 4" xfId="30026"/>
    <cellStyle name="Normal 2 5 4 2 2 8" xfId="8927"/>
    <cellStyle name="Normal 2 5 4 2 2 9" xfId="17369"/>
    <cellStyle name="Normal 2 5 4 2 3" xfId="805"/>
    <cellStyle name="Normal 2 5 4 2 3 2" xfId="3044"/>
    <cellStyle name="Normal 2 5 4 2 3 2 2" xfId="7267"/>
    <cellStyle name="Normal 2 5 4 2 3 2 2 2" xfId="15703"/>
    <cellStyle name="Normal 2 5 4 2 3 2 2 3" xfId="24144"/>
    <cellStyle name="Normal 2 5 4 2 3 2 2 4" xfId="32584"/>
    <cellStyle name="Normal 2 5 4 2 3 2 3" xfId="11485"/>
    <cellStyle name="Normal 2 5 4 2 3 2 4" xfId="19927"/>
    <cellStyle name="Normal 2 5 4 2 3 2 5" xfId="28367"/>
    <cellStyle name="Normal 2 5 4 2 3 3" xfId="5122"/>
    <cellStyle name="Normal 2 5 4 2 3 3 2" xfId="13558"/>
    <cellStyle name="Normal 2 5 4 2 3 3 3" xfId="21999"/>
    <cellStyle name="Normal 2 5 4 2 3 3 4" xfId="30439"/>
    <cellStyle name="Normal 2 5 4 2 3 4" xfId="9340"/>
    <cellStyle name="Normal 2 5 4 2 3 5" xfId="17782"/>
    <cellStyle name="Normal 2 5 4 2 3 6" xfId="26222"/>
    <cellStyle name="Normal 2 5 4 2 4" xfId="1227"/>
    <cellStyle name="Normal 2 5 4 2 4 2" xfId="3457"/>
    <cellStyle name="Normal 2 5 4 2 4 2 2" xfId="7680"/>
    <cellStyle name="Normal 2 5 4 2 4 2 2 2" xfId="16116"/>
    <cellStyle name="Normal 2 5 4 2 4 2 2 3" xfId="24557"/>
    <cellStyle name="Normal 2 5 4 2 4 2 2 4" xfId="32997"/>
    <cellStyle name="Normal 2 5 4 2 4 2 3" xfId="11898"/>
    <cellStyle name="Normal 2 5 4 2 4 2 4" xfId="20340"/>
    <cellStyle name="Normal 2 5 4 2 4 2 5" xfId="28780"/>
    <cellStyle name="Normal 2 5 4 2 4 3" xfId="5535"/>
    <cellStyle name="Normal 2 5 4 2 4 3 2" xfId="13971"/>
    <cellStyle name="Normal 2 5 4 2 4 3 3" xfId="22412"/>
    <cellStyle name="Normal 2 5 4 2 4 3 4" xfId="30852"/>
    <cellStyle name="Normal 2 5 4 2 4 4" xfId="9753"/>
    <cellStyle name="Normal 2 5 4 2 4 5" xfId="18195"/>
    <cellStyle name="Normal 2 5 4 2 4 6" xfId="26635"/>
    <cellStyle name="Normal 2 5 4 2 5" xfId="1640"/>
    <cellStyle name="Normal 2 5 4 2 5 2" xfId="3870"/>
    <cellStyle name="Normal 2 5 4 2 5 2 2" xfId="8093"/>
    <cellStyle name="Normal 2 5 4 2 5 2 2 2" xfId="16529"/>
    <cellStyle name="Normal 2 5 4 2 5 2 2 3" xfId="24970"/>
    <cellStyle name="Normal 2 5 4 2 5 2 2 4" xfId="33410"/>
    <cellStyle name="Normal 2 5 4 2 5 2 3" xfId="12311"/>
    <cellStyle name="Normal 2 5 4 2 5 2 4" xfId="20753"/>
    <cellStyle name="Normal 2 5 4 2 5 2 5" xfId="29193"/>
    <cellStyle name="Normal 2 5 4 2 5 3" xfId="5948"/>
    <cellStyle name="Normal 2 5 4 2 5 3 2" xfId="14384"/>
    <cellStyle name="Normal 2 5 4 2 5 3 3" xfId="22825"/>
    <cellStyle name="Normal 2 5 4 2 5 3 4" xfId="31265"/>
    <cellStyle name="Normal 2 5 4 2 5 4" xfId="10166"/>
    <cellStyle name="Normal 2 5 4 2 5 5" xfId="18608"/>
    <cellStyle name="Normal 2 5 4 2 5 6" xfId="27048"/>
    <cellStyle name="Normal 2 5 4 2 6" xfId="2054"/>
    <cellStyle name="Normal 2 5 4 2 6 2" xfId="4283"/>
    <cellStyle name="Normal 2 5 4 2 6 2 2" xfId="8506"/>
    <cellStyle name="Normal 2 5 4 2 6 2 2 2" xfId="16942"/>
    <cellStyle name="Normal 2 5 4 2 6 2 2 3" xfId="25383"/>
    <cellStyle name="Normal 2 5 4 2 6 2 2 4" xfId="33823"/>
    <cellStyle name="Normal 2 5 4 2 6 2 3" xfId="12724"/>
    <cellStyle name="Normal 2 5 4 2 6 2 4" xfId="21166"/>
    <cellStyle name="Normal 2 5 4 2 6 2 5" xfId="29606"/>
    <cellStyle name="Normal 2 5 4 2 6 3" xfId="6361"/>
    <cellStyle name="Normal 2 5 4 2 6 3 2" xfId="14797"/>
    <cellStyle name="Normal 2 5 4 2 6 3 3" xfId="23238"/>
    <cellStyle name="Normal 2 5 4 2 6 3 4" xfId="31678"/>
    <cellStyle name="Normal 2 5 4 2 6 4" xfId="10579"/>
    <cellStyle name="Normal 2 5 4 2 6 5" xfId="19021"/>
    <cellStyle name="Normal 2 5 4 2 6 6" xfId="27461"/>
    <cellStyle name="Normal 2 5 4 2 7" xfId="2490"/>
    <cellStyle name="Normal 2 5 4 2 7 2" xfId="6774"/>
    <cellStyle name="Normal 2 5 4 2 7 2 2" xfId="15210"/>
    <cellStyle name="Normal 2 5 4 2 7 2 3" xfId="23651"/>
    <cellStyle name="Normal 2 5 4 2 7 2 4" xfId="32091"/>
    <cellStyle name="Normal 2 5 4 2 7 3" xfId="10992"/>
    <cellStyle name="Normal 2 5 4 2 7 4" xfId="19434"/>
    <cellStyle name="Normal 2 5 4 2 7 5" xfId="27874"/>
    <cellStyle name="Normal 2 5 4 2 8" xfId="4708"/>
    <cellStyle name="Normal 2 5 4 2 8 2" xfId="13144"/>
    <cellStyle name="Normal 2 5 4 2 8 3" xfId="21585"/>
    <cellStyle name="Normal 2 5 4 2 8 4" xfId="30025"/>
    <cellStyle name="Normal 2 5 4 2 9" xfId="8926"/>
    <cellStyle name="Normal 2 5 4 3" xfId="321"/>
    <cellStyle name="Normal 2 5 4 3 10" xfId="25810"/>
    <cellStyle name="Normal 2 5 4 3 2" xfId="807"/>
    <cellStyle name="Normal 2 5 4 3 2 2" xfId="3046"/>
    <cellStyle name="Normal 2 5 4 3 2 2 2" xfId="7269"/>
    <cellStyle name="Normal 2 5 4 3 2 2 2 2" xfId="15705"/>
    <cellStyle name="Normal 2 5 4 3 2 2 2 3" xfId="24146"/>
    <cellStyle name="Normal 2 5 4 3 2 2 2 4" xfId="32586"/>
    <cellStyle name="Normal 2 5 4 3 2 2 3" xfId="11487"/>
    <cellStyle name="Normal 2 5 4 3 2 2 4" xfId="19929"/>
    <cellStyle name="Normal 2 5 4 3 2 2 5" xfId="28369"/>
    <cellStyle name="Normal 2 5 4 3 2 3" xfId="5124"/>
    <cellStyle name="Normal 2 5 4 3 2 3 2" xfId="13560"/>
    <cellStyle name="Normal 2 5 4 3 2 3 3" xfId="22001"/>
    <cellStyle name="Normal 2 5 4 3 2 3 4" xfId="30441"/>
    <cellStyle name="Normal 2 5 4 3 2 4" xfId="9342"/>
    <cellStyle name="Normal 2 5 4 3 2 5" xfId="17784"/>
    <cellStyle name="Normal 2 5 4 3 2 6" xfId="26224"/>
    <cellStyle name="Normal 2 5 4 3 3" xfId="1229"/>
    <cellStyle name="Normal 2 5 4 3 3 2" xfId="3459"/>
    <cellStyle name="Normal 2 5 4 3 3 2 2" xfId="7682"/>
    <cellStyle name="Normal 2 5 4 3 3 2 2 2" xfId="16118"/>
    <cellStyle name="Normal 2 5 4 3 3 2 2 3" xfId="24559"/>
    <cellStyle name="Normal 2 5 4 3 3 2 2 4" xfId="32999"/>
    <cellStyle name="Normal 2 5 4 3 3 2 3" xfId="11900"/>
    <cellStyle name="Normal 2 5 4 3 3 2 4" xfId="20342"/>
    <cellStyle name="Normal 2 5 4 3 3 2 5" xfId="28782"/>
    <cellStyle name="Normal 2 5 4 3 3 3" xfId="5537"/>
    <cellStyle name="Normal 2 5 4 3 3 3 2" xfId="13973"/>
    <cellStyle name="Normal 2 5 4 3 3 3 3" xfId="22414"/>
    <cellStyle name="Normal 2 5 4 3 3 3 4" xfId="30854"/>
    <cellStyle name="Normal 2 5 4 3 3 4" xfId="9755"/>
    <cellStyle name="Normal 2 5 4 3 3 5" xfId="18197"/>
    <cellStyle name="Normal 2 5 4 3 3 6" xfId="26637"/>
    <cellStyle name="Normal 2 5 4 3 4" xfId="1642"/>
    <cellStyle name="Normal 2 5 4 3 4 2" xfId="3872"/>
    <cellStyle name="Normal 2 5 4 3 4 2 2" xfId="8095"/>
    <cellStyle name="Normal 2 5 4 3 4 2 2 2" xfId="16531"/>
    <cellStyle name="Normal 2 5 4 3 4 2 2 3" xfId="24972"/>
    <cellStyle name="Normal 2 5 4 3 4 2 2 4" xfId="33412"/>
    <cellStyle name="Normal 2 5 4 3 4 2 3" xfId="12313"/>
    <cellStyle name="Normal 2 5 4 3 4 2 4" xfId="20755"/>
    <cellStyle name="Normal 2 5 4 3 4 2 5" xfId="29195"/>
    <cellStyle name="Normal 2 5 4 3 4 3" xfId="5950"/>
    <cellStyle name="Normal 2 5 4 3 4 3 2" xfId="14386"/>
    <cellStyle name="Normal 2 5 4 3 4 3 3" xfId="22827"/>
    <cellStyle name="Normal 2 5 4 3 4 3 4" xfId="31267"/>
    <cellStyle name="Normal 2 5 4 3 4 4" xfId="10168"/>
    <cellStyle name="Normal 2 5 4 3 4 5" xfId="18610"/>
    <cellStyle name="Normal 2 5 4 3 4 6" xfId="27050"/>
    <cellStyle name="Normal 2 5 4 3 5" xfId="2056"/>
    <cellStyle name="Normal 2 5 4 3 5 2" xfId="4285"/>
    <cellStyle name="Normal 2 5 4 3 5 2 2" xfId="8508"/>
    <cellStyle name="Normal 2 5 4 3 5 2 2 2" xfId="16944"/>
    <cellStyle name="Normal 2 5 4 3 5 2 2 3" xfId="25385"/>
    <cellStyle name="Normal 2 5 4 3 5 2 2 4" xfId="33825"/>
    <cellStyle name="Normal 2 5 4 3 5 2 3" xfId="12726"/>
    <cellStyle name="Normal 2 5 4 3 5 2 4" xfId="21168"/>
    <cellStyle name="Normal 2 5 4 3 5 2 5" xfId="29608"/>
    <cellStyle name="Normal 2 5 4 3 5 3" xfId="6363"/>
    <cellStyle name="Normal 2 5 4 3 5 3 2" xfId="14799"/>
    <cellStyle name="Normal 2 5 4 3 5 3 3" xfId="23240"/>
    <cellStyle name="Normal 2 5 4 3 5 3 4" xfId="31680"/>
    <cellStyle name="Normal 2 5 4 3 5 4" xfId="10581"/>
    <cellStyle name="Normal 2 5 4 3 5 5" xfId="19023"/>
    <cellStyle name="Normal 2 5 4 3 5 6" xfId="27463"/>
    <cellStyle name="Normal 2 5 4 3 6" xfId="2492"/>
    <cellStyle name="Normal 2 5 4 3 6 2" xfId="6776"/>
    <cellStyle name="Normal 2 5 4 3 6 2 2" xfId="15212"/>
    <cellStyle name="Normal 2 5 4 3 6 2 3" xfId="23653"/>
    <cellStyle name="Normal 2 5 4 3 6 2 4" xfId="32093"/>
    <cellStyle name="Normal 2 5 4 3 6 3" xfId="10994"/>
    <cellStyle name="Normal 2 5 4 3 6 4" xfId="19436"/>
    <cellStyle name="Normal 2 5 4 3 6 5" xfId="27876"/>
    <cellStyle name="Normal 2 5 4 3 7" xfId="4710"/>
    <cellStyle name="Normal 2 5 4 3 7 2" xfId="13146"/>
    <cellStyle name="Normal 2 5 4 3 7 3" xfId="21587"/>
    <cellStyle name="Normal 2 5 4 3 7 4" xfId="30027"/>
    <cellStyle name="Normal 2 5 4 3 8" xfId="8928"/>
    <cellStyle name="Normal 2 5 4 3 9" xfId="17370"/>
    <cellStyle name="Normal 2 5 4 4" xfId="804"/>
    <cellStyle name="Normal 2 5 4 4 2" xfId="3043"/>
    <cellStyle name="Normal 2 5 4 4 2 2" xfId="7266"/>
    <cellStyle name="Normal 2 5 4 4 2 2 2" xfId="15702"/>
    <cellStyle name="Normal 2 5 4 4 2 2 3" xfId="24143"/>
    <cellStyle name="Normal 2 5 4 4 2 2 4" xfId="32583"/>
    <cellStyle name="Normal 2 5 4 4 2 3" xfId="11484"/>
    <cellStyle name="Normal 2 5 4 4 2 4" xfId="19926"/>
    <cellStyle name="Normal 2 5 4 4 2 5" xfId="28366"/>
    <cellStyle name="Normal 2 5 4 4 3" xfId="5121"/>
    <cellStyle name="Normal 2 5 4 4 3 2" xfId="13557"/>
    <cellStyle name="Normal 2 5 4 4 3 3" xfId="21998"/>
    <cellStyle name="Normal 2 5 4 4 3 4" xfId="30438"/>
    <cellStyle name="Normal 2 5 4 4 4" xfId="9339"/>
    <cellStyle name="Normal 2 5 4 4 5" xfId="17781"/>
    <cellStyle name="Normal 2 5 4 4 6" xfId="26221"/>
    <cellStyle name="Normal 2 5 4 5" xfId="1226"/>
    <cellStyle name="Normal 2 5 4 5 2" xfId="3456"/>
    <cellStyle name="Normal 2 5 4 5 2 2" xfId="7679"/>
    <cellStyle name="Normal 2 5 4 5 2 2 2" xfId="16115"/>
    <cellStyle name="Normal 2 5 4 5 2 2 3" xfId="24556"/>
    <cellStyle name="Normal 2 5 4 5 2 2 4" xfId="32996"/>
    <cellStyle name="Normal 2 5 4 5 2 3" xfId="11897"/>
    <cellStyle name="Normal 2 5 4 5 2 4" xfId="20339"/>
    <cellStyle name="Normal 2 5 4 5 2 5" xfId="28779"/>
    <cellStyle name="Normal 2 5 4 5 3" xfId="5534"/>
    <cellStyle name="Normal 2 5 4 5 3 2" xfId="13970"/>
    <cellStyle name="Normal 2 5 4 5 3 3" xfId="22411"/>
    <cellStyle name="Normal 2 5 4 5 3 4" xfId="30851"/>
    <cellStyle name="Normal 2 5 4 5 4" xfId="9752"/>
    <cellStyle name="Normal 2 5 4 5 5" xfId="18194"/>
    <cellStyle name="Normal 2 5 4 5 6" xfId="26634"/>
    <cellStyle name="Normal 2 5 4 6" xfId="1639"/>
    <cellStyle name="Normal 2 5 4 6 2" xfId="3869"/>
    <cellStyle name="Normal 2 5 4 6 2 2" xfId="8092"/>
    <cellStyle name="Normal 2 5 4 6 2 2 2" xfId="16528"/>
    <cellStyle name="Normal 2 5 4 6 2 2 3" xfId="24969"/>
    <cellStyle name="Normal 2 5 4 6 2 2 4" xfId="33409"/>
    <cellStyle name="Normal 2 5 4 6 2 3" xfId="12310"/>
    <cellStyle name="Normal 2 5 4 6 2 4" xfId="20752"/>
    <cellStyle name="Normal 2 5 4 6 2 5" xfId="29192"/>
    <cellStyle name="Normal 2 5 4 6 3" xfId="5947"/>
    <cellStyle name="Normal 2 5 4 6 3 2" xfId="14383"/>
    <cellStyle name="Normal 2 5 4 6 3 3" xfId="22824"/>
    <cellStyle name="Normal 2 5 4 6 3 4" xfId="31264"/>
    <cellStyle name="Normal 2 5 4 6 4" xfId="10165"/>
    <cellStyle name="Normal 2 5 4 6 5" xfId="18607"/>
    <cellStyle name="Normal 2 5 4 6 6" xfId="27047"/>
    <cellStyle name="Normal 2 5 4 7" xfId="2053"/>
    <cellStyle name="Normal 2 5 4 7 2" xfId="4282"/>
    <cellStyle name="Normal 2 5 4 7 2 2" xfId="8505"/>
    <cellStyle name="Normal 2 5 4 7 2 2 2" xfId="16941"/>
    <cellStyle name="Normal 2 5 4 7 2 2 3" xfId="25382"/>
    <cellStyle name="Normal 2 5 4 7 2 2 4" xfId="33822"/>
    <cellStyle name="Normal 2 5 4 7 2 3" xfId="12723"/>
    <cellStyle name="Normal 2 5 4 7 2 4" xfId="21165"/>
    <cellStyle name="Normal 2 5 4 7 2 5" xfId="29605"/>
    <cellStyle name="Normal 2 5 4 7 3" xfId="6360"/>
    <cellStyle name="Normal 2 5 4 7 3 2" xfId="14796"/>
    <cellStyle name="Normal 2 5 4 7 3 3" xfId="23237"/>
    <cellStyle name="Normal 2 5 4 7 3 4" xfId="31677"/>
    <cellStyle name="Normal 2 5 4 7 4" xfId="10578"/>
    <cellStyle name="Normal 2 5 4 7 5" xfId="19020"/>
    <cellStyle name="Normal 2 5 4 7 6" xfId="27460"/>
    <cellStyle name="Normal 2 5 4 8" xfId="2489"/>
    <cellStyle name="Normal 2 5 4 8 2" xfId="6773"/>
    <cellStyle name="Normal 2 5 4 8 2 2" xfId="15209"/>
    <cellStyle name="Normal 2 5 4 8 2 3" xfId="23650"/>
    <cellStyle name="Normal 2 5 4 8 2 4" xfId="32090"/>
    <cellStyle name="Normal 2 5 4 8 3" xfId="10991"/>
    <cellStyle name="Normal 2 5 4 8 4" xfId="19433"/>
    <cellStyle name="Normal 2 5 4 8 5" xfId="27873"/>
    <cellStyle name="Normal 2 5 4 9" xfId="4707"/>
    <cellStyle name="Normal 2 5 4 9 2" xfId="13143"/>
    <cellStyle name="Normal 2 5 4 9 3" xfId="21584"/>
    <cellStyle name="Normal 2 5 4 9 4" xfId="30024"/>
    <cellStyle name="Normal 2 5 5" xfId="803"/>
    <cellStyle name="Normal 2 5 5 2" xfId="3042"/>
    <cellStyle name="Normal 2 5 5 2 2" xfId="7265"/>
    <cellStyle name="Normal 2 5 5 2 2 2" xfId="15701"/>
    <cellStyle name="Normal 2 5 5 2 2 3" xfId="24142"/>
    <cellStyle name="Normal 2 5 5 2 2 4" xfId="32582"/>
    <cellStyle name="Normal 2 5 5 2 3" xfId="11483"/>
    <cellStyle name="Normal 2 5 5 2 4" xfId="19925"/>
    <cellStyle name="Normal 2 5 5 2 5" xfId="28365"/>
    <cellStyle name="Normal 2 5 5 3" xfId="5120"/>
    <cellStyle name="Normal 2 5 5 3 2" xfId="13556"/>
    <cellStyle name="Normal 2 5 5 3 3" xfId="21997"/>
    <cellStyle name="Normal 2 5 5 3 4" xfId="30437"/>
    <cellStyle name="Normal 2 5 5 4" xfId="9338"/>
    <cellStyle name="Normal 2 5 5 5" xfId="17780"/>
    <cellStyle name="Normal 2 5 5 6" xfId="26220"/>
    <cellStyle name="Normal 2 5 6" xfId="1225"/>
    <cellStyle name="Normal 2 5 6 2" xfId="3455"/>
    <cellStyle name="Normal 2 5 6 2 2" xfId="7678"/>
    <cellStyle name="Normal 2 5 6 2 2 2" xfId="16114"/>
    <cellStyle name="Normal 2 5 6 2 2 3" xfId="24555"/>
    <cellStyle name="Normal 2 5 6 2 2 4" xfId="32995"/>
    <cellStyle name="Normal 2 5 6 2 3" xfId="11896"/>
    <cellStyle name="Normal 2 5 6 2 4" xfId="20338"/>
    <cellStyle name="Normal 2 5 6 2 5" xfId="28778"/>
    <cellStyle name="Normal 2 5 6 3" xfId="5533"/>
    <cellStyle name="Normal 2 5 6 3 2" xfId="13969"/>
    <cellStyle name="Normal 2 5 6 3 3" xfId="22410"/>
    <cellStyle name="Normal 2 5 6 3 4" xfId="30850"/>
    <cellStyle name="Normal 2 5 6 4" xfId="9751"/>
    <cellStyle name="Normal 2 5 6 5" xfId="18193"/>
    <cellStyle name="Normal 2 5 6 6" xfId="26633"/>
    <cellStyle name="Normal 2 5 7" xfId="1638"/>
    <cellStyle name="Normal 2 5 7 2" xfId="3868"/>
    <cellStyle name="Normal 2 5 7 2 2" xfId="8091"/>
    <cellStyle name="Normal 2 5 7 2 2 2" xfId="16527"/>
    <cellStyle name="Normal 2 5 7 2 2 3" xfId="24968"/>
    <cellStyle name="Normal 2 5 7 2 2 4" xfId="33408"/>
    <cellStyle name="Normal 2 5 7 2 3" xfId="12309"/>
    <cellStyle name="Normal 2 5 7 2 4" xfId="20751"/>
    <cellStyle name="Normal 2 5 7 2 5" xfId="29191"/>
    <cellStyle name="Normal 2 5 7 3" xfId="5946"/>
    <cellStyle name="Normal 2 5 7 3 2" xfId="14382"/>
    <cellStyle name="Normal 2 5 7 3 3" xfId="22823"/>
    <cellStyle name="Normal 2 5 7 3 4" xfId="31263"/>
    <cellStyle name="Normal 2 5 7 4" xfId="10164"/>
    <cellStyle name="Normal 2 5 7 5" xfId="18606"/>
    <cellStyle name="Normal 2 5 7 6" xfId="27046"/>
    <cellStyle name="Normal 2 5 8" xfId="2052"/>
    <cellStyle name="Normal 2 5 8 2" xfId="4281"/>
    <cellStyle name="Normal 2 5 8 2 2" xfId="8504"/>
    <cellStyle name="Normal 2 5 8 2 2 2" xfId="16940"/>
    <cellStyle name="Normal 2 5 8 2 2 3" xfId="25381"/>
    <cellStyle name="Normal 2 5 8 2 2 4" xfId="33821"/>
    <cellStyle name="Normal 2 5 8 2 3" xfId="12722"/>
    <cellStyle name="Normal 2 5 8 2 4" xfId="21164"/>
    <cellStyle name="Normal 2 5 8 2 5" xfId="29604"/>
    <cellStyle name="Normal 2 5 8 3" xfId="6359"/>
    <cellStyle name="Normal 2 5 8 3 2" xfId="14795"/>
    <cellStyle name="Normal 2 5 8 3 3" xfId="23236"/>
    <cellStyle name="Normal 2 5 8 3 4" xfId="31676"/>
    <cellStyle name="Normal 2 5 8 4" xfId="10577"/>
    <cellStyle name="Normal 2 5 8 5" xfId="19019"/>
    <cellStyle name="Normal 2 5 8 6" xfId="27459"/>
    <cellStyle name="Normal 2 5 9" xfId="2488"/>
    <cellStyle name="Normal 2 5 9 2" xfId="6772"/>
    <cellStyle name="Normal 2 5 9 2 2" xfId="15208"/>
    <cellStyle name="Normal 2 5 9 2 3" xfId="23649"/>
    <cellStyle name="Normal 2 5 9 2 4" xfId="32089"/>
    <cellStyle name="Normal 2 5 9 3" xfId="10990"/>
    <cellStyle name="Normal 2 5 9 4" xfId="19432"/>
    <cellStyle name="Normal 2 5 9 5" xfId="27872"/>
    <cellStyle name="Normal 2 6" xfId="322"/>
    <cellStyle name="Normal 2 7" xfId="769"/>
    <cellStyle name="Normal 2 8" xfId="4495"/>
    <cellStyle name="Normal 2 8 2" xfId="17158"/>
    <cellStyle name="Normal 2 8 3" xfId="12934"/>
    <cellStyle name="Normal 3" xfId="323"/>
    <cellStyle name="Normal 3 2" xfId="324"/>
    <cellStyle name="Normal 3 2 10" xfId="8929"/>
    <cellStyle name="Normal 3 2 11" xfId="17371"/>
    <cellStyle name="Normal 3 2 12" xfId="25811"/>
    <cellStyle name="Normal 3 2 2" xfId="325"/>
    <cellStyle name="Normal 3 2 2 2" xfId="810"/>
    <cellStyle name="Normal 3 2 3" xfId="326"/>
    <cellStyle name="Normal 3 2 3 10" xfId="8930"/>
    <cellStyle name="Normal 3 2 3 11" xfId="17372"/>
    <cellStyle name="Normal 3 2 3 12" xfId="25812"/>
    <cellStyle name="Normal 3 2 3 2" xfId="327"/>
    <cellStyle name="Normal 3 2 3 2 10" xfId="17373"/>
    <cellStyle name="Normal 3 2 3 2 11" xfId="25813"/>
    <cellStyle name="Normal 3 2 3 2 2" xfId="328"/>
    <cellStyle name="Normal 3 2 3 2 2 10" xfId="25814"/>
    <cellStyle name="Normal 3 2 3 2 2 2" xfId="813"/>
    <cellStyle name="Normal 3 2 3 2 2 2 2" xfId="3050"/>
    <cellStyle name="Normal 3 2 3 2 2 2 2 2" xfId="7273"/>
    <cellStyle name="Normal 3 2 3 2 2 2 2 2 2" xfId="15709"/>
    <cellStyle name="Normal 3 2 3 2 2 2 2 2 3" xfId="24150"/>
    <cellStyle name="Normal 3 2 3 2 2 2 2 2 4" xfId="32590"/>
    <cellStyle name="Normal 3 2 3 2 2 2 2 3" xfId="11491"/>
    <cellStyle name="Normal 3 2 3 2 2 2 2 4" xfId="19933"/>
    <cellStyle name="Normal 3 2 3 2 2 2 2 5" xfId="28373"/>
    <cellStyle name="Normal 3 2 3 2 2 2 3" xfId="5128"/>
    <cellStyle name="Normal 3 2 3 2 2 2 3 2" xfId="13564"/>
    <cellStyle name="Normal 3 2 3 2 2 2 3 3" xfId="22005"/>
    <cellStyle name="Normal 3 2 3 2 2 2 3 4" xfId="30445"/>
    <cellStyle name="Normal 3 2 3 2 2 2 4" xfId="9346"/>
    <cellStyle name="Normal 3 2 3 2 2 2 5" xfId="17788"/>
    <cellStyle name="Normal 3 2 3 2 2 2 6" xfId="26228"/>
    <cellStyle name="Normal 3 2 3 2 2 3" xfId="1233"/>
    <cellStyle name="Normal 3 2 3 2 2 3 2" xfId="3463"/>
    <cellStyle name="Normal 3 2 3 2 2 3 2 2" xfId="7686"/>
    <cellStyle name="Normal 3 2 3 2 2 3 2 2 2" xfId="16122"/>
    <cellStyle name="Normal 3 2 3 2 2 3 2 2 3" xfId="24563"/>
    <cellStyle name="Normal 3 2 3 2 2 3 2 2 4" xfId="33003"/>
    <cellStyle name="Normal 3 2 3 2 2 3 2 3" xfId="11904"/>
    <cellStyle name="Normal 3 2 3 2 2 3 2 4" xfId="20346"/>
    <cellStyle name="Normal 3 2 3 2 2 3 2 5" xfId="28786"/>
    <cellStyle name="Normal 3 2 3 2 2 3 3" xfId="5541"/>
    <cellStyle name="Normal 3 2 3 2 2 3 3 2" xfId="13977"/>
    <cellStyle name="Normal 3 2 3 2 2 3 3 3" xfId="22418"/>
    <cellStyle name="Normal 3 2 3 2 2 3 3 4" xfId="30858"/>
    <cellStyle name="Normal 3 2 3 2 2 3 4" xfId="9759"/>
    <cellStyle name="Normal 3 2 3 2 2 3 5" xfId="18201"/>
    <cellStyle name="Normal 3 2 3 2 2 3 6" xfId="26641"/>
    <cellStyle name="Normal 3 2 3 2 2 4" xfId="1646"/>
    <cellStyle name="Normal 3 2 3 2 2 4 2" xfId="3876"/>
    <cellStyle name="Normal 3 2 3 2 2 4 2 2" xfId="8099"/>
    <cellStyle name="Normal 3 2 3 2 2 4 2 2 2" xfId="16535"/>
    <cellStyle name="Normal 3 2 3 2 2 4 2 2 3" xfId="24976"/>
    <cellStyle name="Normal 3 2 3 2 2 4 2 2 4" xfId="33416"/>
    <cellStyle name="Normal 3 2 3 2 2 4 2 3" xfId="12317"/>
    <cellStyle name="Normal 3 2 3 2 2 4 2 4" xfId="20759"/>
    <cellStyle name="Normal 3 2 3 2 2 4 2 5" xfId="29199"/>
    <cellStyle name="Normal 3 2 3 2 2 4 3" xfId="5954"/>
    <cellStyle name="Normal 3 2 3 2 2 4 3 2" xfId="14390"/>
    <cellStyle name="Normal 3 2 3 2 2 4 3 3" xfId="22831"/>
    <cellStyle name="Normal 3 2 3 2 2 4 3 4" xfId="31271"/>
    <cellStyle name="Normal 3 2 3 2 2 4 4" xfId="10172"/>
    <cellStyle name="Normal 3 2 3 2 2 4 5" xfId="18614"/>
    <cellStyle name="Normal 3 2 3 2 2 4 6" xfId="27054"/>
    <cellStyle name="Normal 3 2 3 2 2 5" xfId="2060"/>
    <cellStyle name="Normal 3 2 3 2 2 5 2" xfId="4289"/>
    <cellStyle name="Normal 3 2 3 2 2 5 2 2" xfId="8512"/>
    <cellStyle name="Normal 3 2 3 2 2 5 2 2 2" xfId="16948"/>
    <cellStyle name="Normal 3 2 3 2 2 5 2 2 3" xfId="25389"/>
    <cellStyle name="Normal 3 2 3 2 2 5 2 2 4" xfId="33829"/>
    <cellStyle name="Normal 3 2 3 2 2 5 2 3" xfId="12730"/>
    <cellStyle name="Normal 3 2 3 2 2 5 2 4" xfId="21172"/>
    <cellStyle name="Normal 3 2 3 2 2 5 2 5" xfId="29612"/>
    <cellStyle name="Normal 3 2 3 2 2 5 3" xfId="6367"/>
    <cellStyle name="Normal 3 2 3 2 2 5 3 2" xfId="14803"/>
    <cellStyle name="Normal 3 2 3 2 2 5 3 3" xfId="23244"/>
    <cellStyle name="Normal 3 2 3 2 2 5 3 4" xfId="31684"/>
    <cellStyle name="Normal 3 2 3 2 2 5 4" xfId="10585"/>
    <cellStyle name="Normal 3 2 3 2 2 5 5" xfId="19027"/>
    <cellStyle name="Normal 3 2 3 2 2 5 6" xfId="27467"/>
    <cellStyle name="Normal 3 2 3 2 2 6" xfId="2496"/>
    <cellStyle name="Normal 3 2 3 2 2 6 2" xfId="6780"/>
    <cellStyle name="Normal 3 2 3 2 2 6 2 2" xfId="15216"/>
    <cellStyle name="Normal 3 2 3 2 2 6 2 3" xfId="23657"/>
    <cellStyle name="Normal 3 2 3 2 2 6 2 4" xfId="32097"/>
    <cellStyle name="Normal 3 2 3 2 2 6 3" xfId="10998"/>
    <cellStyle name="Normal 3 2 3 2 2 6 4" xfId="19440"/>
    <cellStyle name="Normal 3 2 3 2 2 6 5" xfId="27880"/>
    <cellStyle name="Normal 3 2 3 2 2 7" xfId="4714"/>
    <cellStyle name="Normal 3 2 3 2 2 7 2" xfId="13150"/>
    <cellStyle name="Normal 3 2 3 2 2 7 3" xfId="21591"/>
    <cellStyle name="Normal 3 2 3 2 2 7 4" xfId="30031"/>
    <cellStyle name="Normal 3 2 3 2 2 8" xfId="8932"/>
    <cellStyle name="Normal 3 2 3 2 2 9" xfId="17374"/>
    <cellStyle name="Normal 3 2 3 2 3" xfId="812"/>
    <cellStyle name="Normal 3 2 3 2 3 2" xfId="3049"/>
    <cellStyle name="Normal 3 2 3 2 3 2 2" xfId="7272"/>
    <cellStyle name="Normal 3 2 3 2 3 2 2 2" xfId="15708"/>
    <cellStyle name="Normal 3 2 3 2 3 2 2 3" xfId="24149"/>
    <cellStyle name="Normal 3 2 3 2 3 2 2 4" xfId="32589"/>
    <cellStyle name="Normal 3 2 3 2 3 2 3" xfId="11490"/>
    <cellStyle name="Normal 3 2 3 2 3 2 4" xfId="19932"/>
    <cellStyle name="Normal 3 2 3 2 3 2 5" xfId="28372"/>
    <cellStyle name="Normal 3 2 3 2 3 3" xfId="5127"/>
    <cellStyle name="Normal 3 2 3 2 3 3 2" xfId="13563"/>
    <cellStyle name="Normal 3 2 3 2 3 3 3" xfId="22004"/>
    <cellStyle name="Normal 3 2 3 2 3 3 4" xfId="30444"/>
    <cellStyle name="Normal 3 2 3 2 3 4" xfId="9345"/>
    <cellStyle name="Normal 3 2 3 2 3 5" xfId="17787"/>
    <cellStyle name="Normal 3 2 3 2 3 6" xfId="26227"/>
    <cellStyle name="Normal 3 2 3 2 4" xfId="1232"/>
    <cellStyle name="Normal 3 2 3 2 4 2" xfId="3462"/>
    <cellStyle name="Normal 3 2 3 2 4 2 2" xfId="7685"/>
    <cellStyle name="Normal 3 2 3 2 4 2 2 2" xfId="16121"/>
    <cellStyle name="Normal 3 2 3 2 4 2 2 3" xfId="24562"/>
    <cellStyle name="Normal 3 2 3 2 4 2 2 4" xfId="33002"/>
    <cellStyle name="Normal 3 2 3 2 4 2 3" xfId="11903"/>
    <cellStyle name="Normal 3 2 3 2 4 2 4" xfId="20345"/>
    <cellStyle name="Normal 3 2 3 2 4 2 5" xfId="28785"/>
    <cellStyle name="Normal 3 2 3 2 4 3" xfId="5540"/>
    <cellStyle name="Normal 3 2 3 2 4 3 2" xfId="13976"/>
    <cellStyle name="Normal 3 2 3 2 4 3 3" xfId="22417"/>
    <cellStyle name="Normal 3 2 3 2 4 3 4" xfId="30857"/>
    <cellStyle name="Normal 3 2 3 2 4 4" xfId="9758"/>
    <cellStyle name="Normal 3 2 3 2 4 5" xfId="18200"/>
    <cellStyle name="Normal 3 2 3 2 4 6" xfId="26640"/>
    <cellStyle name="Normal 3 2 3 2 5" xfId="1645"/>
    <cellStyle name="Normal 3 2 3 2 5 2" xfId="3875"/>
    <cellStyle name="Normal 3 2 3 2 5 2 2" xfId="8098"/>
    <cellStyle name="Normal 3 2 3 2 5 2 2 2" xfId="16534"/>
    <cellStyle name="Normal 3 2 3 2 5 2 2 3" xfId="24975"/>
    <cellStyle name="Normal 3 2 3 2 5 2 2 4" xfId="33415"/>
    <cellStyle name="Normal 3 2 3 2 5 2 3" xfId="12316"/>
    <cellStyle name="Normal 3 2 3 2 5 2 4" xfId="20758"/>
    <cellStyle name="Normal 3 2 3 2 5 2 5" xfId="29198"/>
    <cellStyle name="Normal 3 2 3 2 5 3" xfId="5953"/>
    <cellStyle name="Normal 3 2 3 2 5 3 2" xfId="14389"/>
    <cellStyle name="Normal 3 2 3 2 5 3 3" xfId="22830"/>
    <cellStyle name="Normal 3 2 3 2 5 3 4" xfId="31270"/>
    <cellStyle name="Normal 3 2 3 2 5 4" xfId="10171"/>
    <cellStyle name="Normal 3 2 3 2 5 5" xfId="18613"/>
    <cellStyle name="Normal 3 2 3 2 5 6" xfId="27053"/>
    <cellStyle name="Normal 3 2 3 2 6" xfId="2059"/>
    <cellStyle name="Normal 3 2 3 2 6 2" xfId="4288"/>
    <cellStyle name="Normal 3 2 3 2 6 2 2" xfId="8511"/>
    <cellStyle name="Normal 3 2 3 2 6 2 2 2" xfId="16947"/>
    <cellStyle name="Normal 3 2 3 2 6 2 2 3" xfId="25388"/>
    <cellStyle name="Normal 3 2 3 2 6 2 2 4" xfId="33828"/>
    <cellStyle name="Normal 3 2 3 2 6 2 3" xfId="12729"/>
    <cellStyle name="Normal 3 2 3 2 6 2 4" xfId="21171"/>
    <cellStyle name="Normal 3 2 3 2 6 2 5" xfId="29611"/>
    <cellStyle name="Normal 3 2 3 2 6 3" xfId="6366"/>
    <cellStyle name="Normal 3 2 3 2 6 3 2" xfId="14802"/>
    <cellStyle name="Normal 3 2 3 2 6 3 3" xfId="23243"/>
    <cellStyle name="Normal 3 2 3 2 6 3 4" xfId="31683"/>
    <cellStyle name="Normal 3 2 3 2 6 4" xfId="10584"/>
    <cellStyle name="Normal 3 2 3 2 6 5" xfId="19026"/>
    <cellStyle name="Normal 3 2 3 2 6 6" xfId="27466"/>
    <cellStyle name="Normal 3 2 3 2 7" xfId="2495"/>
    <cellStyle name="Normal 3 2 3 2 7 2" xfId="6779"/>
    <cellStyle name="Normal 3 2 3 2 7 2 2" xfId="15215"/>
    <cellStyle name="Normal 3 2 3 2 7 2 3" xfId="23656"/>
    <cellStyle name="Normal 3 2 3 2 7 2 4" xfId="32096"/>
    <cellStyle name="Normal 3 2 3 2 7 3" xfId="10997"/>
    <cellStyle name="Normal 3 2 3 2 7 4" xfId="19439"/>
    <cellStyle name="Normal 3 2 3 2 7 5" xfId="27879"/>
    <cellStyle name="Normal 3 2 3 2 8" xfId="4713"/>
    <cellStyle name="Normal 3 2 3 2 8 2" xfId="13149"/>
    <cellStyle name="Normal 3 2 3 2 8 3" xfId="21590"/>
    <cellStyle name="Normal 3 2 3 2 8 4" xfId="30030"/>
    <cellStyle name="Normal 3 2 3 2 9" xfId="8931"/>
    <cellStyle name="Normal 3 2 3 3" xfId="329"/>
    <cellStyle name="Normal 3 2 3 3 10" xfId="25815"/>
    <cellStyle name="Normal 3 2 3 3 2" xfId="814"/>
    <cellStyle name="Normal 3 2 3 3 2 2" xfId="3051"/>
    <cellStyle name="Normal 3 2 3 3 2 2 2" xfId="7274"/>
    <cellStyle name="Normal 3 2 3 3 2 2 2 2" xfId="15710"/>
    <cellStyle name="Normal 3 2 3 3 2 2 2 3" xfId="24151"/>
    <cellStyle name="Normal 3 2 3 3 2 2 2 4" xfId="32591"/>
    <cellStyle name="Normal 3 2 3 3 2 2 3" xfId="11492"/>
    <cellStyle name="Normal 3 2 3 3 2 2 4" xfId="19934"/>
    <cellStyle name="Normal 3 2 3 3 2 2 5" xfId="28374"/>
    <cellStyle name="Normal 3 2 3 3 2 3" xfId="5129"/>
    <cellStyle name="Normal 3 2 3 3 2 3 2" xfId="13565"/>
    <cellStyle name="Normal 3 2 3 3 2 3 3" xfId="22006"/>
    <cellStyle name="Normal 3 2 3 3 2 3 4" xfId="30446"/>
    <cellStyle name="Normal 3 2 3 3 2 4" xfId="9347"/>
    <cellStyle name="Normal 3 2 3 3 2 5" xfId="17789"/>
    <cellStyle name="Normal 3 2 3 3 2 6" xfId="26229"/>
    <cellStyle name="Normal 3 2 3 3 3" xfId="1234"/>
    <cellStyle name="Normal 3 2 3 3 3 2" xfId="3464"/>
    <cellStyle name="Normal 3 2 3 3 3 2 2" xfId="7687"/>
    <cellStyle name="Normal 3 2 3 3 3 2 2 2" xfId="16123"/>
    <cellStyle name="Normal 3 2 3 3 3 2 2 3" xfId="24564"/>
    <cellStyle name="Normal 3 2 3 3 3 2 2 4" xfId="33004"/>
    <cellStyle name="Normal 3 2 3 3 3 2 3" xfId="11905"/>
    <cellStyle name="Normal 3 2 3 3 3 2 4" xfId="20347"/>
    <cellStyle name="Normal 3 2 3 3 3 2 5" xfId="28787"/>
    <cellStyle name="Normal 3 2 3 3 3 3" xfId="5542"/>
    <cellStyle name="Normal 3 2 3 3 3 3 2" xfId="13978"/>
    <cellStyle name="Normal 3 2 3 3 3 3 3" xfId="22419"/>
    <cellStyle name="Normal 3 2 3 3 3 3 4" xfId="30859"/>
    <cellStyle name="Normal 3 2 3 3 3 4" xfId="9760"/>
    <cellStyle name="Normal 3 2 3 3 3 5" xfId="18202"/>
    <cellStyle name="Normal 3 2 3 3 3 6" xfId="26642"/>
    <cellStyle name="Normal 3 2 3 3 4" xfId="1647"/>
    <cellStyle name="Normal 3 2 3 3 4 2" xfId="3877"/>
    <cellStyle name="Normal 3 2 3 3 4 2 2" xfId="8100"/>
    <cellStyle name="Normal 3 2 3 3 4 2 2 2" xfId="16536"/>
    <cellStyle name="Normal 3 2 3 3 4 2 2 3" xfId="24977"/>
    <cellStyle name="Normal 3 2 3 3 4 2 2 4" xfId="33417"/>
    <cellStyle name="Normal 3 2 3 3 4 2 3" xfId="12318"/>
    <cellStyle name="Normal 3 2 3 3 4 2 4" xfId="20760"/>
    <cellStyle name="Normal 3 2 3 3 4 2 5" xfId="29200"/>
    <cellStyle name="Normal 3 2 3 3 4 3" xfId="5955"/>
    <cellStyle name="Normal 3 2 3 3 4 3 2" xfId="14391"/>
    <cellStyle name="Normal 3 2 3 3 4 3 3" xfId="22832"/>
    <cellStyle name="Normal 3 2 3 3 4 3 4" xfId="31272"/>
    <cellStyle name="Normal 3 2 3 3 4 4" xfId="10173"/>
    <cellStyle name="Normal 3 2 3 3 4 5" xfId="18615"/>
    <cellStyle name="Normal 3 2 3 3 4 6" xfId="27055"/>
    <cellStyle name="Normal 3 2 3 3 5" xfId="2061"/>
    <cellStyle name="Normal 3 2 3 3 5 2" xfId="4290"/>
    <cellStyle name="Normal 3 2 3 3 5 2 2" xfId="8513"/>
    <cellStyle name="Normal 3 2 3 3 5 2 2 2" xfId="16949"/>
    <cellStyle name="Normal 3 2 3 3 5 2 2 3" xfId="25390"/>
    <cellStyle name="Normal 3 2 3 3 5 2 2 4" xfId="33830"/>
    <cellStyle name="Normal 3 2 3 3 5 2 3" xfId="12731"/>
    <cellStyle name="Normal 3 2 3 3 5 2 4" xfId="21173"/>
    <cellStyle name="Normal 3 2 3 3 5 2 5" xfId="29613"/>
    <cellStyle name="Normal 3 2 3 3 5 3" xfId="6368"/>
    <cellStyle name="Normal 3 2 3 3 5 3 2" xfId="14804"/>
    <cellStyle name="Normal 3 2 3 3 5 3 3" xfId="23245"/>
    <cellStyle name="Normal 3 2 3 3 5 3 4" xfId="31685"/>
    <cellStyle name="Normal 3 2 3 3 5 4" xfId="10586"/>
    <cellStyle name="Normal 3 2 3 3 5 5" xfId="19028"/>
    <cellStyle name="Normal 3 2 3 3 5 6" xfId="27468"/>
    <cellStyle name="Normal 3 2 3 3 6" xfId="2497"/>
    <cellStyle name="Normal 3 2 3 3 6 2" xfId="6781"/>
    <cellStyle name="Normal 3 2 3 3 6 2 2" xfId="15217"/>
    <cellStyle name="Normal 3 2 3 3 6 2 3" xfId="23658"/>
    <cellStyle name="Normal 3 2 3 3 6 2 4" xfId="32098"/>
    <cellStyle name="Normal 3 2 3 3 6 3" xfId="10999"/>
    <cellStyle name="Normal 3 2 3 3 6 4" xfId="19441"/>
    <cellStyle name="Normal 3 2 3 3 6 5" xfId="27881"/>
    <cellStyle name="Normal 3 2 3 3 7" xfId="4715"/>
    <cellStyle name="Normal 3 2 3 3 7 2" xfId="13151"/>
    <cellStyle name="Normal 3 2 3 3 7 3" xfId="21592"/>
    <cellStyle name="Normal 3 2 3 3 7 4" xfId="30032"/>
    <cellStyle name="Normal 3 2 3 3 8" xfId="8933"/>
    <cellStyle name="Normal 3 2 3 3 9" xfId="17375"/>
    <cellStyle name="Normal 3 2 3 4" xfId="811"/>
    <cellStyle name="Normal 3 2 3 4 2" xfId="3048"/>
    <cellStyle name="Normal 3 2 3 4 2 2" xfId="7271"/>
    <cellStyle name="Normal 3 2 3 4 2 2 2" xfId="15707"/>
    <cellStyle name="Normal 3 2 3 4 2 2 3" xfId="24148"/>
    <cellStyle name="Normal 3 2 3 4 2 2 4" xfId="32588"/>
    <cellStyle name="Normal 3 2 3 4 2 3" xfId="11489"/>
    <cellStyle name="Normal 3 2 3 4 2 4" xfId="19931"/>
    <cellStyle name="Normal 3 2 3 4 2 5" xfId="28371"/>
    <cellStyle name="Normal 3 2 3 4 3" xfId="5126"/>
    <cellStyle name="Normal 3 2 3 4 3 2" xfId="13562"/>
    <cellStyle name="Normal 3 2 3 4 3 3" xfId="22003"/>
    <cellStyle name="Normal 3 2 3 4 3 4" xfId="30443"/>
    <cellStyle name="Normal 3 2 3 4 4" xfId="9344"/>
    <cellStyle name="Normal 3 2 3 4 5" xfId="17786"/>
    <cellStyle name="Normal 3 2 3 4 6" xfId="26226"/>
    <cellStyle name="Normal 3 2 3 5" xfId="1231"/>
    <cellStyle name="Normal 3 2 3 5 2" xfId="3461"/>
    <cellStyle name="Normal 3 2 3 5 2 2" xfId="7684"/>
    <cellStyle name="Normal 3 2 3 5 2 2 2" xfId="16120"/>
    <cellStyle name="Normal 3 2 3 5 2 2 3" xfId="24561"/>
    <cellStyle name="Normal 3 2 3 5 2 2 4" xfId="33001"/>
    <cellStyle name="Normal 3 2 3 5 2 3" xfId="11902"/>
    <cellStyle name="Normal 3 2 3 5 2 4" xfId="20344"/>
    <cellStyle name="Normal 3 2 3 5 2 5" xfId="28784"/>
    <cellStyle name="Normal 3 2 3 5 3" xfId="5539"/>
    <cellStyle name="Normal 3 2 3 5 3 2" xfId="13975"/>
    <cellStyle name="Normal 3 2 3 5 3 3" xfId="22416"/>
    <cellStyle name="Normal 3 2 3 5 3 4" xfId="30856"/>
    <cellStyle name="Normal 3 2 3 5 4" xfId="9757"/>
    <cellStyle name="Normal 3 2 3 5 5" xfId="18199"/>
    <cellStyle name="Normal 3 2 3 5 6" xfId="26639"/>
    <cellStyle name="Normal 3 2 3 6" xfId="1644"/>
    <cellStyle name="Normal 3 2 3 6 2" xfId="3874"/>
    <cellStyle name="Normal 3 2 3 6 2 2" xfId="8097"/>
    <cellStyle name="Normal 3 2 3 6 2 2 2" xfId="16533"/>
    <cellStyle name="Normal 3 2 3 6 2 2 3" xfId="24974"/>
    <cellStyle name="Normal 3 2 3 6 2 2 4" xfId="33414"/>
    <cellStyle name="Normal 3 2 3 6 2 3" xfId="12315"/>
    <cellStyle name="Normal 3 2 3 6 2 4" xfId="20757"/>
    <cellStyle name="Normal 3 2 3 6 2 5" xfId="29197"/>
    <cellStyle name="Normal 3 2 3 6 3" xfId="5952"/>
    <cellStyle name="Normal 3 2 3 6 3 2" xfId="14388"/>
    <cellStyle name="Normal 3 2 3 6 3 3" xfId="22829"/>
    <cellStyle name="Normal 3 2 3 6 3 4" xfId="31269"/>
    <cellStyle name="Normal 3 2 3 6 4" xfId="10170"/>
    <cellStyle name="Normal 3 2 3 6 5" xfId="18612"/>
    <cellStyle name="Normal 3 2 3 6 6" xfId="27052"/>
    <cellStyle name="Normal 3 2 3 7" xfId="2058"/>
    <cellStyle name="Normal 3 2 3 7 2" xfId="4287"/>
    <cellStyle name="Normal 3 2 3 7 2 2" xfId="8510"/>
    <cellStyle name="Normal 3 2 3 7 2 2 2" xfId="16946"/>
    <cellStyle name="Normal 3 2 3 7 2 2 3" xfId="25387"/>
    <cellStyle name="Normal 3 2 3 7 2 2 4" xfId="33827"/>
    <cellStyle name="Normal 3 2 3 7 2 3" xfId="12728"/>
    <cellStyle name="Normal 3 2 3 7 2 4" xfId="21170"/>
    <cellStyle name="Normal 3 2 3 7 2 5" xfId="29610"/>
    <cellStyle name="Normal 3 2 3 7 3" xfId="6365"/>
    <cellStyle name="Normal 3 2 3 7 3 2" xfId="14801"/>
    <cellStyle name="Normal 3 2 3 7 3 3" xfId="23242"/>
    <cellStyle name="Normal 3 2 3 7 3 4" xfId="31682"/>
    <cellStyle name="Normal 3 2 3 7 4" xfId="10583"/>
    <cellStyle name="Normal 3 2 3 7 5" xfId="19025"/>
    <cellStyle name="Normal 3 2 3 7 6" xfId="27465"/>
    <cellStyle name="Normal 3 2 3 8" xfId="2494"/>
    <cellStyle name="Normal 3 2 3 8 2" xfId="6778"/>
    <cellStyle name="Normal 3 2 3 8 2 2" xfId="15214"/>
    <cellStyle name="Normal 3 2 3 8 2 3" xfId="23655"/>
    <cellStyle name="Normal 3 2 3 8 2 4" xfId="32095"/>
    <cellStyle name="Normal 3 2 3 8 3" xfId="10996"/>
    <cellStyle name="Normal 3 2 3 8 4" xfId="19438"/>
    <cellStyle name="Normal 3 2 3 8 5" xfId="27878"/>
    <cellStyle name="Normal 3 2 3 9" xfId="4712"/>
    <cellStyle name="Normal 3 2 3 9 2" xfId="13148"/>
    <cellStyle name="Normal 3 2 3 9 3" xfId="21589"/>
    <cellStyle name="Normal 3 2 3 9 4" xfId="30029"/>
    <cellStyle name="Normal 3 2 4" xfId="809"/>
    <cellStyle name="Normal 3 2 4 2" xfId="3047"/>
    <cellStyle name="Normal 3 2 4 2 2" xfId="7270"/>
    <cellStyle name="Normal 3 2 4 2 2 2" xfId="15706"/>
    <cellStyle name="Normal 3 2 4 2 2 3" xfId="24147"/>
    <cellStyle name="Normal 3 2 4 2 2 4" xfId="32587"/>
    <cellStyle name="Normal 3 2 4 2 3" xfId="11488"/>
    <cellStyle name="Normal 3 2 4 2 4" xfId="19930"/>
    <cellStyle name="Normal 3 2 4 2 5" xfId="28370"/>
    <cellStyle name="Normal 3 2 4 3" xfId="5125"/>
    <cellStyle name="Normal 3 2 4 3 2" xfId="13561"/>
    <cellStyle name="Normal 3 2 4 3 3" xfId="22002"/>
    <cellStyle name="Normal 3 2 4 3 4" xfId="30442"/>
    <cellStyle name="Normal 3 2 4 4" xfId="9343"/>
    <cellStyle name="Normal 3 2 4 5" xfId="17785"/>
    <cellStyle name="Normal 3 2 4 6" xfId="26225"/>
    <cellStyle name="Normal 3 2 5" xfId="1230"/>
    <cellStyle name="Normal 3 2 5 2" xfId="3460"/>
    <cellStyle name="Normal 3 2 5 2 2" xfId="7683"/>
    <cellStyle name="Normal 3 2 5 2 2 2" xfId="16119"/>
    <cellStyle name="Normal 3 2 5 2 2 3" xfId="24560"/>
    <cellStyle name="Normal 3 2 5 2 2 4" xfId="33000"/>
    <cellStyle name="Normal 3 2 5 2 3" xfId="11901"/>
    <cellStyle name="Normal 3 2 5 2 4" xfId="20343"/>
    <cellStyle name="Normal 3 2 5 2 5" xfId="28783"/>
    <cellStyle name="Normal 3 2 5 3" xfId="5538"/>
    <cellStyle name="Normal 3 2 5 3 2" xfId="13974"/>
    <cellStyle name="Normal 3 2 5 3 3" xfId="22415"/>
    <cellStyle name="Normal 3 2 5 3 4" xfId="30855"/>
    <cellStyle name="Normal 3 2 5 4" xfId="9756"/>
    <cellStyle name="Normal 3 2 5 5" xfId="18198"/>
    <cellStyle name="Normal 3 2 5 6" xfId="26638"/>
    <cellStyle name="Normal 3 2 6" xfId="1643"/>
    <cellStyle name="Normal 3 2 6 2" xfId="3873"/>
    <cellStyle name="Normal 3 2 6 2 2" xfId="8096"/>
    <cellStyle name="Normal 3 2 6 2 2 2" xfId="16532"/>
    <cellStyle name="Normal 3 2 6 2 2 3" xfId="24973"/>
    <cellStyle name="Normal 3 2 6 2 2 4" xfId="33413"/>
    <cellStyle name="Normal 3 2 6 2 3" xfId="12314"/>
    <cellStyle name="Normal 3 2 6 2 4" xfId="20756"/>
    <cellStyle name="Normal 3 2 6 2 5" xfId="29196"/>
    <cellStyle name="Normal 3 2 6 3" xfId="5951"/>
    <cellStyle name="Normal 3 2 6 3 2" xfId="14387"/>
    <cellStyle name="Normal 3 2 6 3 3" xfId="22828"/>
    <cellStyle name="Normal 3 2 6 3 4" xfId="31268"/>
    <cellStyle name="Normal 3 2 6 4" xfId="10169"/>
    <cellStyle name="Normal 3 2 6 5" xfId="18611"/>
    <cellStyle name="Normal 3 2 6 6" xfId="27051"/>
    <cellStyle name="Normal 3 2 7" xfId="2057"/>
    <cellStyle name="Normal 3 2 7 2" xfId="4286"/>
    <cellStyle name="Normal 3 2 7 2 2" xfId="8509"/>
    <cellStyle name="Normal 3 2 7 2 2 2" xfId="16945"/>
    <cellStyle name="Normal 3 2 7 2 2 3" xfId="25386"/>
    <cellStyle name="Normal 3 2 7 2 2 4" xfId="33826"/>
    <cellStyle name="Normal 3 2 7 2 3" xfId="12727"/>
    <cellStyle name="Normal 3 2 7 2 4" xfId="21169"/>
    <cellStyle name="Normal 3 2 7 2 5" xfId="29609"/>
    <cellStyle name="Normal 3 2 7 3" xfId="6364"/>
    <cellStyle name="Normal 3 2 7 3 2" xfId="14800"/>
    <cellStyle name="Normal 3 2 7 3 3" xfId="23241"/>
    <cellStyle name="Normal 3 2 7 3 4" xfId="31681"/>
    <cellStyle name="Normal 3 2 7 4" xfId="10582"/>
    <cellStyle name="Normal 3 2 7 5" xfId="19024"/>
    <cellStyle name="Normal 3 2 7 6" xfId="27464"/>
    <cellStyle name="Normal 3 2 8" xfId="2493"/>
    <cellStyle name="Normal 3 2 8 2" xfId="6777"/>
    <cellStyle name="Normal 3 2 8 2 2" xfId="15213"/>
    <cellStyle name="Normal 3 2 8 2 3" xfId="23654"/>
    <cellStyle name="Normal 3 2 8 2 4" xfId="32094"/>
    <cellStyle name="Normal 3 2 8 3" xfId="10995"/>
    <cellStyle name="Normal 3 2 8 4" xfId="19437"/>
    <cellStyle name="Normal 3 2 8 5" xfId="27877"/>
    <cellStyle name="Normal 3 2 9" xfId="4711"/>
    <cellStyle name="Normal 3 2 9 2" xfId="13147"/>
    <cellStyle name="Normal 3 2 9 3" xfId="21588"/>
    <cellStyle name="Normal 3 2 9 4" xfId="30028"/>
    <cellStyle name="Normal 3 3" xfId="330"/>
    <cellStyle name="Normal 3 3 2" xfId="331"/>
    <cellStyle name="Normal 3 3 3" xfId="332"/>
    <cellStyle name="Normal 3 4" xfId="333"/>
    <cellStyle name="Normal 3 5" xfId="334"/>
    <cellStyle name="Normal 3 6" xfId="808"/>
    <cellStyle name="Normal 4" xfId="335"/>
    <cellStyle name="Normal 4 10" xfId="8934"/>
    <cellStyle name="Normal 4 11" xfId="17376"/>
    <cellStyle name="Normal 4 12" xfId="25816"/>
    <cellStyle name="Normal 4 2" xfId="336"/>
    <cellStyle name="Normal 4 2 2" xfId="337"/>
    <cellStyle name="Normal 4 2 2 10" xfId="2062"/>
    <cellStyle name="Normal 4 2 2 10 2" xfId="4291"/>
    <cellStyle name="Normal 4 2 2 10 2 2" xfId="8514"/>
    <cellStyle name="Normal 4 2 2 10 2 2 2" xfId="16950"/>
    <cellStyle name="Normal 4 2 2 10 2 2 3" xfId="25391"/>
    <cellStyle name="Normal 4 2 2 10 2 2 4" xfId="33831"/>
    <cellStyle name="Normal 4 2 2 10 2 3" xfId="12732"/>
    <cellStyle name="Normal 4 2 2 10 2 4" xfId="21174"/>
    <cellStyle name="Normal 4 2 2 10 2 5" xfId="29614"/>
    <cellStyle name="Normal 4 2 2 10 3" xfId="6369"/>
    <cellStyle name="Normal 4 2 2 10 3 2" xfId="14805"/>
    <cellStyle name="Normal 4 2 2 10 3 3" xfId="23246"/>
    <cellStyle name="Normal 4 2 2 10 3 4" xfId="31686"/>
    <cellStyle name="Normal 4 2 2 10 4" xfId="10587"/>
    <cellStyle name="Normal 4 2 2 10 5" xfId="19029"/>
    <cellStyle name="Normal 4 2 2 10 6" xfId="27469"/>
    <cellStyle name="Normal 4 2 2 11" xfId="2498"/>
    <cellStyle name="Normal 4 2 2 11 2" xfId="6782"/>
    <cellStyle name="Normal 4 2 2 11 2 2" xfId="15218"/>
    <cellStyle name="Normal 4 2 2 11 2 3" xfId="23659"/>
    <cellStyle name="Normal 4 2 2 11 2 4" xfId="32099"/>
    <cellStyle name="Normal 4 2 2 11 3" xfId="11000"/>
    <cellStyle name="Normal 4 2 2 11 4" xfId="19442"/>
    <cellStyle name="Normal 4 2 2 11 5" xfId="27882"/>
    <cellStyle name="Normal 4 2 2 12" xfId="4717"/>
    <cellStyle name="Normal 4 2 2 12 2" xfId="13153"/>
    <cellStyle name="Normal 4 2 2 12 3" xfId="21594"/>
    <cellStyle name="Normal 4 2 2 12 4" xfId="30034"/>
    <cellStyle name="Normal 4 2 2 13" xfId="8935"/>
    <cellStyle name="Normal 4 2 2 14" xfId="17377"/>
    <cellStyle name="Normal 4 2 2 15" xfId="25817"/>
    <cellStyle name="Normal 4 2 2 2" xfId="338"/>
    <cellStyle name="Normal 4 2 2 3" xfId="339"/>
    <cellStyle name="Normal 4 2 2 3 10" xfId="4718"/>
    <cellStyle name="Normal 4 2 2 3 10 2" xfId="13154"/>
    <cellStyle name="Normal 4 2 2 3 10 3" xfId="21595"/>
    <cellStyle name="Normal 4 2 2 3 10 4" xfId="30035"/>
    <cellStyle name="Normal 4 2 2 3 11" xfId="8936"/>
    <cellStyle name="Normal 4 2 2 3 12" xfId="17378"/>
    <cellStyle name="Normal 4 2 2 3 13" xfId="25818"/>
    <cellStyle name="Normal 4 2 2 3 2" xfId="340"/>
    <cellStyle name="Normal 4 2 2 3 2 10" xfId="8937"/>
    <cellStyle name="Normal 4 2 2 3 2 11" xfId="17379"/>
    <cellStyle name="Normal 4 2 2 3 2 12" xfId="25819"/>
    <cellStyle name="Normal 4 2 2 3 2 2" xfId="341"/>
    <cellStyle name="Normal 4 2 2 3 2 2 10" xfId="17380"/>
    <cellStyle name="Normal 4 2 2 3 2 2 11" xfId="25820"/>
    <cellStyle name="Normal 4 2 2 3 2 2 2" xfId="342"/>
    <cellStyle name="Normal 4 2 2 3 2 2 2 10" xfId="25821"/>
    <cellStyle name="Normal 4 2 2 3 2 2 2 2" xfId="819"/>
    <cellStyle name="Normal 4 2 2 3 2 2 2 2 2" xfId="3056"/>
    <cellStyle name="Normal 4 2 2 3 2 2 2 2 2 2" xfId="7279"/>
    <cellStyle name="Normal 4 2 2 3 2 2 2 2 2 2 2" xfId="15715"/>
    <cellStyle name="Normal 4 2 2 3 2 2 2 2 2 2 3" xfId="24156"/>
    <cellStyle name="Normal 4 2 2 3 2 2 2 2 2 2 4" xfId="32596"/>
    <cellStyle name="Normal 4 2 2 3 2 2 2 2 2 3" xfId="11497"/>
    <cellStyle name="Normal 4 2 2 3 2 2 2 2 2 4" xfId="19939"/>
    <cellStyle name="Normal 4 2 2 3 2 2 2 2 2 5" xfId="28379"/>
    <cellStyle name="Normal 4 2 2 3 2 2 2 2 3" xfId="5134"/>
    <cellStyle name="Normal 4 2 2 3 2 2 2 2 3 2" xfId="13570"/>
    <cellStyle name="Normal 4 2 2 3 2 2 2 2 3 3" xfId="22011"/>
    <cellStyle name="Normal 4 2 2 3 2 2 2 2 3 4" xfId="30451"/>
    <cellStyle name="Normal 4 2 2 3 2 2 2 2 4" xfId="9352"/>
    <cellStyle name="Normal 4 2 2 3 2 2 2 2 5" xfId="17794"/>
    <cellStyle name="Normal 4 2 2 3 2 2 2 2 6" xfId="26234"/>
    <cellStyle name="Normal 4 2 2 3 2 2 2 3" xfId="1239"/>
    <cellStyle name="Normal 4 2 2 3 2 2 2 3 2" xfId="3469"/>
    <cellStyle name="Normal 4 2 2 3 2 2 2 3 2 2" xfId="7692"/>
    <cellStyle name="Normal 4 2 2 3 2 2 2 3 2 2 2" xfId="16128"/>
    <cellStyle name="Normal 4 2 2 3 2 2 2 3 2 2 3" xfId="24569"/>
    <cellStyle name="Normal 4 2 2 3 2 2 2 3 2 2 4" xfId="33009"/>
    <cellStyle name="Normal 4 2 2 3 2 2 2 3 2 3" xfId="11910"/>
    <cellStyle name="Normal 4 2 2 3 2 2 2 3 2 4" xfId="20352"/>
    <cellStyle name="Normal 4 2 2 3 2 2 2 3 2 5" xfId="28792"/>
    <cellStyle name="Normal 4 2 2 3 2 2 2 3 3" xfId="5547"/>
    <cellStyle name="Normal 4 2 2 3 2 2 2 3 3 2" xfId="13983"/>
    <cellStyle name="Normal 4 2 2 3 2 2 2 3 3 3" xfId="22424"/>
    <cellStyle name="Normal 4 2 2 3 2 2 2 3 3 4" xfId="30864"/>
    <cellStyle name="Normal 4 2 2 3 2 2 2 3 4" xfId="9765"/>
    <cellStyle name="Normal 4 2 2 3 2 2 2 3 5" xfId="18207"/>
    <cellStyle name="Normal 4 2 2 3 2 2 2 3 6" xfId="26647"/>
    <cellStyle name="Normal 4 2 2 3 2 2 2 4" xfId="1652"/>
    <cellStyle name="Normal 4 2 2 3 2 2 2 4 2" xfId="3882"/>
    <cellStyle name="Normal 4 2 2 3 2 2 2 4 2 2" xfId="8105"/>
    <cellStyle name="Normal 4 2 2 3 2 2 2 4 2 2 2" xfId="16541"/>
    <cellStyle name="Normal 4 2 2 3 2 2 2 4 2 2 3" xfId="24982"/>
    <cellStyle name="Normal 4 2 2 3 2 2 2 4 2 2 4" xfId="33422"/>
    <cellStyle name="Normal 4 2 2 3 2 2 2 4 2 3" xfId="12323"/>
    <cellStyle name="Normal 4 2 2 3 2 2 2 4 2 4" xfId="20765"/>
    <cellStyle name="Normal 4 2 2 3 2 2 2 4 2 5" xfId="29205"/>
    <cellStyle name="Normal 4 2 2 3 2 2 2 4 3" xfId="5960"/>
    <cellStyle name="Normal 4 2 2 3 2 2 2 4 3 2" xfId="14396"/>
    <cellStyle name="Normal 4 2 2 3 2 2 2 4 3 3" xfId="22837"/>
    <cellStyle name="Normal 4 2 2 3 2 2 2 4 3 4" xfId="31277"/>
    <cellStyle name="Normal 4 2 2 3 2 2 2 4 4" xfId="10178"/>
    <cellStyle name="Normal 4 2 2 3 2 2 2 4 5" xfId="18620"/>
    <cellStyle name="Normal 4 2 2 3 2 2 2 4 6" xfId="27060"/>
    <cellStyle name="Normal 4 2 2 3 2 2 2 5" xfId="2066"/>
    <cellStyle name="Normal 4 2 2 3 2 2 2 5 2" xfId="4295"/>
    <cellStyle name="Normal 4 2 2 3 2 2 2 5 2 2" xfId="8518"/>
    <cellStyle name="Normal 4 2 2 3 2 2 2 5 2 2 2" xfId="16954"/>
    <cellStyle name="Normal 4 2 2 3 2 2 2 5 2 2 3" xfId="25395"/>
    <cellStyle name="Normal 4 2 2 3 2 2 2 5 2 2 4" xfId="33835"/>
    <cellStyle name="Normal 4 2 2 3 2 2 2 5 2 3" xfId="12736"/>
    <cellStyle name="Normal 4 2 2 3 2 2 2 5 2 4" xfId="21178"/>
    <cellStyle name="Normal 4 2 2 3 2 2 2 5 2 5" xfId="29618"/>
    <cellStyle name="Normal 4 2 2 3 2 2 2 5 3" xfId="6373"/>
    <cellStyle name="Normal 4 2 2 3 2 2 2 5 3 2" xfId="14809"/>
    <cellStyle name="Normal 4 2 2 3 2 2 2 5 3 3" xfId="23250"/>
    <cellStyle name="Normal 4 2 2 3 2 2 2 5 3 4" xfId="31690"/>
    <cellStyle name="Normal 4 2 2 3 2 2 2 5 4" xfId="10591"/>
    <cellStyle name="Normal 4 2 2 3 2 2 2 5 5" xfId="19033"/>
    <cellStyle name="Normal 4 2 2 3 2 2 2 5 6" xfId="27473"/>
    <cellStyle name="Normal 4 2 2 3 2 2 2 6" xfId="2502"/>
    <cellStyle name="Normal 4 2 2 3 2 2 2 6 2" xfId="6786"/>
    <cellStyle name="Normal 4 2 2 3 2 2 2 6 2 2" xfId="15222"/>
    <cellStyle name="Normal 4 2 2 3 2 2 2 6 2 3" xfId="23663"/>
    <cellStyle name="Normal 4 2 2 3 2 2 2 6 2 4" xfId="32103"/>
    <cellStyle name="Normal 4 2 2 3 2 2 2 6 3" xfId="11004"/>
    <cellStyle name="Normal 4 2 2 3 2 2 2 6 4" xfId="19446"/>
    <cellStyle name="Normal 4 2 2 3 2 2 2 6 5" xfId="27886"/>
    <cellStyle name="Normal 4 2 2 3 2 2 2 7" xfId="4721"/>
    <cellStyle name="Normal 4 2 2 3 2 2 2 7 2" xfId="13157"/>
    <cellStyle name="Normal 4 2 2 3 2 2 2 7 3" xfId="21598"/>
    <cellStyle name="Normal 4 2 2 3 2 2 2 7 4" xfId="30038"/>
    <cellStyle name="Normal 4 2 2 3 2 2 2 8" xfId="8939"/>
    <cellStyle name="Normal 4 2 2 3 2 2 2 9" xfId="17381"/>
    <cellStyle name="Normal 4 2 2 3 2 2 3" xfId="818"/>
    <cellStyle name="Normal 4 2 2 3 2 2 3 2" xfId="3055"/>
    <cellStyle name="Normal 4 2 2 3 2 2 3 2 2" xfId="7278"/>
    <cellStyle name="Normal 4 2 2 3 2 2 3 2 2 2" xfId="15714"/>
    <cellStyle name="Normal 4 2 2 3 2 2 3 2 2 3" xfId="24155"/>
    <cellStyle name="Normal 4 2 2 3 2 2 3 2 2 4" xfId="32595"/>
    <cellStyle name="Normal 4 2 2 3 2 2 3 2 3" xfId="11496"/>
    <cellStyle name="Normal 4 2 2 3 2 2 3 2 4" xfId="19938"/>
    <cellStyle name="Normal 4 2 2 3 2 2 3 2 5" xfId="28378"/>
    <cellStyle name="Normal 4 2 2 3 2 2 3 3" xfId="5133"/>
    <cellStyle name="Normal 4 2 2 3 2 2 3 3 2" xfId="13569"/>
    <cellStyle name="Normal 4 2 2 3 2 2 3 3 3" xfId="22010"/>
    <cellStyle name="Normal 4 2 2 3 2 2 3 3 4" xfId="30450"/>
    <cellStyle name="Normal 4 2 2 3 2 2 3 4" xfId="9351"/>
    <cellStyle name="Normal 4 2 2 3 2 2 3 5" xfId="17793"/>
    <cellStyle name="Normal 4 2 2 3 2 2 3 6" xfId="26233"/>
    <cellStyle name="Normal 4 2 2 3 2 2 4" xfId="1238"/>
    <cellStyle name="Normal 4 2 2 3 2 2 4 2" xfId="3468"/>
    <cellStyle name="Normal 4 2 2 3 2 2 4 2 2" xfId="7691"/>
    <cellStyle name="Normal 4 2 2 3 2 2 4 2 2 2" xfId="16127"/>
    <cellStyle name="Normal 4 2 2 3 2 2 4 2 2 3" xfId="24568"/>
    <cellStyle name="Normal 4 2 2 3 2 2 4 2 2 4" xfId="33008"/>
    <cellStyle name="Normal 4 2 2 3 2 2 4 2 3" xfId="11909"/>
    <cellStyle name="Normal 4 2 2 3 2 2 4 2 4" xfId="20351"/>
    <cellStyle name="Normal 4 2 2 3 2 2 4 2 5" xfId="28791"/>
    <cellStyle name="Normal 4 2 2 3 2 2 4 3" xfId="5546"/>
    <cellStyle name="Normal 4 2 2 3 2 2 4 3 2" xfId="13982"/>
    <cellStyle name="Normal 4 2 2 3 2 2 4 3 3" xfId="22423"/>
    <cellStyle name="Normal 4 2 2 3 2 2 4 3 4" xfId="30863"/>
    <cellStyle name="Normal 4 2 2 3 2 2 4 4" xfId="9764"/>
    <cellStyle name="Normal 4 2 2 3 2 2 4 5" xfId="18206"/>
    <cellStyle name="Normal 4 2 2 3 2 2 4 6" xfId="26646"/>
    <cellStyle name="Normal 4 2 2 3 2 2 5" xfId="1651"/>
    <cellStyle name="Normal 4 2 2 3 2 2 5 2" xfId="3881"/>
    <cellStyle name="Normal 4 2 2 3 2 2 5 2 2" xfId="8104"/>
    <cellStyle name="Normal 4 2 2 3 2 2 5 2 2 2" xfId="16540"/>
    <cellStyle name="Normal 4 2 2 3 2 2 5 2 2 3" xfId="24981"/>
    <cellStyle name="Normal 4 2 2 3 2 2 5 2 2 4" xfId="33421"/>
    <cellStyle name="Normal 4 2 2 3 2 2 5 2 3" xfId="12322"/>
    <cellStyle name="Normal 4 2 2 3 2 2 5 2 4" xfId="20764"/>
    <cellStyle name="Normal 4 2 2 3 2 2 5 2 5" xfId="29204"/>
    <cellStyle name="Normal 4 2 2 3 2 2 5 3" xfId="5959"/>
    <cellStyle name="Normal 4 2 2 3 2 2 5 3 2" xfId="14395"/>
    <cellStyle name="Normal 4 2 2 3 2 2 5 3 3" xfId="22836"/>
    <cellStyle name="Normal 4 2 2 3 2 2 5 3 4" xfId="31276"/>
    <cellStyle name="Normal 4 2 2 3 2 2 5 4" xfId="10177"/>
    <cellStyle name="Normal 4 2 2 3 2 2 5 5" xfId="18619"/>
    <cellStyle name="Normal 4 2 2 3 2 2 5 6" xfId="27059"/>
    <cellStyle name="Normal 4 2 2 3 2 2 6" xfId="2065"/>
    <cellStyle name="Normal 4 2 2 3 2 2 6 2" xfId="4294"/>
    <cellStyle name="Normal 4 2 2 3 2 2 6 2 2" xfId="8517"/>
    <cellStyle name="Normal 4 2 2 3 2 2 6 2 2 2" xfId="16953"/>
    <cellStyle name="Normal 4 2 2 3 2 2 6 2 2 3" xfId="25394"/>
    <cellStyle name="Normal 4 2 2 3 2 2 6 2 2 4" xfId="33834"/>
    <cellStyle name="Normal 4 2 2 3 2 2 6 2 3" xfId="12735"/>
    <cellStyle name="Normal 4 2 2 3 2 2 6 2 4" xfId="21177"/>
    <cellStyle name="Normal 4 2 2 3 2 2 6 2 5" xfId="29617"/>
    <cellStyle name="Normal 4 2 2 3 2 2 6 3" xfId="6372"/>
    <cellStyle name="Normal 4 2 2 3 2 2 6 3 2" xfId="14808"/>
    <cellStyle name="Normal 4 2 2 3 2 2 6 3 3" xfId="23249"/>
    <cellStyle name="Normal 4 2 2 3 2 2 6 3 4" xfId="31689"/>
    <cellStyle name="Normal 4 2 2 3 2 2 6 4" xfId="10590"/>
    <cellStyle name="Normal 4 2 2 3 2 2 6 5" xfId="19032"/>
    <cellStyle name="Normal 4 2 2 3 2 2 6 6" xfId="27472"/>
    <cellStyle name="Normal 4 2 2 3 2 2 7" xfId="2501"/>
    <cellStyle name="Normal 4 2 2 3 2 2 7 2" xfId="6785"/>
    <cellStyle name="Normal 4 2 2 3 2 2 7 2 2" xfId="15221"/>
    <cellStyle name="Normal 4 2 2 3 2 2 7 2 3" xfId="23662"/>
    <cellStyle name="Normal 4 2 2 3 2 2 7 2 4" xfId="32102"/>
    <cellStyle name="Normal 4 2 2 3 2 2 7 3" xfId="11003"/>
    <cellStyle name="Normal 4 2 2 3 2 2 7 4" xfId="19445"/>
    <cellStyle name="Normal 4 2 2 3 2 2 7 5" xfId="27885"/>
    <cellStyle name="Normal 4 2 2 3 2 2 8" xfId="4720"/>
    <cellStyle name="Normal 4 2 2 3 2 2 8 2" xfId="13156"/>
    <cellStyle name="Normal 4 2 2 3 2 2 8 3" xfId="21597"/>
    <cellStyle name="Normal 4 2 2 3 2 2 8 4" xfId="30037"/>
    <cellStyle name="Normal 4 2 2 3 2 2 9" xfId="8938"/>
    <cellStyle name="Normal 4 2 2 3 2 3" xfId="343"/>
    <cellStyle name="Normal 4 2 2 3 2 3 10" xfId="25822"/>
    <cellStyle name="Normal 4 2 2 3 2 3 2" xfId="820"/>
    <cellStyle name="Normal 4 2 2 3 2 3 2 2" xfId="3057"/>
    <cellStyle name="Normal 4 2 2 3 2 3 2 2 2" xfId="7280"/>
    <cellStyle name="Normal 4 2 2 3 2 3 2 2 2 2" xfId="15716"/>
    <cellStyle name="Normal 4 2 2 3 2 3 2 2 2 3" xfId="24157"/>
    <cellStyle name="Normal 4 2 2 3 2 3 2 2 2 4" xfId="32597"/>
    <cellStyle name="Normal 4 2 2 3 2 3 2 2 3" xfId="11498"/>
    <cellStyle name="Normal 4 2 2 3 2 3 2 2 4" xfId="19940"/>
    <cellStyle name="Normal 4 2 2 3 2 3 2 2 5" xfId="28380"/>
    <cellStyle name="Normal 4 2 2 3 2 3 2 3" xfId="5135"/>
    <cellStyle name="Normal 4 2 2 3 2 3 2 3 2" xfId="13571"/>
    <cellStyle name="Normal 4 2 2 3 2 3 2 3 3" xfId="22012"/>
    <cellStyle name="Normal 4 2 2 3 2 3 2 3 4" xfId="30452"/>
    <cellStyle name="Normal 4 2 2 3 2 3 2 4" xfId="9353"/>
    <cellStyle name="Normal 4 2 2 3 2 3 2 5" xfId="17795"/>
    <cellStyle name="Normal 4 2 2 3 2 3 2 6" xfId="26235"/>
    <cellStyle name="Normal 4 2 2 3 2 3 3" xfId="1240"/>
    <cellStyle name="Normal 4 2 2 3 2 3 3 2" xfId="3470"/>
    <cellStyle name="Normal 4 2 2 3 2 3 3 2 2" xfId="7693"/>
    <cellStyle name="Normal 4 2 2 3 2 3 3 2 2 2" xfId="16129"/>
    <cellStyle name="Normal 4 2 2 3 2 3 3 2 2 3" xfId="24570"/>
    <cellStyle name="Normal 4 2 2 3 2 3 3 2 2 4" xfId="33010"/>
    <cellStyle name="Normal 4 2 2 3 2 3 3 2 3" xfId="11911"/>
    <cellStyle name="Normal 4 2 2 3 2 3 3 2 4" xfId="20353"/>
    <cellStyle name="Normal 4 2 2 3 2 3 3 2 5" xfId="28793"/>
    <cellStyle name="Normal 4 2 2 3 2 3 3 3" xfId="5548"/>
    <cellStyle name="Normal 4 2 2 3 2 3 3 3 2" xfId="13984"/>
    <cellStyle name="Normal 4 2 2 3 2 3 3 3 3" xfId="22425"/>
    <cellStyle name="Normal 4 2 2 3 2 3 3 3 4" xfId="30865"/>
    <cellStyle name="Normal 4 2 2 3 2 3 3 4" xfId="9766"/>
    <cellStyle name="Normal 4 2 2 3 2 3 3 5" xfId="18208"/>
    <cellStyle name="Normal 4 2 2 3 2 3 3 6" xfId="26648"/>
    <cellStyle name="Normal 4 2 2 3 2 3 4" xfId="1653"/>
    <cellStyle name="Normal 4 2 2 3 2 3 4 2" xfId="3883"/>
    <cellStyle name="Normal 4 2 2 3 2 3 4 2 2" xfId="8106"/>
    <cellStyle name="Normal 4 2 2 3 2 3 4 2 2 2" xfId="16542"/>
    <cellStyle name="Normal 4 2 2 3 2 3 4 2 2 3" xfId="24983"/>
    <cellStyle name="Normal 4 2 2 3 2 3 4 2 2 4" xfId="33423"/>
    <cellStyle name="Normal 4 2 2 3 2 3 4 2 3" xfId="12324"/>
    <cellStyle name="Normal 4 2 2 3 2 3 4 2 4" xfId="20766"/>
    <cellStyle name="Normal 4 2 2 3 2 3 4 2 5" xfId="29206"/>
    <cellStyle name="Normal 4 2 2 3 2 3 4 3" xfId="5961"/>
    <cellStyle name="Normal 4 2 2 3 2 3 4 3 2" xfId="14397"/>
    <cellStyle name="Normal 4 2 2 3 2 3 4 3 3" xfId="22838"/>
    <cellStyle name="Normal 4 2 2 3 2 3 4 3 4" xfId="31278"/>
    <cellStyle name="Normal 4 2 2 3 2 3 4 4" xfId="10179"/>
    <cellStyle name="Normal 4 2 2 3 2 3 4 5" xfId="18621"/>
    <cellStyle name="Normal 4 2 2 3 2 3 4 6" xfId="27061"/>
    <cellStyle name="Normal 4 2 2 3 2 3 5" xfId="2067"/>
    <cellStyle name="Normal 4 2 2 3 2 3 5 2" xfId="4296"/>
    <cellStyle name="Normal 4 2 2 3 2 3 5 2 2" xfId="8519"/>
    <cellStyle name="Normal 4 2 2 3 2 3 5 2 2 2" xfId="16955"/>
    <cellStyle name="Normal 4 2 2 3 2 3 5 2 2 3" xfId="25396"/>
    <cellStyle name="Normal 4 2 2 3 2 3 5 2 2 4" xfId="33836"/>
    <cellStyle name="Normal 4 2 2 3 2 3 5 2 3" xfId="12737"/>
    <cellStyle name="Normal 4 2 2 3 2 3 5 2 4" xfId="21179"/>
    <cellStyle name="Normal 4 2 2 3 2 3 5 2 5" xfId="29619"/>
    <cellStyle name="Normal 4 2 2 3 2 3 5 3" xfId="6374"/>
    <cellStyle name="Normal 4 2 2 3 2 3 5 3 2" xfId="14810"/>
    <cellStyle name="Normal 4 2 2 3 2 3 5 3 3" xfId="23251"/>
    <cellStyle name="Normal 4 2 2 3 2 3 5 3 4" xfId="31691"/>
    <cellStyle name="Normal 4 2 2 3 2 3 5 4" xfId="10592"/>
    <cellStyle name="Normal 4 2 2 3 2 3 5 5" xfId="19034"/>
    <cellStyle name="Normal 4 2 2 3 2 3 5 6" xfId="27474"/>
    <cellStyle name="Normal 4 2 2 3 2 3 6" xfId="2503"/>
    <cellStyle name="Normal 4 2 2 3 2 3 6 2" xfId="6787"/>
    <cellStyle name="Normal 4 2 2 3 2 3 6 2 2" xfId="15223"/>
    <cellStyle name="Normal 4 2 2 3 2 3 6 2 3" xfId="23664"/>
    <cellStyle name="Normal 4 2 2 3 2 3 6 2 4" xfId="32104"/>
    <cellStyle name="Normal 4 2 2 3 2 3 6 3" xfId="11005"/>
    <cellStyle name="Normal 4 2 2 3 2 3 6 4" xfId="19447"/>
    <cellStyle name="Normal 4 2 2 3 2 3 6 5" xfId="27887"/>
    <cellStyle name="Normal 4 2 2 3 2 3 7" xfId="4722"/>
    <cellStyle name="Normal 4 2 2 3 2 3 7 2" xfId="13158"/>
    <cellStyle name="Normal 4 2 2 3 2 3 7 3" xfId="21599"/>
    <cellStyle name="Normal 4 2 2 3 2 3 7 4" xfId="30039"/>
    <cellStyle name="Normal 4 2 2 3 2 3 8" xfId="8940"/>
    <cellStyle name="Normal 4 2 2 3 2 3 9" xfId="17382"/>
    <cellStyle name="Normal 4 2 2 3 2 4" xfId="817"/>
    <cellStyle name="Normal 4 2 2 3 2 4 2" xfId="3054"/>
    <cellStyle name="Normal 4 2 2 3 2 4 2 2" xfId="7277"/>
    <cellStyle name="Normal 4 2 2 3 2 4 2 2 2" xfId="15713"/>
    <cellStyle name="Normal 4 2 2 3 2 4 2 2 3" xfId="24154"/>
    <cellStyle name="Normal 4 2 2 3 2 4 2 2 4" xfId="32594"/>
    <cellStyle name="Normal 4 2 2 3 2 4 2 3" xfId="11495"/>
    <cellStyle name="Normal 4 2 2 3 2 4 2 4" xfId="19937"/>
    <cellStyle name="Normal 4 2 2 3 2 4 2 5" xfId="28377"/>
    <cellStyle name="Normal 4 2 2 3 2 4 3" xfId="5132"/>
    <cellStyle name="Normal 4 2 2 3 2 4 3 2" xfId="13568"/>
    <cellStyle name="Normal 4 2 2 3 2 4 3 3" xfId="22009"/>
    <cellStyle name="Normal 4 2 2 3 2 4 3 4" xfId="30449"/>
    <cellStyle name="Normal 4 2 2 3 2 4 4" xfId="9350"/>
    <cellStyle name="Normal 4 2 2 3 2 4 5" xfId="17792"/>
    <cellStyle name="Normal 4 2 2 3 2 4 6" xfId="26232"/>
    <cellStyle name="Normal 4 2 2 3 2 5" xfId="1237"/>
    <cellStyle name="Normal 4 2 2 3 2 5 2" xfId="3467"/>
    <cellStyle name="Normal 4 2 2 3 2 5 2 2" xfId="7690"/>
    <cellStyle name="Normal 4 2 2 3 2 5 2 2 2" xfId="16126"/>
    <cellStyle name="Normal 4 2 2 3 2 5 2 2 3" xfId="24567"/>
    <cellStyle name="Normal 4 2 2 3 2 5 2 2 4" xfId="33007"/>
    <cellStyle name="Normal 4 2 2 3 2 5 2 3" xfId="11908"/>
    <cellStyle name="Normal 4 2 2 3 2 5 2 4" xfId="20350"/>
    <cellStyle name="Normal 4 2 2 3 2 5 2 5" xfId="28790"/>
    <cellStyle name="Normal 4 2 2 3 2 5 3" xfId="5545"/>
    <cellStyle name="Normal 4 2 2 3 2 5 3 2" xfId="13981"/>
    <cellStyle name="Normal 4 2 2 3 2 5 3 3" xfId="22422"/>
    <cellStyle name="Normal 4 2 2 3 2 5 3 4" xfId="30862"/>
    <cellStyle name="Normal 4 2 2 3 2 5 4" xfId="9763"/>
    <cellStyle name="Normal 4 2 2 3 2 5 5" xfId="18205"/>
    <cellStyle name="Normal 4 2 2 3 2 5 6" xfId="26645"/>
    <cellStyle name="Normal 4 2 2 3 2 6" xfId="1650"/>
    <cellStyle name="Normal 4 2 2 3 2 6 2" xfId="3880"/>
    <cellStyle name="Normal 4 2 2 3 2 6 2 2" xfId="8103"/>
    <cellStyle name="Normal 4 2 2 3 2 6 2 2 2" xfId="16539"/>
    <cellStyle name="Normal 4 2 2 3 2 6 2 2 3" xfId="24980"/>
    <cellStyle name="Normal 4 2 2 3 2 6 2 2 4" xfId="33420"/>
    <cellStyle name="Normal 4 2 2 3 2 6 2 3" xfId="12321"/>
    <cellStyle name="Normal 4 2 2 3 2 6 2 4" xfId="20763"/>
    <cellStyle name="Normal 4 2 2 3 2 6 2 5" xfId="29203"/>
    <cellStyle name="Normal 4 2 2 3 2 6 3" xfId="5958"/>
    <cellStyle name="Normal 4 2 2 3 2 6 3 2" xfId="14394"/>
    <cellStyle name="Normal 4 2 2 3 2 6 3 3" xfId="22835"/>
    <cellStyle name="Normal 4 2 2 3 2 6 3 4" xfId="31275"/>
    <cellStyle name="Normal 4 2 2 3 2 6 4" xfId="10176"/>
    <cellStyle name="Normal 4 2 2 3 2 6 5" xfId="18618"/>
    <cellStyle name="Normal 4 2 2 3 2 6 6" xfId="27058"/>
    <cellStyle name="Normal 4 2 2 3 2 7" xfId="2064"/>
    <cellStyle name="Normal 4 2 2 3 2 7 2" xfId="4293"/>
    <cellStyle name="Normal 4 2 2 3 2 7 2 2" xfId="8516"/>
    <cellStyle name="Normal 4 2 2 3 2 7 2 2 2" xfId="16952"/>
    <cellStyle name="Normal 4 2 2 3 2 7 2 2 3" xfId="25393"/>
    <cellStyle name="Normal 4 2 2 3 2 7 2 2 4" xfId="33833"/>
    <cellStyle name="Normal 4 2 2 3 2 7 2 3" xfId="12734"/>
    <cellStyle name="Normal 4 2 2 3 2 7 2 4" xfId="21176"/>
    <cellStyle name="Normal 4 2 2 3 2 7 2 5" xfId="29616"/>
    <cellStyle name="Normal 4 2 2 3 2 7 3" xfId="6371"/>
    <cellStyle name="Normal 4 2 2 3 2 7 3 2" xfId="14807"/>
    <cellStyle name="Normal 4 2 2 3 2 7 3 3" xfId="23248"/>
    <cellStyle name="Normal 4 2 2 3 2 7 3 4" xfId="31688"/>
    <cellStyle name="Normal 4 2 2 3 2 7 4" xfId="10589"/>
    <cellStyle name="Normal 4 2 2 3 2 7 5" xfId="19031"/>
    <cellStyle name="Normal 4 2 2 3 2 7 6" xfId="27471"/>
    <cellStyle name="Normal 4 2 2 3 2 8" xfId="2500"/>
    <cellStyle name="Normal 4 2 2 3 2 8 2" xfId="6784"/>
    <cellStyle name="Normal 4 2 2 3 2 8 2 2" xfId="15220"/>
    <cellStyle name="Normal 4 2 2 3 2 8 2 3" xfId="23661"/>
    <cellStyle name="Normal 4 2 2 3 2 8 2 4" xfId="32101"/>
    <cellStyle name="Normal 4 2 2 3 2 8 3" xfId="11002"/>
    <cellStyle name="Normal 4 2 2 3 2 8 4" xfId="19444"/>
    <cellStyle name="Normal 4 2 2 3 2 8 5" xfId="27884"/>
    <cellStyle name="Normal 4 2 2 3 2 9" xfId="4719"/>
    <cellStyle name="Normal 4 2 2 3 2 9 2" xfId="13155"/>
    <cellStyle name="Normal 4 2 2 3 2 9 3" xfId="21596"/>
    <cellStyle name="Normal 4 2 2 3 2 9 4" xfId="30036"/>
    <cellStyle name="Normal 4 2 2 3 3" xfId="344"/>
    <cellStyle name="Normal 4 2 2 3 3 10" xfId="17383"/>
    <cellStyle name="Normal 4 2 2 3 3 11" xfId="25823"/>
    <cellStyle name="Normal 4 2 2 3 3 2" xfId="345"/>
    <cellStyle name="Normal 4 2 2 3 3 2 10" xfId="25824"/>
    <cellStyle name="Normal 4 2 2 3 3 2 2" xfId="822"/>
    <cellStyle name="Normal 4 2 2 3 3 2 2 2" xfId="3059"/>
    <cellStyle name="Normal 4 2 2 3 3 2 2 2 2" xfId="7282"/>
    <cellStyle name="Normal 4 2 2 3 3 2 2 2 2 2" xfId="15718"/>
    <cellStyle name="Normal 4 2 2 3 3 2 2 2 2 3" xfId="24159"/>
    <cellStyle name="Normal 4 2 2 3 3 2 2 2 2 4" xfId="32599"/>
    <cellStyle name="Normal 4 2 2 3 3 2 2 2 3" xfId="11500"/>
    <cellStyle name="Normal 4 2 2 3 3 2 2 2 4" xfId="19942"/>
    <cellStyle name="Normal 4 2 2 3 3 2 2 2 5" xfId="28382"/>
    <cellStyle name="Normal 4 2 2 3 3 2 2 3" xfId="5137"/>
    <cellStyle name="Normal 4 2 2 3 3 2 2 3 2" xfId="13573"/>
    <cellStyle name="Normal 4 2 2 3 3 2 2 3 3" xfId="22014"/>
    <cellStyle name="Normal 4 2 2 3 3 2 2 3 4" xfId="30454"/>
    <cellStyle name="Normal 4 2 2 3 3 2 2 4" xfId="9355"/>
    <cellStyle name="Normal 4 2 2 3 3 2 2 5" xfId="17797"/>
    <cellStyle name="Normal 4 2 2 3 3 2 2 6" xfId="26237"/>
    <cellStyle name="Normal 4 2 2 3 3 2 3" xfId="1242"/>
    <cellStyle name="Normal 4 2 2 3 3 2 3 2" xfId="3472"/>
    <cellStyle name="Normal 4 2 2 3 3 2 3 2 2" xfId="7695"/>
    <cellStyle name="Normal 4 2 2 3 3 2 3 2 2 2" xfId="16131"/>
    <cellStyle name="Normal 4 2 2 3 3 2 3 2 2 3" xfId="24572"/>
    <cellStyle name="Normal 4 2 2 3 3 2 3 2 2 4" xfId="33012"/>
    <cellStyle name="Normal 4 2 2 3 3 2 3 2 3" xfId="11913"/>
    <cellStyle name="Normal 4 2 2 3 3 2 3 2 4" xfId="20355"/>
    <cellStyle name="Normal 4 2 2 3 3 2 3 2 5" xfId="28795"/>
    <cellStyle name="Normal 4 2 2 3 3 2 3 3" xfId="5550"/>
    <cellStyle name="Normal 4 2 2 3 3 2 3 3 2" xfId="13986"/>
    <cellStyle name="Normal 4 2 2 3 3 2 3 3 3" xfId="22427"/>
    <cellStyle name="Normal 4 2 2 3 3 2 3 3 4" xfId="30867"/>
    <cellStyle name="Normal 4 2 2 3 3 2 3 4" xfId="9768"/>
    <cellStyle name="Normal 4 2 2 3 3 2 3 5" xfId="18210"/>
    <cellStyle name="Normal 4 2 2 3 3 2 3 6" xfId="26650"/>
    <cellStyle name="Normal 4 2 2 3 3 2 4" xfId="1655"/>
    <cellStyle name="Normal 4 2 2 3 3 2 4 2" xfId="3885"/>
    <cellStyle name="Normal 4 2 2 3 3 2 4 2 2" xfId="8108"/>
    <cellStyle name="Normal 4 2 2 3 3 2 4 2 2 2" xfId="16544"/>
    <cellStyle name="Normal 4 2 2 3 3 2 4 2 2 3" xfId="24985"/>
    <cellStyle name="Normal 4 2 2 3 3 2 4 2 2 4" xfId="33425"/>
    <cellStyle name="Normal 4 2 2 3 3 2 4 2 3" xfId="12326"/>
    <cellStyle name="Normal 4 2 2 3 3 2 4 2 4" xfId="20768"/>
    <cellStyle name="Normal 4 2 2 3 3 2 4 2 5" xfId="29208"/>
    <cellStyle name="Normal 4 2 2 3 3 2 4 3" xfId="5963"/>
    <cellStyle name="Normal 4 2 2 3 3 2 4 3 2" xfId="14399"/>
    <cellStyle name="Normal 4 2 2 3 3 2 4 3 3" xfId="22840"/>
    <cellStyle name="Normal 4 2 2 3 3 2 4 3 4" xfId="31280"/>
    <cellStyle name="Normal 4 2 2 3 3 2 4 4" xfId="10181"/>
    <cellStyle name="Normal 4 2 2 3 3 2 4 5" xfId="18623"/>
    <cellStyle name="Normal 4 2 2 3 3 2 4 6" xfId="27063"/>
    <cellStyle name="Normal 4 2 2 3 3 2 5" xfId="2069"/>
    <cellStyle name="Normal 4 2 2 3 3 2 5 2" xfId="4298"/>
    <cellStyle name="Normal 4 2 2 3 3 2 5 2 2" xfId="8521"/>
    <cellStyle name="Normal 4 2 2 3 3 2 5 2 2 2" xfId="16957"/>
    <cellStyle name="Normal 4 2 2 3 3 2 5 2 2 3" xfId="25398"/>
    <cellStyle name="Normal 4 2 2 3 3 2 5 2 2 4" xfId="33838"/>
    <cellStyle name="Normal 4 2 2 3 3 2 5 2 3" xfId="12739"/>
    <cellStyle name="Normal 4 2 2 3 3 2 5 2 4" xfId="21181"/>
    <cellStyle name="Normal 4 2 2 3 3 2 5 2 5" xfId="29621"/>
    <cellStyle name="Normal 4 2 2 3 3 2 5 3" xfId="6376"/>
    <cellStyle name="Normal 4 2 2 3 3 2 5 3 2" xfId="14812"/>
    <cellStyle name="Normal 4 2 2 3 3 2 5 3 3" xfId="23253"/>
    <cellStyle name="Normal 4 2 2 3 3 2 5 3 4" xfId="31693"/>
    <cellStyle name="Normal 4 2 2 3 3 2 5 4" xfId="10594"/>
    <cellStyle name="Normal 4 2 2 3 3 2 5 5" xfId="19036"/>
    <cellStyle name="Normal 4 2 2 3 3 2 5 6" xfId="27476"/>
    <cellStyle name="Normal 4 2 2 3 3 2 6" xfId="2505"/>
    <cellStyle name="Normal 4 2 2 3 3 2 6 2" xfId="6789"/>
    <cellStyle name="Normal 4 2 2 3 3 2 6 2 2" xfId="15225"/>
    <cellStyle name="Normal 4 2 2 3 3 2 6 2 3" xfId="23666"/>
    <cellStyle name="Normal 4 2 2 3 3 2 6 2 4" xfId="32106"/>
    <cellStyle name="Normal 4 2 2 3 3 2 6 3" xfId="11007"/>
    <cellStyle name="Normal 4 2 2 3 3 2 6 4" xfId="19449"/>
    <cellStyle name="Normal 4 2 2 3 3 2 6 5" xfId="27889"/>
    <cellStyle name="Normal 4 2 2 3 3 2 7" xfId="4724"/>
    <cellStyle name="Normal 4 2 2 3 3 2 7 2" xfId="13160"/>
    <cellStyle name="Normal 4 2 2 3 3 2 7 3" xfId="21601"/>
    <cellStyle name="Normal 4 2 2 3 3 2 7 4" xfId="30041"/>
    <cellStyle name="Normal 4 2 2 3 3 2 8" xfId="8942"/>
    <cellStyle name="Normal 4 2 2 3 3 2 9" xfId="17384"/>
    <cellStyle name="Normal 4 2 2 3 3 3" xfId="821"/>
    <cellStyle name="Normal 4 2 2 3 3 3 2" xfId="3058"/>
    <cellStyle name="Normal 4 2 2 3 3 3 2 2" xfId="7281"/>
    <cellStyle name="Normal 4 2 2 3 3 3 2 2 2" xfId="15717"/>
    <cellStyle name="Normal 4 2 2 3 3 3 2 2 3" xfId="24158"/>
    <cellStyle name="Normal 4 2 2 3 3 3 2 2 4" xfId="32598"/>
    <cellStyle name="Normal 4 2 2 3 3 3 2 3" xfId="11499"/>
    <cellStyle name="Normal 4 2 2 3 3 3 2 4" xfId="19941"/>
    <cellStyle name="Normal 4 2 2 3 3 3 2 5" xfId="28381"/>
    <cellStyle name="Normal 4 2 2 3 3 3 3" xfId="5136"/>
    <cellStyle name="Normal 4 2 2 3 3 3 3 2" xfId="13572"/>
    <cellStyle name="Normal 4 2 2 3 3 3 3 3" xfId="22013"/>
    <cellStyle name="Normal 4 2 2 3 3 3 3 4" xfId="30453"/>
    <cellStyle name="Normal 4 2 2 3 3 3 4" xfId="9354"/>
    <cellStyle name="Normal 4 2 2 3 3 3 5" xfId="17796"/>
    <cellStyle name="Normal 4 2 2 3 3 3 6" xfId="26236"/>
    <cellStyle name="Normal 4 2 2 3 3 4" xfId="1241"/>
    <cellStyle name="Normal 4 2 2 3 3 4 2" xfId="3471"/>
    <cellStyle name="Normal 4 2 2 3 3 4 2 2" xfId="7694"/>
    <cellStyle name="Normal 4 2 2 3 3 4 2 2 2" xfId="16130"/>
    <cellStyle name="Normal 4 2 2 3 3 4 2 2 3" xfId="24571"/>
    <cellStyle name="Normal 4 2 2 3 3 4 2 2 4" xfId="33011"/>
    <cellStyle name="Normal 4 2 2 3 3 4 2 3" xfId="11912"/>
    <cellStyle name="Normal 4 2 2 3 3 4 2 4" xfId="20354"/>
    <cellStyle name="Normal 4 2 2 3 3 4 2 5" xfId="28794"/>
    <cellStyle name="Normal 4 2 2 3 3 4 3" xfId="5549"/>
    <cellStyle name="Normal 4 2 2 3 3 4 3 2" xfId="13985"/>
    <cellStyle name="Normal 4 2 2 3 3 4 3 3" xfId="22426"/>
    <cellStyle name="Normal 4 2 2 3 3 4 3 4" xfId="30866"/>
    <cellStyle name="Normal 4 2 2 3 3 4 4" xfId="9767"/>
    <cellStyle name="Normal 4 2 2 3 3 4 5" xfId="18209"/>
    <cellStyle name="Normal 4 2 2 3 3 4 6" xfId="26649"/>
    <cellStyle name="Normal 4 2 2 3 3 5" xfId="1654"/>
    <cellStyle name="Normal 4 2 2 3 3 5 2" xfId="3884"/>
    <cellStyle name="Normal 4 2 2 3 3 5 2 2" xfId="8107"/>
    <cellStyle name="Normal 4 2 2 3 3 5 2 2 2" xfId="16543"/>
    <cellStyle name="Normal 4 2 2 3 3 5 2 2 3" xfId="24984"/>
    <cellStyle name="Normal 4 2 2 3 3 5 2 2 4" xfId="33424"/>
    <cellStyle name="Normal 4 2 2 3 3 5 2 3" xfId="12325"/>
    <cellStyle name="Normal 4 2 2 3 3 5 2 4" xfId="20767"/>
    <cellStyle name="Normal 4 2 2 3 3 5 2 5" xfId="29207"/>
    <cellStyle name="Normal 4 2 2 3 3 5 3" xfId="5962"/>
    <cellStyle name="Normal 4 2 2 3 3 5 3 2" xfId="14398"/>
    <cellStyle name="Normal 4 2 2 3 3 5 3 3" xfId="22839"/>
    <cellStyle name="Normal 4 2 2 3 3 5 3 4" xfId="31279"/>
    <cellStyle name="Normal 4 2 2 3 3 5 4" xfId="10180"/>
    <cellStyle name="Normal 4 2 2 3 3 5 5" xfId="18622"/>
    <cellStyle name="Normal 4 2 2 3 3 5 6" xfId="27062"/>
    <cellStyle name="Normal 4 2 2 3 3 6" xfId="2068"/>
    <cellStyle name="Normal 4 2 2 3 3 6 2" xfId="4297"/>
    <cellStyle name="Normal 4 2 2 3 3 6 2 2" xfId="8520"/>
    <cellStyle name="Normal 4 2 2 3 3 6 2 2 2" xfId="16956"/>
    <cellStyle name="Normal 4 2 2 3 3 6 2 2 3" xfId="25397"/>
    <cellStyle name="Normal 4 2 2 3 3 6 2 2 4" xfId="33837"/>
    <cellStyle name="Normal 4 2 2 3 3 6 2 3" xfId="12738"/>
    <cellStyle name="Normal 4 2 2 3 3 6 2 4" xfId="21180"/>
    <cellStyle name="Normal 4 2 2 3 3 6 2 5" xfId="29620"/>
    <cellStyle name="Normal 4 2 2 3 3 6 3" xfId="6375"/>
    <cellStyle name="Normal 4 2 2 3 3 6 3 2" xfId="14811"/>
    <cellStyle name="Normal 4 2 2 3 3 6 3 3" xfId="23252"/>
    <cellStyle name="Normal 4 2 2 3 3 6 3 4" xfId="31692"/>
    <cellStyle name="Normal 4 2 2 3 3 6 4" xfId="10593"/>
    <cellStyle name="Normal 4 2 2 3 3 6 5" xfId="19035"/>
    <cellStyle name="Normal 4 2 2 3 3 6 6" xfId="27475"/>
    <cellStyle name="Normal 4 2 2 3 3 7" xfId="2504"/>
    <cellStyle name="Normal 4 2 2 3 3 7 2" xfId="6788"/>
    <cellStyle name="Normal 4 2 2 3 3 7 2 2" xfId="15224"/>
    <cellStyle name="Normal 4 2 2 3 3 7 2 3" xfId="23665"/>
    <cellStyle name="Normal 4 2 2 3 3 7 2 4" xfId="32105"/>
    <cellStyle name="Normal 4 2 2 3 3 7 3" xfId="11006"/>
    <cellStyle name="Normal 4 2 2 3 3 7 4" xfId="19448"/>
    <cellStyle name="Normal 4 2 2 3 3 7 5" xfId="27888"/>
    <cellStyle name="Normal 4 2 2 3 3 8" xfId="4723"/>
    <cellStyle name="Normal 4 2 2 3 3 8 2" xfId="13159"/>
    <cellStyle name="Normal 4 2 2 3 3 8 3" xfId="21600"/>
    <cellStyle name="Normal 4 2 2 3 3 8 4" xfId="30040"/>
    <cellStyle name="Normal 4 2 2 3 3 9" xfId="8941"/>
    <cellStyle name="Normal 4 2 2 3 4" xfId="346"/>
    <cellStyle name="Normal 4 2 2 3 4 10" xfId="25825"/>
    <cellStyle name="Normal 4 2 2 3 4 2" xfId="823"/>
    <cellStyle name="Normal 4 2 2 3 4 2 2" xfId="3060"/>
    <cellStyle name="Normal 4 2 2 3 4 2 2 2" xfId="7283"/>
    <cellStyle name="Normal 4 2 2 3 4 2 2 2 2" xfId="15719"/>
    <cellStyle name="Normal 4 2 2 3 4 2 2 2 3" xfId="24160"/>
    <cellStyle name="Normal 4 2 2 3 4 2 2 2 4" xfId="32600"/>
    <cellStyle name="Normal 4 2 2 3 4 2 2 3" xfId="11501"/>
    <cellStyle name="Normal 4 2 2 3 4 2 2 4" xfId="19943"/>
    <cellStyle name="Normal 4 2 2 3 4 2 2 5" xfId="28383"/>
    <cellStyle name="Normal 4 2 2 3 4 2 3" xfId="5138"/>
    <cellStyle name="Normal 4 2 2 3 4 2 3 2" xfId="13574"/>
    <cellStyle name="Normal 4 2 2 3 4 2 3 3" xfId="22015"/>
    <cellStyle name="Normal 4 2 2 3 4 2 3 4" xfId="30455"/>
    <cellStyle name="Normal 4 2 2 3 4 2 4" xfId="9356"/>
    <cellStyle name="Normal 4 2 2 3 4 2 5" xfId="17798"/>
    <cellStyle name="Normal 4 2 2 3 4 2 6" xfId="26238"/>
    <cellStyle name="Normal 4 2 2 3 4 3" xfId="1243"/>
    <cellStyle name="Normal 4 2 2 3 4 3 2" xfId="3473"/>
    <cellStyle name="Normal 4 2 2 3 4 3 2 2" xfId="7696"/>
    <cellStyle name="Normal 4 2 2 3 4 3 2 2 2" xfId="16132"/>
    <cellStyle name="Normal 4 2 2 3 4 3 2 2 3" xfId="24573"/>
    <cellStyle name="Normal 4 2 2 3 4 3 2 2 4" xfId="33013"/>
    <cellStyle name="Normal 4 2 2 3 4 3 2 3" xfId="11914"/>
    <cellStyle name="Normal 4 2 2 3 4 3 2 4" xfId="20356"/>
    <cellStyle name="Normal 4 2 2 3 4 3 2 5" xfId="28796"/>
    <cellStyle name="Normal 4 2 2 3 4 3 3" xfId="5551"/>
    <cellStyle name="Normal 4 2 2 3 4 3 3 2" xfId="13987"/>
    <cellStyle name="Normal 4 2 2 3 4 3 3 3" xfId="22428"/>
    <cellStyle name="Normal 4 2 2 3 4 3 3 4" xfId="30868"/>
    <cellStyle name="Normal 4 2 2 3 4 3 4" xfId="9769"/>
    <cellStyle name="Normal 4 2 2 3 4 3 5" xfId="18211"/>
    <cellStyle name="Normal 4 2 2 3 4 3 6" xfId="26651"/>
    <cellStyle name="Normal 4 2 2 3 4 4" xfId="1656"/>
    <cellStyle name="Normal 4 2 2 3 4 4 2" xfId="3886"/>
    <cellStyle name="Normal 4 2 2 3 4 4 2 2" xfId="8109"/>
    <cellStyle name="Normal 4 2 2 3 4 4 2 2 2" xfId="16545"/>
    <cellStyle name="Normal 4 2 2 3 4 4 2 2 3" xfId="24986"/>
    <cellStyle name="Normal 4 2 2 3 4 4 2 2 4" xfId="33426"/>
    <cellStyle name="Normal 4 2 2 3 4 4 2 3" xfId="12327"/>
    <cellStyle name="Normal 4 2 2 3 4 4 2 4" xfId="20769"/>
    <cellStyle name="Normal 4 2 2 3 4 4 2 5" xfId="29209"/>
    <cellStyle name="Normal 4 2 2 3 4 4 3" xfId="5964"/>
    <cellStyle name="Normal 4 2 2 3 4 4 3 2" xfId="14400"/>
    <cellStyle name="Normal 4 2 2 3 4 4 3 3" xfId="22841"/>
    <cellStyle name="Normal 4 2 2 3 4 4 3 4" xfId="31281"/>
    <cellStyle name="Normal 4 2 2 3 4 4 4" xfId="10182"/>
    <cellStyle name="Normal 4 2 2 3 4 4 5" xfId="18624"/>
    <cellStyle name="Normal 4 2 2 3 4 4 6" xfId="27064"/>
    <cellStyle name="Normal 4 2 2 3 4 5" xfId="2070"/>
    <cellStyle name="Normal 4 2 2 3 4 5 2" xfId="4299"/>
    <cellStyle name="Normal 4 2 2 3 4 5 2 2" xfId="8522"/>
    <cellStyle name="Normal 4 2 2 3 4 5 2 2 2" xfId="16958"/>
    <cellStyle name="Normal 4 2 2 3 4 5 2 2 3" xfId="25399"/>
    <cellStyle name="Normal 4 2 2 3 4 5 2 2 4" xfId="33839"/>
    <cellStyle name="Normal 4 2 2 3 4 5 2 3" xfId="12740"/>
    <cellStyle name="Normal 4 2 2 3 4 5 2 4" xfId="21182"/>
    <cellStyle name="Normal 4 2 2 3 4 5 2 5" xfId="29622"/>
    <cellStyle name="Normal 4 2 2 3 4 5 3" xfId="6377"/>
    <cellStyle name="Normal 4 2 2 3 4 5 3 2" xfId="14813"/>
    <cellStyle name="Normal 4 2 2 3 4 5 3 3" xfId="23254"/>
    <cellStyle name="Normal 4 2 2 3 4 5 3 4" xfId="31694"/>
    <cellStyle name="Normal 4 2 2 3 4 5 4" xfId="10595"/>
    <cellStyle name="Normal 4 2 2 3 4 5 5" xfId="19037"/>
    <cellStyle name="Normal 4 2 2 3 4 5 6" xfId="27477"/>
    <cellStyle name="Normal 4 2 2 3 4 6" xfId="2506"/>
    <cellStyle name="Normal 4 2 2 3 4 6 2" xfId="6790"/>
    <cellStyle name="Normal 4 2 2 3 4 6 2 2" xfId="15226"/>
    <cellStyle name="Normal 4 2 2 3 4 6 2 3" xfId="23667"/>
    <cellStyle name="Normal 4 2 2 3 4 6 2 4" xfId="32107"/>
    <cellStyle name="Normal 4 2 2 3 4 6 3" xfId="11008"/>
    <cellStyle name="Normal 4 2 2 3 4 6 4" xfId="19450"/>
    <cellStyle name="Normal 4 2 2 3 4 6 5" xfId="27890"/>
    <cellStyle name="Normal 4 2 2 3 4 7" xfId="4725"/>
    <cellStyle name="Normal 4 2 2 3 4 7 2" xfId="13161"/>
    <cellStyle name="Normal 4 2 2 3 4 7 3" xfId="21602"/>
    <cellStyle name="Normal 4 2 2 3 4 7 4" xfId="30042"/>
    <cellStyle name="Normal 4 2 2 3 4 8" xfId="8943"/>
    <cellStyle name="Normal 4 2 2 3 4 9" xfId="17385"/>
    <cellStyle name="Normal 4 2 2 3 5" xfId="816"/>
    <cellStyle name="Normal 4 2 2 3 5 2" xfId="3053"/>
    <cellStyle name="Normal 4 2 2 3 5 2 2" xfId="7276"/>
    <cellStyle name="Normal 4 2 2 3 5 2 2 2" xfId="15712"/>
    <cellStyle name="Normal 4 2 2 3 5 2 2 3" xfId="24153"/>
    <cellStyle name="Normal 4 2 2 3 5 2 2 4" xfId="32593"/>
    <cellStyle name="Normal 4 2 2 3 5 2 3" xfId="11494"/>
    <cellStyle name="Normal 4 2 2 3 5 2 4" xfId="19936"/>
    <cellStyle name="Normal 4 2 2 3 5 2 5" xfId="28376"/>
    <cellStyle name="Normal 4 2 2 3 5 3" xfId="5131"/>
    <cellStyle name="Normal 4 2 2 3 5 3 2" xfId="13567"/>
    <cellStyle name="Normal 4 2 2 3 5 3 3" xfId="22008"/>
    <cellStyle name="Normal 4 2 2 3 5 3 4" xfId="30448"/>
    <cellStyle name="Normal 4 2 2 3 5 4" xfId="9349"/>
    <cellStyle name="Normal 4 2 2 3 5 5" xfId="17791"/>
    <cellStyle name="Normal 4 2 2 3 5 6" xfId="26231"/>
    <cellStyle name="Normal 4 2 2 3 6" xfId="1236"/>
    <cellStyle name="Normal 4 2 2 3 6 2" xfId="3466"/>
    <cellStyle name="Normal 4 2 2 3 6 2 2" xfId="7689"/>
    <cellStyle name="Normal 4 2 2 3 6 2 2 2" xfId="16125"/>
    <cellStyle name="Normal 4 2 2 3 6 2 2 3" xfId="24566"/>
    <cellStyle name="Normal 4 2 2 3 6 2 2 4" xfId="33006"/>
    <cellStyle name="Normal 4 2 2 3 6 2 3" xfId="11907"/>
    <cellStyle name="Normal 4 2 2 3 6 2 4" xfId="20349"/>
    <cellStyle name="Normal 4 2 2 3 6 2 5" xfId="28789"/>
    <cellStyle name="Normal 4 2 2 3 6 3" xfId="5544"/>
    <cellStyle name="Normal 4 2 2 3 6 3 2" xfId="13980"/>
    <cellStyle name="Normal 4 2 2 3 6 3 3" xfId="22421"/>
    <cellStyle name="Normal 4 2 2 3 6 3 4" xfId="30861"/>
    <cellStyle name="Normal 4 2 2 3 6 4" xfId="9762"/>
    <cellStyle name="Normal 4 2 2 3 6 5" xfId="18204"/>
    <cellStyle name="Normal 4 2 2 3 6 6" xfId="26644"/>
    <cellStyle name="Normal 4 2 2 3 7" xfId="1649"/>
    <cellStyle name="Normal 4 2 2 3 7 2" xfId="3879"/>
    <cellStyle name="Normal 4 2 2 3 7 2 2" xfId="8102"/>
    <cellStyle name="Normal 4 2 2 3 7 2 2 2" xfId="16538"/>
    <cellStyle name="Normal 4 2 2 3 7 2 2 3" xfId="24979"/>
    <cellStyle name="Normal 4 2 2 3 7 2 2 4" xfId="33419"/>
    <cellStyle name="Normal 4 2 2 3 7 2 3" xfId="12320"/>
    <cellStyle name="Normal 4 2 2 3 7 2 4" xfId="20762"/>
    <cellStyle name="Normal 4 2 2 3 7 2 5" xfId="29202"/>
    <cellStyle name="Normal 4 2 2 3 7 3" xfId="5957"/>
    <cellStyle name="Normal 4 2 2 3 7 3 2" xfId="14393"/>
    <cellStyle name="Normal 4 2 2 3 7 3 3" xfId="22834"/>
    <cellStyle name="Normal 4 2 2 3 7 3 4" xfId="31274"/>
    <cellStyle name="Normal 4 2 2 3 7 4" xfId="10175"/>
    <cellStyle name="Normal 4 2 2 3 7 5" xfId="18617"/>
    <cellStyle name="Normal 4 2 2 3 7 6" xfId="27057"/>
    <cellStyle name="Normal 4 2 2 3 8" xfId="2063"/>
    <cellStyle name="Normal 4 2 2 3 8 2" xfId="4292"/>
    <cellStyle name="Normal 4 2 2 3 8 2 2" xfId="8515"/>
    <cellStyle name="Normal 4 2 2 3 8 2 2 2" xfId="16951"/>
    <cellStyle name="Normal 4 2 2 3 8 2 2 3" xfId="25392"/>
    <cellStyle name="Normal 4 2 2 3 8 2 2 4" xfId="33832"/>
    <cellStyle name="Normal 4 2 2 3 8 2 3" xfId="12733"/>
    <cellStyle name="Normal 4 2 2 3 8 2 4" xfId="21175"/>
    <cellStyle name="Normal 4 2 2 3 8 2 5" xfId="29615"/>
    <cellStyle name="Normal 4 2 2 3 8 3" xfId="6370"/>
    <cellStyle name="Normal 4 2 2 3 8 3 2" xfId="14806"/>
    <cellStyle name="Normal 4 2 2 3 8 3 3" xfId="23247"/>
    <cellStyle name="Normal 4 2 2 3 8 3 4" xfId="31687"/>
    <cellStyle name="Normal 4 2 2 3 8 4" xfId="10588"/>
    <cellStyle name="Normal 4 2 2 3 8 5" xfId="19030"/>
    <cellStyle name="Normal 4 2 2 3 8 6" xfId="27470"/>
    <cellStyle name="Normal 4 2 2 3 9" xfId="2499"/>
    <cellStyle name="Normal 4 2 2 3 9 2" xfId="6783"/>
    <cellStyle name="Normal 4 2 2 3 9 2 2" xfId="15219"/>
    <cellStyle name="Normal 4 2 2 3 9 2 3" xfId="23660"/>
    <cellStyle name="Normal 4 2 2 3 9 2 4" xfId="32100"/>
    <cellStyle name="Normal 4 2 2 3 9 3" xfId="11001"/>
    <cellStyle name="Normal 4 2 2 3 9 4" xfId="19443"/>
    <cellStyle name="Normal 4 2 2 3 9 5" xfId="27883"/>
    <cellStyle name="Normal 4 2 2 4" xfId="347"/>
    <cellStyle name="Normal 4 2 2 4 10" xfId="8944"/>
    <cellStyle name="Normal 4 2 2 4 11" xfId="17386"/>
    <cellStyle name="Normal 4 2 2 4 12" xfId="25826"/>
    <cellStyle name="Normal 4 2 2 4 2" xfId="348"/>
    <cellStyle name="Normal 4 2 2 4 2 10" xfId="17387"/>
    <cellStyle name="Normal 4 2 2 4 2 11" xfId="25827"/>
    <cellStyle name="Normal 4 2 2 4 2 2" xfId="349"/>
    <cellStyle name="Normal 4 2 2 4 2 2 10" xfId="25828"/>
    <cellStyle name="Normal 4 2 2 4 2 2 2" xfId="826"/>
    <cellStyle name="Normal 4 2 2 4 2 2 2 2" xfId="3063"/>
    <cellStyle name="Normal 4 2 2 4 2 2 2 2 2" xfId="7286"/>
    <cellStyle name="Normal 4 2 2 4 2 2 2 2 2 2" xfId="15722"/>
    <cellStyle name="Normal 4 2 2 4 2 2 2 2 2 3" xfId="24163"/>
    <cellStyle name="Normal 4 2 2 4 2 2 2 2 2 4" xfId="32603"/>
    <cellStyle name="Normal 4 2 2 4 2 2 2 2 3" xfId="11504"/>
    <cellStyle name="Normal 4 2 2 4 2 2 2 2 4" xfId="19946"/>
    <cellStyle name="Normal 4 2 2 4 2 2 2 2 5" xfId="28386"/>
    <cellStyle name="Normal 4 2 2 4 2 2 2 3" xfId="5141"/>
    <cellStyle name="Normal 4 2 2 4 2 2 2 3 2" xfId="13577"/>
    <cellStyle name="Normal 4 2 2 4 2 2 2 3 3" xfId="22018"/>
    <cellStyle name="Normal 4 2 2 4 2 2 2 3 4" xfId="30458"/>
    <cellStyle name="Normal 4 2 2 4 2 2 2 4" xfId="9359"/>
    <cellStyle name="Normal 4 2 2 4 2 2 2 5" xfId="17801"/>
    <cellStyle name="Normal 4 2 2 4 2 2 2 6" xfId="26241"/>
    <cellStyle name="Normal 4 2 2 4 2 2 3" xfId="1246"/>
    <cellStyle name="Normal 4 2 2 4 2 2 3 2" xfId="3476"/>
    <cellStyle name="Normal 4 2 2 4 2 2 3 2 2" xfId="7699"/>
    <cellStyle name="Normal 4 2 2 4 2 2 3 2 2 2" xfId="16135"/>
    <cellStyle name="Normal 4 2 2 4 2 2 3 2 2 3" xfId="24576"/>
    <cellStyle name="Normal 4 2 2 4 2 2 3 2 2 4" xfId="33016"/>
    <cellStyle name="Normal 4 2 2 4 2 2 3 2 3" xfId="11917"/>
    <cellStyle name="Normal 4 2 2 4 2 2 3 2 4" xfId="20359"/>
    <cellStyle name="Normal 4 2 2 4 2 2 3 2 5" xfId="28799"/>
    <cellStyle name="Normal 4 2 2 4 2 2 3 3" xfId="5554"/>
    <cellStyle name="Normal 4 2 2 4 2 2 3 3 2" xfId="13990"/>
    <cellStyle name="Normal 4 2 2 4 2 2 3 3 3" xfId="22431"/>
    <cellStyle name="Normal 4 2 2 4 2 2 3 3 4" xfId="30871"/>
    <cellStyle name="Normal 4 2 2 4 2 2 3 4" xfId="9772"/>
    <cellStyle name="Normal 4 2 2 4 2 2 3 5" xfId="18214"/>
    <cellStyle name="Normal 4 2 2 4 2 2 3 6" xfId="26654"/>
    <cellStyle name="Normal 4 2 2 4 2 2 4" xfId="1659"/>
    <cellStyle name="Normal 4 2 2 4 2 2 4 2" xfId="3889"/>
    <cellStyle name="Normal 4 2 2 4 2 2 4 2 2" xfId="8112"/>
    <cellStyle name="Normal 4 2 2 4 2 2 4 2 2 2" xfId="16548"/>
    <cellStyle name="Normal 4 2 2 4 2 2 4 2 2 3" xfId="24989"/>
    <cellStyle name="Normal 4 2 2 4 2 2 4 2 2 4" xfId="33429"/>
    <cellStyle name="Normal 4 2 2 4 2 2 4 2 3" xfId="12330"/>
    <cellStyle name="Normal 4 2 2 4 2 2 4 2 4" xfId="20772"/>
    <cellStyle name="Normal 4 2 2 4 2 2 4 2 5" xfId="29212"/>
    <cellStyle name="Normal 4 2 2 4 2 2 4 3" xfId="5967"/>
    <cellStyle name="Normal 4 2 2 4 2 2 4 3 2" xfId="14403"/>
    <cellStyle name="Normal 4 2 2 4 2 2 4 3 3" xfId="22844"/>
    <cellStyle name="Normal 4 2 2 4 2 2 4 3 4" xfId="31284"/>
    <cellStyle name="Normal 4 2 2 4 2 2 4 4" xfId="10185"/>
    <cellStyle name="Normal 4 2 2 4 2 2 4 5" xfId="18627"/>
    <cellStyle name="Normal 4 2 2 4 2 2 4 6" xfId="27067"/>
    <cellStyle name="Normal 4 2 2 4 2 2 5" xfId="2073"/>
    <cellStyle name="Normal 4 2 2 4 2 2 5 2" xfId="4302"/>
    <cellStyle name="Normal 4 2 2 4 2 2 5 2 2" xfId="8525"/>
    <cellStyle name="Normal 4 2 2 4 2 2 5 2 2 2" xfId="16961"/>
    <cellStyle name="Normal 4 2 2 4 2 2 5 2 2 3" xfId="25402"/>
    <cellStyle name="Normal 4 2 2 4 2 2 5 2 2 4" xfId="33842"/>
    <cellStyle name="Normal 4 2 2 4 2 2 5 2 3" xfId="12743"/>
    <cellStyle name="Normal 4 2 2 4 2 2 5 2 4" xfId="21185"/>
    <cellStyle name="Normal 4 2 2 4 2 2 5 2 5" xfId="29625"/>
    <cellStyle name="Normal 4 2 2 4 2 2 5 3" xfId="6380"/>
    <cellStyle name="Normal 4 2 2 4 2 2 5 3 2" xfId="14816"/>
    <cellStyle name="Normal 4 2 2 4 2 2 5 3 3" xfId="23257"/>
    <cellStyle name="Normal 4 2 2 4 2 2 5 3 4" xfId="31697"/>
    <cellStyle name="Normal 4 2 2 4 2 2 5 4" xfId="10598"/>
    <cellStyle name="Normal 4 2 2 4 2 2 5 5" xfId="19040"/>
    <cellStyle name="Normal 4 2 2 4 2 2 5 6" xfId="27480"/>
    <cellStyle name="Normal 4 2 2 4 2 2 6" xfId="2509"/>
    <cellStyle name="Normal 4 2 2 4 2 2 6 2" xfId="6793"/>
    <cellStyle name="Normal 4 2 2 4 2 2 6 2 2" xfId="15229"/>
    <cellStyle name="Normal 4 2 2 4 2 2 6 2 3" xfId="23670"/>
    <cellStyle name="Normal 4 2 2 4 2 2 6 2 4" xfId="32110"/>
    <cellStyle name="Normal 4 2 2 4 2 2 6 3" xfId="11011"/>
    <cellStyle name="Normal 4 2 2 4 2 2 6 4" xfId="19453"/>
    <cellStyle name="Normal 4 2 2 4 2 2 6 5" xfId="27893"/>
    <cellStyle name="Normal 4 2 2 4 2 2 7" xfId="4728"/>
    <cellStyle name="Normal 4 2 2 4 2 2 7 2" xfId="13164"/>
    <cellStyle name="Normal 4 2 2 4 2 2 7 3" xfId="21605"/>
    <cellStyle name="Normal 4 2 2 4 2 2 7 4" xfId="30045"/>
    <cellStyle name="Normal 4 2 2 4 2 2 8" xfId="8946"/>
    <cellStyle name="Normal 4 2 2 4 2 2 9" xfId="17388"/>
    <cellStyle name="Normal 4 2 2 4 2 3" xfId="825"/>
    <cellStyle name="Normal 4 2 2 4 2 3 2" xfId="3062"/>
    <cellStyle name="Normal 4 2 2 4 2 3 2 2" xfId="7285"/>
    <cellStyle name="Normal 4 2 2 4 2 3 2 2 2" xfId="15721"/>
    <cellStyle name="Normal 4 2 2 4 2 3 2 2 3" xfId="24162"/>
    <cellStyle name="Normal 4 2 2 4 2 3 2 2 4" xfId="32602"/>
    <cellStyle name="Normal 4 2 2 4 2 3 2 3" xfId="11503"/>
    <cellStyle name="Normal 4 2 2 4 2 3 2 4" xfId="19945"/>
    <cellStyle name="Normal 4 2 2 4 2 3 2 5" xfId="28385"/>
    <cellStyle name="Normal 4 2 2 4 2 3 3" xfId="5140"/>
    <cellStyle name="Normal 4 2 2 4 2 3 3 2" xfId="13576"/>
    <cellStyle name="Normal 4 2 2 4 2 3 3 3" xfId="22017"/>
    <cellStyle name="Normal 4 2 2 4 2 3 3 4" xfId="30457"/>
    <cellStyle name="Normal 4 2 2 4 2 3 4" xfId="9358"/>
    <cellStyle name="Normal 4 2 2 4 2 3 5" xfId="17800"/>
    <cellStyle name="Normal 4 2 2 4 2 3 6" xfId="26240"/>
    <cellStyle name="Normal 4 2 2 4 2 4" xfId="1245"/>
    <cellStyle name="Normal 4 2 2 4 2 4 2" xfId="3475"/>
    <cellStyle name="Normal 4 2 2 4 2 4 2 2" xfId="7698"/>
    <cellStyle name="Normal 4 2 2 4 2 4 2 2 2" xfId="16134"/>
    <cellStyle name="Normal 4 2 2 4 2 4 2 2 3" xfId="24575"/>
    <cellStyle name="Normal 4 2 2 4 2 4 2 2 4" xfId="33015"/>
    <cellStyle name="Normal 4 2 2 4 2 4 2 3" xfId="11916"/>
    <cellStyle name="Normal 4 2 2 4 2 4 2 4" xfId="20358"/>
    <cellStyle name="Normal 4 2 2 4 2 4 2 5" xfId="28798"/>
    <cellStyle name="Normal 4 2 2 4 2 4 3" xfId="5553"/>
    <cellStyle name="Normal 4 2 2 4 2 4 3 2" xfId="13989"/>
    <cellStyle name="Normal 4 2 2 4 2 4 3 3" xfId="22430"/>
    <cellStyle name="Normal 4 2 2 4 2 4 3 4" xfId="30870"/>
    <cellStyle name="Normal 4 2 2 4 2 4 4" xfId="9771"/>
    <cellStyle name="Normal 4 2 2 4 2 4 5" xfId="18213"/>
    <cellStyle name="Normal 4 2 2 4 2 4 6" xfId="26653"/>
    <cellStyle name="Normal 4 2 2 4 2 5" xfId="1658"/>
    <cellStyle name="Normal 4 2 2 4 2 5 2" xfId="3888"/>
    <cellStyle name="Normal 4 2 2 4 2 5 2 2" xfId="8111"/>
    <cellStyle name="Normal 4 2 2 4 2 5 2 2 2" xfId="16547"/>
    <cellStyle name="Normal 4 2 2 4 2 5 2 2 3" xfId="24988"/>
    <cellStyle name="Normal 4 2 2 4 2 5 2 2 4" xfId="33428"/>
    <cellStyle name="Normal 4 2 2 4 2 5 2 3" xfId="12329"/>
    <cellStyle name="Normal 4 2 2 4 2 5 2 4" xfId="20771"/>
    <cellStyle name="Normal 4 2 2 4 2 5 2 5" xfId="29211"/>
    <cellStyle name="Normal 4 2 2 4 2 5 3" xfId="5966"/>
    <cellStyle name="Normal 4 2 2 4 2 5 3 2" xfId="14402"/>
    <cellStyle name="Normal 4 2 2 4 2 5 3 3" xfId="22843"/>
    <cellStyle name="Normal 4 2 2 4 2 5 3 4" xfId="31283"/>
    <cellStyle name="Normal 4 2 2 4 2 5 4" xfId="10184"/>
    <cellStyle name="Normal 4 2 2 4 2 5 5" xfId="18626"/>
    <cellStyle name="Normal 4 2 2 4 2 5 6" xfId="27066"/>
    <cellStyle name="Normal 4 2 2 4 2 6" xfId="2072"/>
    <cellStyle name="Normal 4 2 2 4 2 6 2" xfId="4301"/>
    <cellStyle name="Normal 4 2 2 4 2 6 2 2" xfId="8524"/>
    <cellStyle name="Normal 4 2 2 4 2 6 2 2 2" xfId="16960"/>
    <cellStyle name="Normal 4 2 2 4 2 6 2 2 3" xfId="25401"/>
    <cellStyle name="Normal 4 2 2 4 2 6 2 2 4" xfId="33841"/>
    <cellStyle name="Normal 4 2 2 4 2 6 2 3" xfId="12742"/>
    <cellStyle name="Normal 4 2 2 4 2 6 2 4" xfId="21184"/>
    <cellStyle name="Normal 4 2 2 4 2 6 2 5" xfId="29624"/>
    <cellStyle name="Normal 4 2 2 4 2 6 3" xfId="6379"/>
    <cellStyle name="Normal 4 2 2 4 2 6 3 2" xfId="14815"/>
    <cellStyle name="Normal 4 2 2 4 2 6 3 3" xfId="23256"/>
    <cellStyle name="Normal 4 2 2 4 2 6 3 4" xfId="31696"/>
    <cellStyle name="Normal 4 2 2 4 2 6 4" xfId="10597"/>
    <cellStyle name="Normal 4 2 2 4 2 6 5" xfId="19039"/>
    <cellStyle name="Normal 4 2 2 4 2 6 6" xfId="27479"/>
    <cellStyle name="Normal 4 2 2 4 2 7" xfId="2508"/>
    <cellStyle name="Normal 4 2 2 4 2 7 2" xfId="6792"/>
    <cellStyle name="Normal 4 2 2 4 2 7 2 2" xfId="15228"/>
    <cellStyle name="Normal 4 2 2 4 2 7 2 3" xfId="23669"/>
    <cellStyle name="Normal 4 2 2 4 2 7 2 4" xfId="32109"/>
    <cellStyle name="Normal 4 2 2 4 2 7 3" xfId="11010"/>
    <cellStyle name="Normal 4 2 2 4 2 7 4" xfId="19452"/>
    <cellStyle name="Normal 4 2 2 4 2 7 5" xfId="27892"/>
    <cellStyle name="Normal 4 2 2 4 2 8" xfId="4727"/>
    <cellStyle name="Normal 4 2 2 4 2 8 2" xfId="13163"/>
    <cellStyle name="Normal 4 2 2 4 2 8 3" xfId="21604"/>
    <cellStyle name="Normal 4 2 2 4 2 8 4" xfId="30044"/>
    <cellStyle name="Normal 4 2 2 4 2 9" xfId="8945"/>
    <cellStyle name="Normal 4 2 2 4 3" xfId="350"/>
    <cellStyle name="Normal 4 2 2 4 3 10" xfId="25829"/>
    <cellStyle name="Normal 4 2 2 4 3 2" xfId="827"/>
    <cellStyle name="Normal 4 2 2 4 3 2 2" xfId="3064"/>
    <cellStyle name="Normal 4 2 2 4 3 2 2 2" xfId="7287"/>
    <cellStyle name="Normal 4 2 2 4 3 2 2 2 2" xfId="15723"/>
    <cellStyle name="Normal 4 2 2 4 3 2 2 2 3" xfId="24164"/>
    <cellStyle name="Normal 4 2 2 4 3 2 2 2 4" xfId="32604"/>
    <cellStyle name="Normal 4 2 2 4 3 2 2 3" xfId="11505"/>
    <cellStyle name="Normal 4 2 2 4 3 2 2 4" xfId="19947"/>
    <cellStyle name="Normal 4 2 2 4 3 2 2 5" xfId="28387"/>
    <cellStyle name="Normal 4 2 2 4 3 2 3" xfId="5142"/>
    <cellStyle name="Normal 4 2 2 4 3 2 3 2" xfId="13578"/>
    <cellStyle name="Normal 4 2 2 4 3 2 3 3" xfId="22019"/>
    <cellStyle name="Normal 4 2 2 4 3 2 3 4" xfId="30459"/>
    <cellStyle name="Normal 4 2 2 4 3 2 4" xfId="9360"/>
    <cellStyle name="Normal 4 2 2 4 3 2 5" xfId="17802"/>
    <cellStyle name="Normal 4 2 2 4 3 2 6" xfId="26242"/>
    <cellStyle name="Normal 4 2 2 4 3 3" xfId="1247"/>
    <cellStyle name="Normal 4 2 2 4 3 3 2" xfId="3477"/>
    <cellStyle name="Normal 4 2 2 4 3 3 2 2" xfId="7700"/>
    <cellStyle name="Normal 4 2 2 4 3 3 2 2 2" xfId="16136"/>
    <cellStyle name="Normal 4 2 2 4 3 3 2 2 3" xfId="24577"/>
    <cellStyle name="Normal 4 2 2 4 3 3 2 2 4" xfId="33017"/>
    <cellStyle name="Normal 4 2 2 4 3 3 2 3" xfId="11918"/>
    <cellStyle name="Normal 4 2 2 4 3 3 2 4" xfId="20360"/>
    <cellStyle name="Normal 4 2 2 4 3 3 2 5" xfId="28800"/>
    <cellStyle name="Normal 4 2 2 4 3 3 3" xfId="5555"/>
    <cellStyle name="Normal 4 2 2 4 3 3 3 2" xfId="13991"/>
    <cellStyle name="Normal 4 2 2 4 3 3 3 3" xfId="22432"/>
    <cellStyle name="Normal 4 2 2 4 3 3 3 4" xfId="30872"/>
    <cellStyle name="Normal 4 2 2 4 3 3 4" xfId="9773"/>
    <cellStyle name="Normal 4 2 2 4 3 3 5" xfId="18215"/>
    <cellStyle name="Normal 4 2 2 4 3 3 6" xfId="26655"/>
    <cellStyle name="Normal 4 2 2 4 3 4" xfId="1660"/>
    <cellStyle name="Normal 4 2 2 4 3 4 2" xfId="3890"/>
    <cellStyle name="Normal 4 2 2 4 3 4 2 2" xfId="8113"/>
    <cellStyle name="Normal 4 2 2 4 3 4 2 2 2" xfId="16549"/>
    <cellStyle name="Normal 4 2 2 4 3 4 2 2 3" xfId="24990"/>
    <cellStyle name="Normal 4 2 2 4 3 4 2 2 4" xfId="33430"/>
    <cellStyle name="Normal 4 2 2 4 3 4 2 3" xfId="12331"/>
    <cellStyle name="Normal 4 2 2 4 3 4 2 4" xfId="20773"/>
    <cellStyle name="Normal 4 2 2 4 3 4 2 5" xfId="29213"/>
    <cellStyle name="Normal 4 2 2 4 3 4 3" xfId="5968"/>
    <cellStyle name="Normal 4 2 2 4 3 4 3 2" xfId="14404"/>
    <cellStyle name="Normal 4 2 2 4 3 4 3 3" xfId="22845"/>
    <cellStyle name="Normal 4 2 2 4 3 4 3 4" xfId="31285"/>
    <cellStyle name="Normal 4 2 2 4 3 4 4" xfId="10186"/>
    <cellStyle name="Normal 4 2 2 4 3 4 5" xfId="18628"/>
    <cellStyle name="Normal 4 2 2 4 3 4 6" xfId="27068"/>
    <cellStyle name="Normal 4 2 2 4 3 5" xfId="2074"/>
    <cellStyle name="Normal 4 2 2 4 3 5 2" xfId="4303"/>
    <cellStyle name="Normal 4 2 2 4 3 5 2 2" xfId="8526"/>
    <cellStyle name="Normal 4 2 2 4 3 5 2 2 2" xfId="16962"/>
    <cellStyle name="Normal 4 2 2 4 3 5 2 2 3" xfId="25403"/>
    <cellStyle name="Normal 4 2 2 4 3 5 2 2 4" xfId="33843"/>
    <cellStyle name="Normal 4 2 2 4 3 5 2 3" xfId="12744"/>
    <cellStyle name="Normal 4 2 2 4 3 5 2 4" xfId="21186"/>
    <cellStyle name="Normal 4 2 2 4 3 5 2 5" xfId="29626"/>
    <cellStyle name="Normal 4 2 2 4 3 5 3" xfId="6381"/>
    <cellStyle name="Normal 4 2 2 4 3 5 3 2" xfId="14817"/>
    <cellStyle name="Normal 4 2 2 4 3 5 3 3" xfId="23258"/>
    <cellStyle name="Normal 4 2 2 4 3 5 3 4" xfId="31698"/>
    <cellStyle name="Normal 4 2 2 4 3 5 4" xfId="10599"/>
    <cellStyle name="Normal 4 2 2 4 3 5 5" xfId="19041"/>
    <cellStyle name="Normal 4 2 2 4 3 5 6" xfId="27481"/>
    <cellStyle name="Normal 4 2 2 4 3 6" xfId="2510"/>
    <cellStyle name="Normal 4 2 2 4 3 6 2" xfId="6794"/>
    <cellStyle name="Normal 4 2 2 4 3 6 2 2" xfId="15230"/>
    <cellStyle name="Normal 4 2 2 4 3 6 2 3" xfId="23671"/>
    <cellStyle name="Normal 4 2 2 4 3 6 2 4" xfId="32111"/>
    <cellStyle name="Normal 4 2 2 4 3 6 3" xfId="11012"/>
    <cellStyle name="Normal 4 2 2 4 3 6 4" xfId="19454"/>
    <cellStyle name="Normal 4 2 2 4 3 6 5" xfId="27894"/>
    <cellStyle name="Normal 4 2 2 4 3 7" xfId="4729"/>
    <cellStyle name="Normal 4 2 2 4 3 7 2" xfId="13165"/>
    <cellStyle name="Normal 4 2 2 4 3 7 3" xfId="21606"/>
    <cellStyle name="Normal 4 2 2 4 3 7 4" xfId="30046"/>
    <cellStyle name="Normal 4 2 2 4 3 8" xfId="8947"/>
    <cellStyle name="Normal 4 2 2 4 3 9" xfId="17389"/>
    <cellStyle name="Normal 4 2 2 4 4" xfId="824"/>
    <cellStyle name="Normal 4 2 2 4 4 2" xfId="3061"/>
    <cellStyle name="Normal 4 2 2 4 4 2 2" xfId="7284"/>
    <cellStyle name="Normal 4 2 2 4 4 2 2 2" xfId="15720"/>
    <cellStyle name="Normal 4 2 2 4 4 2 2 3" xfId="24161"/>
    <cellStyle name="Normal 4 2 2 4 4 2 2 4" xfId="32601"/>
    <cellStyle name="Normal 4 2 2 4 4 2 3" xfId="11502"/>
    <cellStyle name="Normal 4 2 2 4 4 2 4" xfId="19944"/>
    <cellStyle name="Normal 4 2 2 4 4 2 5" xfId="28384"/>
    <cellStyle name="Normal 4 2 2 4 4 3" xfId="5139"/>
    <cellStyle name="Normal 4 2 2 4 4 3 2" xfId="13575"/>
    <cellStyle name="Normal 4 2 2 4 4 3 3" xfId="22016"/>
    <cellStyle name="Normal 4 2 2 4 4 3 4" xfId="30456"/>
    <cellStyle name="Normal 4 2 2 4 4 4" xfId="9357"/>
    <cellStyle name="Normal 4 2 2 4 4 5" xfId="17799"/>
    <cellStyle name="Normal 4 2 2 4 4 6" xfId="26239"/>
    <cellStyle name="Normal 4 2 2 4 5" xfId="1244"/>
    <cellStyle name="Normal 4 2 2 4 5 2" xfId="3474"/>
    <cellStyle name="Normal 4 2 2 4 5 2 2" xfId="7697"/>
    <cellStyle name="Normal 4 2 2 4 5 2 2 2" xfId="16133"/>
    <cellStyle name="Normal 4 2 2 4 5 2 2 3" xfId="24574"/>
    <cellStyle name="Normal 4 2 2 4 5 2 2 4" xfId="33014"/>
    <cellStyle name="Normal 4 2 2 4 5 2 3" xfId="11915"/>
    <cellStyle name="Normal 4 2 2 4 5 2 4" xfId="20357"/>
    <cellStyle name="Normal 4 2 2 4 5 2 5" xfId="28797"/>
    <cellStyle name="Normal 4 2 2 4 5 3" xfId="5552"/>
    <cellStyle name="Normal 4 2 2 4 5 3 2" xfId="13988"/>
    <cellStyle name="Normal 4 2 2 4 5 3 3" xfId="22429"/>
    <cellStyle name="Normal 4 2 2 4 5 3 4" xfId="30869"/>
    <cellStyle name="Normal 4 2 2 4 5 4" xfId="9770"/>
    <cellStyle name="Normal 4 2 2 4 5 5" xfId="18212"/>
    <cellStyle name="Normal 4 2 2 4 5 6" xfId="26652"/>
    <cellStyle name="Normal 4 2 2 4 6" xfId="1657"/>
    <cellStyle name="Normal 4 2 2 4 6 2" xfId="3887"/>
    <cellStyle name="Normal 4 2 2 4 6 2 2" xfId="8110"/>
    <cellStyle name="Normal 4 2 2 4 6 2 2 2" xfId="16546"/>
    <cellStyle name="Normal 4 2 2 4 6 2 2 3" xfId="24987"/>
    <cellStyle name="Normal 4 2 2 4 6 2 2 4" xfId="33427"/>
    <cellStyle name="Normal 4 2 2 4 6 2 3" xfId="12328"/>
    <cellStyle name="Normal 4 2 2 4 6 2 4" xfId="20770"/>
    <cellStyle name="Normal 4 2 2 4 6 2 5" xfId="29210"/>
    <cellStyle name="Normal 4 2 2 4 6 3" xfId="5965"/>
    <cellStyle name="Normal 4 2 2 4 6 3 2" xfId="14401"/>
    <cellStyle name="Normal 4 2 2 4 6 3 3" xfId="22842"/>
    <cellStyle name="Normal 4 2 2 4 6 3 4" xfId="31282"/>
    <cellStyle name="Normal 4 2 2 4 6 4" xfId="10183"/>
    <cellStyle name="Normal 4 2 2 4 6 5" xfId="18625"/>
    <cellStyle name="Normal 4 2 2 4 6 6" xfId="27065"/>
    <cellStyle name="Normal 4 2 2 4 7" xfId="2071"/>
    <cellStyle name="Normal 4 2 2 4 7 2" xfId="4300"/>
    <cellStyle name="Normal 4 2 2 4 7 2 2" xfId="8523"/>
    <cellStyle name="Normal 4 2 2 4 7 2 2 2" xfId="16959"/>
    <cellStyle name="Normal 4 2 2 4 7 2 2 3" xfId="25400"/>
    <cellStyle name="Normal 4 2 2 4 7 2 2 4" xfId="33840"/>
    <cellStyle name="Normal 4 2 2 4 7 2 3" xfId="12741"/>
    <cellStyle name="Normal 4 2 2 4 7 2 4" xfId="21183"/>
    <cellStyle name="Normal 4 2 2 4 7 2 5" xfId="29623"/>
    <cellStyle name="Normal 4 2 2 4 7 3" xfId="6378"/>
    <cellStyle name="Normal 4 2 2 4 7 3 2" xfId="14814"/>
    <cellStyle name="Normal 4 2 2 4 7 3 3" xfId="23255"/>
    <cellStyle name="Normal 4 2 2 4 7 3 4" xfId="31695"/>
    <cellStyle name="Normal 4 2 2 4 7 4" xfId="10596"/>
    <cellStyle name="Normal 4 2 2 4 7 5" xfId="19038"/>
    <cellStyle name="Normal 4 2 2 4 7 6" xfId="27478"/>
    <cellStyle name="Normal 4 2 2 4 8" xfId="2507"/>
    <cellStyle name="Normal 4 2 2 4 8 2" xfId="6791"/>
    <cellStyle name="Normal 4 2 2 4 8 2 2" xfId="15227"/>
    <cellStyle name="Normal 4 2 2 4 8 2 3" xfId="23668"/>
    <cellStyle name="Normal 4 2 2 4 8 2 4" xfId="32108"/>
    <cellStyle name="Normal 4 2 2 4 8 3" xfId="11009"/>
    <cellStyle name="Normal 4 2 2 4 8 4" xfId="19451"/>
    <cellStyle name="Normal 4 2 2 4 8 5" xfId="27891"/>
    <cellStyle name="Normal 4 2 2 4 9" xfId="4726"/>
    <cellStyle name="Normal 4 2 2 4 9 2" xfId="13162"/>
    <cellStyle name="Normal 4 2 2 4 9 3" xfId="21603"/>
    <cellStyle name="Normal 4 2 2 4 9 4" xfId="30043"/>
    <cellStyle name="Normal 4 2 2 5" xfId="351"/>
    <cellStyle name="Normal 4 2 2 5 10" xfId="17390"/>
    <cellStyle name="Normal 4 2 2 5 11" xfId="25830"/>
    <cellStyle name="Normal 4 2 2 5 2" xfId="352"/>
    <cellStyle name="Normal 4 2 2 5 2 10" xfId="25831"/>
    <cellStyle name="Normal 4 2 2 5 2 2" xfId="829"/>
    <cellStyle name="Normal 4 2 2 5 2 2 2" xfId="3066"/>
    <cellStyle name="Normal 4 2 2 5 2 2 2 2" xfId="7289"/>
    <cellStyle name="Normal 4 2 2 5 2 2 2 2 2" xfId="15725"/>
    <cellStyle name="Normal 4 2 2 5 2 2 2 2 3" xfId="24166"/>
    <cellStyle name="Normal 4 2 2 5 2 2 2 2 4" xfId="32606"/>
    <cellStyle name="Normal 4 2 2 5 2 2 2 3" xfId="11507"/>
    <cellStyle name="Normal 4 2 2 5 2 2 2 4" xfId="19949"/>
    <cellStyle name="Normal 4 2 2 5 2 2 2 5" xfId="28389"/>
    <cellStyle name="Normal 4 2 2 5 2 2 3" xfId="5144"/>
    <cellStyle name="Normal 4 2 2 5 2 2 3 2" xfId="13580"/>
    <cellStyle name="Normal 4 2 2 5 2 2 3 3" xfId="22021"/>
    <cellStyle name="Normal 4 2 2 5 2 2 3 4" xfId="30461"/>
    <cellStyle name="Normal 4 2 2 5 2 2 4" xfId="9362"/>
    <cellStyle name="Normal 4 2 2 5 2 2 5" xfId="17804"/>
    <cellStyle name="Normal 4 2 2 5 2 2 6" xfId="26244"/>
    <cellStyle name="Normal 4 2 2 5 2 3" xfId="1249"/>
    <cellStyle name="Normal 4 2 2 5 2 3 2" xfId="3479"/>
    <cellStyle name="Normal 4 2 2 5 2 3 2 2" xfId="7702"/>
    <cellStyle name="Normal 4 2 2 5 2 3 2 2 2" xfId="16138"/>
    <cellStyle name="Normal 4 2 2 5 2 3 2 2 3" xfId="24579"/>
    <cellStyle name="Normal 4 2 2 5 2 3 2 2 4" xfId="33019"/>
    <cellStyle name="Normal 4 2 2 5 2 3 2 3" xfId="11920"/>
    <cellStyle name="Normal 4 2 2 5 2 3 2 4" xfId="20362"/>
    <cellStyle name="Normal 4 2 2 5 2 3 2 5" xfId="28802"/>
    <cellStyle name="Normal 4 2 2 5 2 3 3" xfId="5557"/>
    <cellStyle name="Normal 4 2 2 5 2 3 3 2" xfId="13993"/>
    <cellStyle name="Normal 4 2 2 5 2 3 3 3" xfId="22434"/>
    <cellStyle name="Normal 4 2 2 5 2 3 3 4" xfId="30874"/>
    <cellStyle name="Normal 4 2 2 5 2 3 4" xfId="9775"/>
    <cellStyle name="Normal 4 2 2 5 2 3 5" xfId="18217"/>
    <cellStyle name="Normal 4 2 2 5 2 3 6" xfId="26657"/>
    <cellStyle name="Normal 4 2 2 5 2 4" xfId="1662"/>
    <cellStyle name="Normal 4 2 2 5 2 4 2" xfId="3892"/>
    <cellStyle name="Normal 4 2 2 5 2 4 2 2" xfId="8115"/>
    <cellStyle name="Normal 4 2 2 5 2 4 2 2 2" xfId="16551"/>
    <cellStyle name="Normal 4 2 2 5 2 4 2 2 3" xfId="24992"/>
    <cellStyle name="Normal 4 2 2 5 2 4 2 2 4" xfId="33432"/>
    <cellStyle name="Normal 4 2 2 5 2 4 2 3" xfId="12333"/>
    <cellStyle name="Normal 4 2 2 5 2 4 2 4" xfId="20775"/>
    <cellStyle name="Normal 4 2 2 5 2 4 2 5" xfId="29215"/>
    <cellStyle name="Normal 4 2 2 5 2 4 3" xfId="5970"/>
    <cellStyle name="Normal 4 2 2 5 2 4 3 2" xfId="14406"/>
    <cellStyle name="Normal 4 2 2 5 2 4 3 3" xfId="22847"/>
    <cellStyle name="Normal 4 2 2 5 2 4 3 4" xfId="31287"/>
    <cellStyle name="Normal 4 2 2 5 2 4 4" xfId="10188"/>
    <cellStyle name="Normal 4 2 2 5 2 4 5" xfId="18630"/>
    <cellStyle name="Normal 4 2 2 5 2 4 6" xfId="27070"/>
    <cellStyle name="Normal 4 2 2 5 2 5" xfId="2076"/>
    <cellStyle name="Normal 4 2 2 5 2 5 2" xfId="4305"/>
    <cellStyle name="Normal 4 2 2 5 2 5 2 2" xfId="8528"/>
    <cellStyle name="Normal 4 2 2 5 2 5 2 2 2" xfId="16964"/>
    <cellStyle name="Normal 4 2 2 5 2 5 2 2 3" xfId="25405"/>
    <cellStyle name="Normal 4 2 2 5 2 5 2 2 4" xfId="33845"/>
    <cellStyle name="Normal 4 2 2 5 2 5 2 3" xfId="12746"/>
    <cellStyle name="Normal 4 2 2 5 2 5 2 4" xfId="21188"/>
    <cellStyle name="Normal 4 2 2 5 2 5 2 5" xfId="29628"/>
    <cellStyle name="Normal 4 2 2 5 2 5 3" xfId="6383"/>
    <cellStyle name="Normal 4 2 2 5 2 5 3 2" xfId="14819"/>
    <cellStyle name="Normal 4 2 2 5 2 5 3 3" xfId="23260"/>
    <cellStyle name="Normal 4 2 2 5 2 5 3 4" xfId="31700"/>
    <cellStyle name="Normal 4 2 2 5 2 5 4" xfId="10601"/>
    <cellStyle name="Normal 4 2 2 5 2 5 5" xfId="19043"/>
    <cellStyle name="Normal 4 2 2 5 2 5 6" xfId="27483"/>
    <cellStyle name="Normal 4 2 2 5 2 6" xfId="2512"/>
    <cellStyle name="Normal 4 2 2 5 2 6 2" xfId="6796"/>
    <cellStyle name="Normal 4 2 2 5 2 6 2 2" xfId="15232"/>
    <cellStyle name="Normal 4 2 2 5 2 6 2 3" xfId="23673"/>
    <cellStyle name="Normal 4 2 2 5 2 6 2 4" xfId="32113"/>
    <cellStyle name="Normal 4 2 2 5 2 6 3" xfId="11014"/>
    <cellStyle name="Normal 4 2 2 5 2 6 4" xfId="19456"/>
    <cellStyle name="Normal 4 2 2 5 2 6 5" xfId="27896"/>
    <cellStyle name="Normal 4 2 2 5 2 7" xfId="4731"/>
    <cellStyle name="Normal 4 2 2 5 2 7 2" xfId="13167"/>
    <cellStyle name="Normal 4 2 2 5 2 7 3" xfId="21608"/>
    <cellStyle name="Normal 4 2 2 5 2 7 4" xfId="30048"/>
    <cellStyle name="Normal 4 2 2 5 2 8" xfId="8949"/>
    <cellStyle name="Normal 4 2 2 5 2 9" xfId="17391"/>
    <cellStyle name="Normal 4 2 2 5 3" xfId="828"/>
    <cellStyle name="Normal 4 2 2 5 3 2" xfId="3065"/>
    <cellStyle name="Normal 4 2 2 5 3 2 2" xfId="7288"/>
    <cellStyle name="Normal 4 2 2 5 3 2 2 2" xfId="15724"/>
    <cellStyle name="Normal 4 2 2 5 3 2 2 3" xfId="24165"/>
    <cellStyle name="Normal 4 2 2 5 3 2 2 4" xfId="32605"/>
    <cellStyle name="Normal 4 2 2 5 3 2 3" xfId="11506"/>
    <cellStyle name="Normal 4 2 2 5 3 2 4" xfId="19948"/>
    <cellStyle name="Normal 4 2 2 5 3 2 5" xfId="28388"/>
    <cellStyle name="Normal 4 2 2 5 3 3" xfId="5143"/>
    <cellStyle name="Normal 4 2 2 5 3 3 2" xfId="13579"/>
    <cellStyle name="Normal 4 2 2 5 3 3 3" xfId="22020"/>
    <cellStyle name="Normal 4 2 2 5 3 3 4" xfId="30460"/>
    <cellStyle name="Normal 4 2 2 5 3 4" xfId="9361"/>
    <cellStyle name="Normal 4 2 2 5 3 5" xfId="17803"/>
    <cellStyle name="Normal 4 2 2 5 3 6" xfId="26243"/>
    <cellStyle name="Normal 4 2 2 5 4" xfId="1248"/>
    <cellStyle name="Normal 4 2 2 5 4 2" xfId="3478"/>
    <cellStyle name="Normal 4 2 2 5 4 2 2" xfId="7701"/>
    <cellStyle name="Normal 4 2 2 5 4 2 2 2" xfId="16137"/>
    <cellStyle name="Normal 4 2 2 5 4 2 2 3" xfId="24578"/>
    <cellStyle name="Normal 4 2 2 5 4 2 2 4" xfId="33018"/>
    <cellStyle name="Normal 4 2 2 5 4 2 3" xfId="11919"/>
    <cellStyle name="Normal 4 2 2 5 4 2 4" xfId="20361"/>
    <cellStyle name="Normal 4 2 2 5 4 2 5" xfId="28801"/>
    <cellStyle name="Normal 4 2 2 5 4 3" xfId="5556"/>
    <cellStyle name="Normal 4 2 2 5 4 3 2" xfId="13992"/>
    <cellStyle name="Normal 4 2 2 5 4 3 3" xfId="22433"/>
    <cellStyle name="Normal 4 2 2 5 4 3 4" xfId="30873"/>
    <cellStyle name="Normal 4 2 2 5 4 4" xfId="9774"/>
    <cellStyle name="Normal 4 2 2 5 4 5" xfId="18216"/>
    <cellStyle name="Normal 4 2 2 5 4 6" xfId="26656"/>
    <cellStyle name="Normal 4 2 2 5 5" xfId="1661"/>
    <cellStyle name="Normal 4 2 2 5 5 2" xfId="3891"/>
    <cellStyle name="Normal 4 2 2 5 5 2 2" xfId="8114"/>
    <cellStyle name="Normal 4 2 2 5 5 2 2 2" xfId="16550"/>
    <cellStyle name="Normal 4 2 2 5 5 2 2 3" xfId="24991"/>
    <cellStyle name="Normal 4 2 2 5 5 2 2 4" xfId="33431"/>
    <cellStyle name="Normal 4 2 2 5 5 2 3" xfId="12332"/>
    <cellStyle name="Normal 4 2 2 5 5 2 4" xfId="20774"/>
    <cellStyle name="Normal 4 2 2 5 5 2 5" xfId="29214"/>
    <cellStyle name="Normal 4 2 2 5 5 3" xfId="5969"/>
    <cellStyle name="Normal 4 2 2 5 5 3 2" xfId="14405"/>
    <cellStyle name="Normal 4 2 2 5 5 3 3" xfId="22846"/>
    <cellStyle name="Normal 4 2 2 5 5 3 4" xfId="31286"/>
    <cellStyle name="Normal 4 2 2 5 5 4" xfId="10187"/>
    <cellStyle name="Normal 4 2 2 5 5 5" xfId="18629"/>
    <cellStyle name="Normal 4 2 2 5 5 6" xfId="27069"/>
    <cellStyle name="Normal 4 2 2 5 6" xfId="2075"/>
    <cellStyle name="Normal 4 2 2 5 6 2" xfId="4304"/>
    <cellStyle name="Normal 4 2 2 5 6 2 2" xfId="8527"/>
    <cellStyle name="Normal 4 2 2 5 6 2 2 2" xfId="16963"/>
    <cellStyle name="Normal 4 2 2 5 6 2 2 3" xfId="25404"/>
    <cellStyle name="Normal 4 2 2 5 6 2 2 4" xfId="33844"/>
    <cellStyle name="Normal 4 2 2 5 6 2 3" xfId="12745"/>
    <cellStyle name="Normal 4 2 2 5 6 2 4" xfId="21187"/>
    <cellStyle name="Normal 4 2 2 5 6 2 5" xfId="29627"/>
    <cellStyle name="Normal 4 2 2 5 6 3" xfId="6382"/>
    <cellStyle name="Normal 4 2 2 5 6 3 2" xfId="14818"/>
    <cellStyle name="Normal 4 2 2 5 6 3 3" xfId="23259"/>
    <cellStyle name="Normal 4 2 2 5 6 3 4" xfId="31699"/>
    <cellStyle name="Normal 4 2 2 5 6 4" xfId="10600"/>
    <cellStyle name="Normal 4 2 2 5 6 5" xfId="19042"/>
    <cellStyle name="Normal 4 2 2 5 6 6" xfId="27482"/>
    <cellStyle name="Normal 4 2 2 5 7" xfId="2511"/>
    <cellStyle name="Normal 4 2 2 5 7 2" xfId="6795"/>
    <cellStyle name="Normal 4 2 2 5 7 2 2" xfId="15231"/>
    <cellStyle name="Normal 4 2 2 5 7 2 3" xfId="23672"/>
    <cellStyle name="Normal 4 2 2 5 7 2 4" xfId="32112"/>
    <cellStyle name="Normal 4 2 2 5 7 3" xfId="11013"/>
    <cellStyle name="Normal 4 2 2 5 7 4" xfId="19455"/>
    <cellStyle name="Normal 4 2 2 5 7 5" xfId="27895"/>
    <cellStyle name="Normal 4 2 2 5 8" xfId="4730"/>
    <cellStyle name="Normal 4 2 2 5 8 2" xfId="13166"/>
    <cellStyle name="Normal 4 2 2 5 8 3" xfId="21607"/>
    <cellStyle name="Normal 4 2 2 5 8 4" xfId="30047"/>
    <cellStyle name="Normal 4 2 2 5 9" xfId="8948"/>
    <cellStyle name="Normal 4 2 2 6" xfId="353"/>
    <cellStyle name="Normal 4 2 2 6 10" xfId="25832"/>
    <cellStyle name="Normal 4 2 2 6 2" xfId="830"/>
    <cellStyle name="Normal 4 2 2 6 2 2" xfId="3067"/>
    <cellStyle name="Normal 4 2 2 6 2 2 2" xfId="7290"/>
    <cellStyle name="Normal 4 2 2 6 2 2 2 2" xfId="15726"/>
    <cellStyle name="Normal 4 2 2 6 2 2 2 3" xfId="24167"/>
    <cellStyle name="Normal 4 2 2 6 2 2 2 4" xfId="32607"/>
    <cellStyle name="Normal 4 2 2 6 2 2 3" xfId="11508"/>
    <cellStyle name="Normal 4 2 2 6 2 2 4" xfId="19950"/>
    <cellStyle name="Normal 4 2 2 6 2 2 5" xfId="28390"/>
    <cellStyle name="Normal 4 2 2 6 2 3" xfId="5145"/>
    <cellStyle name="Normal 4 2 2 6 2 3 2" xfId="13581"/>
    <cellStyle name="Normal 4 2 2 6 2 3 3" xfId="22022"/>
    <cellStyle name="Normal 4 2 2 6 2 3 4" xfId="30462"/>
    <cellStyle name="Normal 4 2 2 6 2 4" xfId="9363"/>
    <cellStyle name="Normal 4 2 2 6 2 5" xfId="17805"/>
    <cellStyle name="Normal 4 2 2 6 2 6" xfId="26245"/>
    <cellStyle name="Normal 4 2 2 6 3" xfId="1250"/>
    <cellStyle name="Normal 4 2 2 6 3 2" xfId="3480"/>
    <cellStyle name="Normal 4 2 2 6 3 2 2" xfId="7703"/>
    <cellStyle name="Normal 4 2 2 6 3 2 2 2" xfId="16139"/>
    <cellStyle name="Normal 4 2 2 6 3 2 2 3" xfId="24580"/>
    <cellStyle name="Normal 4 2 2 6 3 2 2 4" xfId="33020"/>
    <cellStyle name="Normal 4 2 2 6 3 2 3" xfId="11921"/>
    <cellStyle name="Normal 4 2 2 6 3 2 4" xfId="20363"/>
    <cellStyle name="Normal 4 2 2 6 3 2 5" xfId="28803"/>
    <cellStyle name="Normal 4 2 2 6 3 3" xfId="5558"/>
    <cellStyle name="Normal 4 2 2 6 3 3 2" xfId="13994"/>
    <cellStyle name="Normal 4 2 2 6 3 3 3" xfId="22435"/>
    <cellStyle name="Normal 4 2 2 6 3 3 4" xfId="30875"/>
    <cellStyle name="Normal 4 2 2 6 3 4" xfId="9776"/>
    <cellStyle name="Normal 4 2 2 6 3 5" xfId="18218"/>
    <cellStyle name="Normal 4 2 2 6 3 6" xfId="26658"/>
    <cellStyle name="Normal 4 2 2 6 4" xfId="1663"/>
    <cellStyle name="Normal 4 2 2 6 4 2" xfId="3893"/>
    <cellStyle name="Normal 4 2 2 6 4 2 2" xfId="8116"/>
    <cellStyle name="Normal 4 2 2 6 4 2 2 2" xfId="16552"/>
    <cellStyle name="Normal 4 2 2 6 4 2 2 3" xfId="24993"/>
    <cellStyle name="Normal 4 2 2 6 4 2 2 4" xfId="33433"/>
    <cellStyle name="Normal 4 2 2 6 4 2 3" xfId="12334"/>
    <cellStyle name="Normal 4 2 2 6 4 2 4" xfId="20776"/>
    <cellStyle name="Normal 4 2 2 6 4 2 5" xfId="29216"/>
    <cellStyle name="Normal 4 2 2 6 4 3" xfId="5971"/>
    <cellStyle name="Normal 4 2 2 6 4 3 2" xfId="14407"/>
    <cellStyle name="Normal 4 2 2 6 4 3 3" xfId="22848"/>
    <cellStyle name="Normal 4 2 2 6 4 3 4" xfId="31288"/>
    <cellStyle name="Normal 4 2 2 6 4 4" xfId="10189"/>
    <cellStyle name="Normal 4 2 2 6 4 5" xfId="18631"/>
    <cellStyle name="Normal 4 2 2 6 4 6" xfId="27071"/>
    <cellStyle name="Normal 4 2 2 6 5" xfId="2077"/>
    <cellStyle name="Normal 4 2 2 6 5 2" xfId="4306"/>
    <cellStyle name="Normal 4 2 2 6 5 2 2" xfId="8529"/>
    <cellStyle name="Normal 4 2 2 6 5 2 2 2" xfId="16965"/>
    <cellStyle name="Normal 4 2 2 6 5 2 2 3" xfId="25406"/>
    <cellStyle name="Normal 4 2 2 6 5 2 2 4" xfId="33846"/>
    <cellStyle name="Normal 4 2 2 6 5 2 3" xfId="12747"/>
    <cellStyle name="Normal 4 2 2 6 5 2 4" xfId="21189"/>
    <cellStyle name="Normal 4 2 2 6 5 2 5" xfId="29629"/>
    <cellStyle name="Normal 4 2 2 6 5 3" xfId="6384"/>
    <cellStyle name="Normal 4 2 2 6 5 3 2" xfId="14820"/>
    <cellStyle name="Normal 4 2 2 6 5 3 3" xfId="23261"/>
    <cellStyle name="Normal 4 2 2 6 5 3 4" xfId="31701"/>
    <cellStyle name="Normal 4 2 2 6 5 4" xfId="10602"/>
    <cellStyle name="Normal 4 2 2 6 5 5" xfId="19044"/>
    <cellStyle name="Normal 4 2 2 6 5 6" xfId="27484"/>
    <cellStyle name="Normal 4 2 2 6 6" xfId="2513"/>
    <cellStyle name="Normal 4 2 2 6 6 2" xfId="6797"/>
    <cellStyle name="Normal 4 2 2 6 6 2 2" xfId="15233"/>
    <cellStyle name="Normal 4 2 2 6 6 2 3" xfId="23674"/>
    <cellStyle name="Normal 4 2 2 6 6 2 4" xfId="32114"/>
    <cellStyle name="Normal 4 2 2 6 6 3" xfId="11015"/>
    <cellStyle name="Normal 4 2 2 6 6 4" xfId="19457"/>
    <cellStyle name="Normal 4 2 2 6 6 5" xfId="27897"/>
    <cellStyle name="Normal 4 2 2 6 7" xfId="4732"/>
    <cellStyle name="Normal 4 2 2 6 7 2" xfId="13168"/>
    <cellStyle name="Normal 4 2 2 6 7 3" xfId="21609"/>
    <cellStyle name="Normal 4 2 2 6 7 4" xfId="30049"/>
    <cellStyle name="Normal 4 2 2 6 8" xfId="8950"/>
    <cellStyle name="Normal 4 2 2 6 9" xfId="17392"/>
    <cellStyle name="Normal 4 2 2 7" xfId="815"/>
    <cellStyle name="Normal 4 2 2 7 2" xfId="3052"/>
    <cellStyle name="Normal 4 2 2 7 2 2" xfId="7275"/>
    <cellStyle name="Normal 4 2 2 7 2 2 2" xfId="15711"/>
    <cellStyle name="Normal 4 2 2 7 2 2 3" xfId="24152"/>
    <cellStyle name="Normal 4 2 2 7 2 2 4" xfId="32592"/>
    <cellStyle name="Normal 4 2 2 7 2 3" xfId="11493"/>
    <cellStyle name="Normal 4 2 2 7 2 4" xfId="19935"/>
    <cellStyle name="Normal 4 2 2 7 2 5" xfId="28375"/>
    <cellStyle name="Normal 4 2 2 7 3" xfId="5130"/>
    <cellStyle name="Normal 4 2 2 7 3 2" xfId="13566"/>
    <cellStyle name="Normal 4 2 2 7 3 3" xfId="22007"/>
    <cellStyle name="Normal 4 2 2 7 3 4" xfId="30447"/>
    <cellStyle name="Normal 4 2 2 7 4" xfId="9348"/>
    <cellStyle name="Normal 4 2 2 7 5" xfId="17790"/>
    <cellStyle name="Normal 4 2 2 7 6" xfId="26230"/>
    <cellStyle name="Normal 4 2 2 8" xfId="1235"/>
    <cellStyle name="Normal 4 2 2 8 2" xfId="3465"/>
    <cellStyle name="Normal 4 2 2 8 2 2" xfId="7688"/>
    <cellStyle name="Normal 4 2 2 8 2 2 2" xfId="16124"/>
    <cellStyle name="Normal 4 2 2 8 2 2 3" xfId="24565"/>
    <cellStyle name="Normal 4 2 2 8 2 2 4" xfId="33005"/>
    <cellStyle name="Normal 4 2 2 8 2 3" xfId="11906"/>
    <cellStyle name="Normal 4 2 2 8 2 4" xfId="20348"/>
    <cellStyle name="Normal 4 2 2 8 2 5" xfId="28788"/>
    <cellStyle name="Normal 4 2 2 8 3" xfId="5543"/>
    <cellStyle name="Normal 4 2 2 8 3 2" xfId="13979"/>
    <cellStyle name="Normal 4 2 2 8 3 3" xfId="22420"/>
    <cellStyle name="Normal 4 2 2 8 3 4" xfId="30860"/>
    <cellStyle name="Normal 4 2 2 8 4" xfId="9761"/>
    <cellStyle name="Normal 4 2 2 8 5" xfId="18203"/>
    <cellStyle name="Normal 4 2 2 8 6" xfId="26643"/>
    <cellStyle name="Normal 4 2 2 9" xfId="1648"/>
    <cellStyle name="Normal 4 2 2 9 2" xfId="3878"/>
    <cellStyle name="Normal 4 2 2 9 2 2" xfId="8101"/>
    <cellStyle name="Normal 4 2 2 9 2 2 2" xfId="16537"/>
    <cellStyle name="Normal 4 2 2 9 2 2 3" xfId="24978"/>
    <cellStyle name="Normal 4 2 2 9 2 2 4" xfId="33418"/>
    <cellStyle name="Normal 4 2 2 9 2 3" xfId="12319"/>
    <cellStyle name="Normal 4 2 2 9 2 4" xfId="20761"/>
    <cellStyle name="Normal 4 2 2 9 2 5" xfId="29201"/>
    <cellStyle name="Normal 4 2 2 9 3" xfId="5956"/>
    <cellStyle name="Normal 4 2 2 9 3 2" xfId="14392"/>
    <cellStyle name="Normal 4 2 2 9 3 3" xfId="22833"/>
    <cellStyle name="Normal 4 2 2 9 3 4" xfId="31273"/>
    <cellStyle name="Normal 4 2 2 9 4" xfId="10174"/>
    <cellStyle name="Normal 4 2 2 9 5" xfId="18616"/>
    <cellStyle name="Normal 4 2 2 9 6" xfId="27056"/>
    <cellStyle name="Normal 4 2 3" xfId="354"/>
    <cellStyle name="Normal 4 2 4" xfId="355"/>
    <cellStyle name="Normal 4 2 4 10" xfId="4733"/>
    <cellStyle name="Normal 4 2 4 10 2" xfId="13169"/>
    <cellStyle name="Normal 4 2 4 10 3" xfId="21610"/>
    <cellStyle name="Normal 4 2 4 10 4" xfId="30050"/>
    <cellStyle name="Normal 4 2 4 11" xfId="8951"/>
    <cellStyle name="Normal 4 2 4 12" xfId="17393"/>
    <cellStyle name="Normal 4 2 4 13" xfId="25833"/>
    <cellStyle name="Normal 4 2 4 2" xfId="356"/>
    <cellStyle name="Normal 4 2 4 2 10" xfId="8952"/>
    <cellStyle name="Normal 4 2 4 2 11" xfId="17394"/>
    <cellStyle name="Normal 4 2 4 2 12" xfId="25834"/>
    <cellStyle name="Normal 4 2 4 2 2" xfId="357"/>
    <cellStyle name="Normal 4 2 4 2 2 10" xfId="17395"/>
    <cellStyle name="Normal 4 2 4 2 2 11" xfId="25835"/>
    <cellStyle name="Normal 4 2 4 2 2 2" xfId="358"/>
    <cellStyle name="Normal 4 2 4 2 2 2 10" xfId="25836"/>
    <cellStyle name="Normal 4 2 4 2 2 2 2" xfId="834"/>
    <cellStyle name="Normal 4 2 4 2 2 2 2 2" xfId="3071"/>
    <cellStyle name="Normal 4 2 4 2 2 2 2 2 2" xfId="7294"/>
    <cellStyle name="Normal 4 2 4 2 2 2 2 2 2 2" xfId="15730"/>
    <cellStyle name="Normal 4 2 4 2 2 2 2 2 2 3" xfId="24171"/>
    <cellStyle name="Normal 4 2 4 2 2 2 2 2 2 4" xfId="32611"/>
    <cellStyle name="Normal 4 2 4 2 2 2 2 2 3" xfId="11512"/>
    <cellStyle name="Normal 4 2 4 2 2 2 2 2 4" xfId="19954"/>
    <cellStyle name="Normal 4 2 4 2 2 2 2 2 5" xfId="28394"/>
    <cellStyle name="Normal 4 2 4 2 2 2 2 3" xfId="5149"/>
    <cellStyle name="Normal 4 2 4 2 2 2 2 3 2" xfId="13585"/>
    <cellStyle name="Normal 4 2 4 2 2 2 2 3 3" xfId="22026"/>
    <cellStyle name="Normal 4 2 4 2 2 2 2 3 4" xfId="30466"/>
    <cellStyle name="Normal 4 2 4 2 2 2 2 4" xfId="9367"/>
    <cellStyle name="Normal 4 2 4 2 2 2 2 5" xfId="17809"/>
    <cellStyle name="Normal 4 2 4 2 2 2 2 6" xfId="26249"/>
    <cellStyle name="Normal 4 2 4 2 2 2 3" xfId="1254"/>
    <cellStyle name="Normal 4 2 4 2 2 2 3 2" xfId="3484"/>
    <cellStyle name="Normal 4 2 4 2 2 2 3 2 2" xfId="7707"/>
    <cellStyle name="Normal 4 2 4 2 2 2 3 2 2 2" xfId="16143"/>
    <cellStyle name="Normal 4 2 4 2 2 2 3 2 2 3" xfId="24584"/>
    <cellStyle name="Normal 4 2 4 2 2 2 3 2 2 4" xfId="33024"/>
    <cellStyle name="Normal 4 2 4 2 2 2 3 2 3" xfId="11925"/>
    <cellStyle name="Normal 4 2 4 2 2 2 3 2 4" xfId="20367"/>
    <cellStyle name="Normal 4 2 4 2 2 2 3 2 5" xfId="28807"/>
    <cellStyle name="Normal 4 2 4 2 2 2 3 3" xfId="5562"/>
    <cellStyle name="Normal 4 2 4 2 2 2 3 3 2" xfId="13998"/>
    <cellStyle name="Normal 4 2 4 2 2 2 3 3 3" xfId="22439"/>
    <cellStyle name="Normal 4 2 4 2 2 2 3 3 4" xfId="30879"/>
    <cellStyle name="Normal 4 2 4 2 2 2 3 4" xfId="9780"/>
    <cellStyle name="Normal 4 2 4 2 2 2 3 5" xfId="18222"/>
    <cellStyle name="Normal 4 2 4 2 2 2 3 6" xfId="26662"/>
    <cellStyle name="Normal 4 2 4 2 2 2 4" xfId="1667"/>
    <cellStyle name="Normal 4 2 4 2 2 2 4 2" xfId="3897"/>
    <cellStyle name="Normal 4 2 4 2 2 2 4 2 2" xfId="8120"/>
    <cellStyle name="Normal 4 2 4 2 2 2 4 2 2 2" xfId="16556"/>
    <cellStyle name="Normal 4 2 4 2 2 2 4 2 2 3" xfId="24997"/>
    <cellStyle name="Normal 4 2 4 2 2 2 4 2 2 4" xfId="33437"/>
    <cellStyle name="Normal 4 2 4 2 2 2 4 2 3" xfId="12338"/>
    <cellStyle name="Normal 4 2 4 2 2 2 4 2 4" xfId="20780"/>
    <cellStyle name="Normal 4 2 4 2 2 2 4 2 5" xfId="29220"/>
    <cellStyle name="Normal 4 2 4 2 2 2 4 3" xfId="5975"/>
    <cellStyle name="Normal 4 2 4 2 2 2 4 3 2" xfId="14411"/>
    <cellStyle name="Normal 4 2 4 2 2 2 4 3 3" xfId="22852"/>
    <cellStyle name="Normal 4 2 4 2 2 2 4 3 4" xfId="31292"/>
    <cellStyle name="Normal 4 2 4 2 2 2 4 4" xfId="10193"/>
    <cellStyle name="Normal 4 2 4 2 2 2 4 5" xfId="18635"/>
    <cellStyle name="Normal 4 2 4 2 2 2 4 6" xfId="27075"/>
    <cellStyle name="Normal 4 2 4 2 2 2 5" xfId="2081"/>
    <cellStyle name="Normal 4 2 4 2 2 2 5 2" xfId="4310"/>
    <cellStyle name="Normal 4 2 4 2 2 2 5 2 2" xfId="8533"/>
    <cellStyle name="Normal 4 2 4 2 2 2 5 2 2 2" xfId="16969"/>
    <cellStyle name="Normal 4 2 4 2 2 2 5 2 2 3" xfId="25410"/>
    <cellStyle name="Normal 4 2 4 2 2 2 5 2 2 4" xfId="33850"/>
    <cellStyle name="Normal 4 2 4 2 2 2 5 2 3" xfId="12751"/>
    <cellStyle name="Normal 4 2 4 2 2 2 5 2 4" xfId="21193"/>
    <cellStyle name="Normal 4 2 4 2 2 2 5 2 5" xfId="29633"/>
    <cellStyle name="Normal 4 2 4 2 2 2 5 3" xfId="6388"/>
    <cellStyle name="Normal 4 2 4 2 2 2 5 3 2" xfId="14824"/>
    <cellStyle name="Normal 4 2 4 2 2 2 5 3 3" xfId="23265"/>
    <cellStyle name="Normal 4 2 4 2 2 2 5 3 4" xfId="31705"/>
    <cellStyle name="Normal 4 2 4 2 2 2 5 4" xfId="10606"/>
    <cellStyle name="Normal 4 2 4 2 2 2 5 5" xfId="19048"/>
    <cellStyle name="Normal 4 2 4 2 2 2 5 6" xfId="27488"/>
    <cellStyle name="Normal 4 2 4 2 2 2 6" xfId="2517"/>
    <cellStyle name="Normal 4 2 4 2 2 2 6 2" xfId="6801"/>
    <cellStyle name="Normal 4 2 4 2 2 2 6 2 2" xfId="15237"/>
    <cellStyle name="Normal 4 2 4 2 2 2 6 2 3" xfId="23678"/>
    <cellStyle name="Normal 4 2 4 2 2 2 6 2 4" xfId="32118"/>
    <cellStyle name="Normal 4 2 4 2 2 2 6 3" xfId="11019"/>
    <cellStyle name="Normal 4 2 4 2 2 2 6 4" xfId="19461"/>
    <cellStyle name="Normal 4 2 4 2 2 2 6 5" xfId="27901"/>
    <cellStyle name="Normal 4 2 4 2 2 2 7" xfId="4736"/>
    <cellStyle name="Normal 4 2 4 2 2 2 7 2" xfId="13172"/>
    <cellStyle name="Normal 4 2 4 2 2 2 7 3" xfId="21613"/>
    <cellStyle name="Normal 4 2 4 2 2 2 7 4" xfId="30053"/>
    <cellStyle name="Normal 4 2 4 2 2 2 8" xfId="8954"/>
    <cellStyle name="Normal 4 2 4 2 2 2 9" xfId="17396"/>
    <cellStyle name="Normal 4 2 4 2 2 3" xfId="833"/>
    <cellStyle name="Normal 4 2 4 2 2 3 2" xfId="3070"/>
    <cellStyle name="Normal 4 2 4 2 2 3 2 2" xfId="7293"/>
    <cellStyle name="Normal 4 2 4 2 2 3 2 2 2" xfId="15729"/>
    <cellStyle name="Normal 4 2 4 2 2 3 2 2 3" xfId="24170"/>
    <cellStyle name="Normal 4 2 4 2 2 3 2 2 4" xfId="32610"/>
    <cellStyle name="Normal 4 2 4 2 2 3 2 3" xfId="11511"/>
    <cellStyle name="Normal 4 2 4 2 2 3 2 4" xfId="19953"/>
    <cellStyle name="Normal 4 2 4 2 2 3 2 5" xfId="28393"/>
    <cellStyle name="Normal 4 2 4 2 2 3 3" xfId="5148"/>
    <cellStyle name="Normal 4 2 4 2 2 3 3 2" xfId="13584"/>
    <cellStyle name="Normal 4 2 4 2 2 3 3 3" xfId="22025"/>
    <cellStyle name="Normal 4 2 4 2 2 3 3 4" xfId="30465"/>
    <cellStyle name="Normal 4 2 4 2 2 3 4" xfId="9366"/>
    <cellStyle name="Normal 4 2 4 2 2 3 5" xfId="17808"/>
    <cellStyle name="Normal 4 2 4 2 2 3 6" xfId="26248"/>
    <cellStyle name="Normal 4 2 4 2 2 4" xfId="1253"/>
    <cellStyle name="Normal 4 2 4 2 2 4 2" xfId="3483"/>
    <cellStyle name="Normal 4 2 4 2 2 4 2 2" xfId="7706"/>
    <cellStyle name="Normal 4 2 4 2 2 4 2 2 2" xfId="16142"/>
    <cellStyle name="Normal 4 2 4 2 2 4 2 2 3" xfId="24583"/>
    <cellStyle name="Normal 4 2 4 2 2 4 2 2 4" xfId="33023"/>
    <cellStyle name="Normal 4 2 4 2 2 4 2 3" xfId="11924"/>
    <cellStyle name="Normal 4 2 4 2 2 4 2 4" xfId="20366"/>
    <cellStyle name="Normal 4 2 4 2 2 4 2 5" xfId="28806"/>
    <cellStyle name="Normal 4 2 4 2 2 4 3" xfId="5561"/>
    <cellStyle name="Normal 4 2 4 2 2 4 3 2" xfId="13997"/>
    <cellStyle name="Normal 4 2 4 2 2 4 3 3" xfId="22438"/>
    <cellStyle name="Normal 4 2 4 2 2 4 3 4" xfId="30878"/>
    <cellStyle name="Normal 4 2 4 2 2 4 4" xfId="9779"/>
    <cellStyle name="Normal 4 2 4 2 2 4 5" xfId="18221"/>
    <cellStyle name="Normal 4 2 4 2 2 4 6" xfId="26661"/>
    <cellStyle name="Normal 4 2 4 2 2 5" xfId="1666"/>
    <cellStyle name="Normal 4 2 4 2 2 5 2" xfId="3896"/>
    <cellStyle name="Normal 4 2 4 2 2 5 2 2" xfId="8119"/>
    <cellStyle name="Normal 4 2 4 2 2 5 2 2 2" xfId="16555"/>
    <cellStyle name="Normal 4 2 4 2 2 5 2 2 3" xfId="24996"/>
    <cellStyle name="Normal 4 2 4 2 2 5 2 2 4" xfId="33436"/>
    <cellStyle name="Normal 4 2 4 2 2 5 2 3" xfId="12337"/>
    <cellStyle name="Normal 4 2 4 2 2 5 2 4" xfId="20779"/>
    <cellStyle name="Normal 4 2 4 2 2 5 2 5" xfId="29219"/>
    <cellStyle name="Normal 4 2 4 2 2 5 3" xfId="5974"/>
    <cellStyle name="Normal 4 2 4 2 2 5 3 2" xfId="14410"/>
    <cellStyle name="Normal 4 2 4 2 2 5 3 3" xfId="22851"/>
    <cellStyle name="Normal 4 2 4 2 2 5 3 4" xfId="31291"/>
    <cellStyle name="Normal 4 2 4 2 2 5 4" xfId="10192"/>
    <cellStyle name="Normal 4 2 4 2 2 5 5" xfId="18634"/>
    <cellStyle name="Normal 4 2 4 2 2 5 6" xfId="27074"/>
    <cellStyle name="Normal 4 2 4 2 2 6" xfId="2080"/>
    <cellStyle name="Normal 4 2 4 2 2 6 2" xfId="4309"/>
    <cellStyle name="Normal 4 2 4 2 2 6 2 2" xfId="8532"/>
    <cellStyle name="Normal 4 2 4 2 2 6 2 2 2" xfId="16968"/>
    <cellStyle name="Normal 4 2 4 2 2 6 2 2 3" xfId="25409"/>
    <cellStyle name="Normal 4 2 4 2 2 6 2 2 4" xfId="33849"/>
    <cellStyle name="Normal 4 2 4 2 2 6 2 3" xfId="12750"/>
    <cellStyle name="Normal 4 2 4 2 2 6 2 4" xfId="21192"/>
    <cellStyle name="Normal 4 2 4 2 2 6 2 5" xfId="29632"/>
    <cellStyle name="Normal 4 2 4 2 2 6 3" xfId="6387"/>
    <cellStyle name="Normal 4 2 4 2 2 6 3 2" xfId="14823"/>
    <cellStyle name="Normal 4 2 4 2 2 6 3 3" xfId="23264"/>
    <cellStyle name="Normal 4 2 4 2 2 6 3 4" xfId="31704"/>
    <cellStyle name="Normal 4 2 4 2 2 6 4" xfId="10605"/>
    <cellStyle name="Normal 4 2 4 2 2 6 5" xfId="19047"/>
    <cellStyle name="Normal 4 2 4 2 2 6 6" xfId="27487"/>
    <cellStyle name="Normal 4 2 4 2 2 7" xfId="2516"/>
    <cellStyle name="Normal 4 2 4 2 2 7 2" xfId="6800"/>
    <cellStyle name="Normal 4 2 4 2 2 7 2 2" xfId="15236"/>
    <cellStyle name="Normal 4 2 4 2 2 7 2 3" xfId="23677"/>
    <cellStyle name="Normal 4 2 4 2 2 7 2 4" xfId="32117"/>
    <cellStyle name="Normal 4 2 4 2 2 7 3" xfId="11018"/>
    <cellStyle name="Normal 4 2 4 2 2 7 4" xfId="19460"/>
    <cellStyle name="Normal 4 2 4 2 2 7 5" xfId="27900"/>
    <cellStyle name="Normal 4 2 4 2 2 8" xfId="4735"/>
    <cellStyle name="Normal 4 2 4 2 2 8 2" xfId="13171"/>
    <cellStyle name="Normal 4 2 4 2 2 8 3" xfId="21612"/>
    <cellStyle name="Normal 4 2 4 2 2 8 4" xfId="30052"/>
    <cellStyle name="Normal 4 2 4 2 2 9" xfId="8953"/>
    <cellStyle name="Normal 4 2 4 2 3" xfId="359"/>
    <cellStyle name="Normal 4 2 4 2 3 10" xfId="25837"/>
    <cellStyle name="Normal 4 2 4 2 3 2" xfId="835"/>
    <cellStyle name="Normal 4 2 4 2 3 2 2" xfId="3072"/>
    <cellStyle name="Normal 4 2 4 2 3 2 2 2" xfId="7295"/>
    <cellStyle name="Normal 4 2 4 2 3 2 2 2 2" xfId="15731"/>
    <cellStyle name="Normal 4 2 4 2 3 2 2 2 3" xfId="24172"/>
    <cellStyle name="Normal 4 2 4 2 3 2 2 2 4" xfId="32612"/>
    <cellStyle name="Normal 4 2 4 2 3 2 2 3" xfId="11513"/>
    <cellStyle name="Normal 4 2 4 2 3 2 2 4" xfId="19955"/>
    <cellStyle name="Normal 4 2 4 2 3 2 2 5" xfId="28395"/>
    <cellStyle name="Normal 4 2 4 2 3 2 3" xfId="5150"/>
    <cellStyle name="Normal 4 2 4 2 3 2 3 2" xfId="13586"/>
    <cellStyle name="Normal 4 2 4 2 3 2 3 3" xfId="22027"/>
    <cellStyle name="Normal 4 2 4 2 3 2 3 4" xfId="30467"/>
    <cellStyle name="Normal 4 2 4 2 3 2 4" xfId="9368"/>
    <cellStyle name="Normal 4 2 4 2 3 2 5" xfId="17810"/>
    <cellStyle name="Normal 4 2 4 2 3 2 6" xfId="26250"/>
    <cellStyle name="Normal 4 2 4 2 3 3" xfId="1255"/>
    <cellStyle name="Normal 4 2 4 2 3 3 2" xfId="3485"/>
    <cellStyle name="Normal 4 2 4 2 3 3 2 2" xfId="7708"/>
    <cellStyle name="Normal 4 2 4 2 3 3 2 2 2" xfId="16144"/>
    <cellStyle name="Normal 4 2 4 2 3 3 2 2 3" xfId="24585"/>
    <cellStyle name="Normal 4 2 4 2 3 3 2 2 4" xfId="33025"/>
    <cellStyle name="Normal 4 2 4 2 3 3 2 3" xfId="11926"/>
    <cellStyle name="Normal 4 2 4 2 3 3 2 4" xfId="20368"/>
    <cellStyle name="Normal 4 2 4 2 3 3 2 5" xfId="28808"/>
    <cellStyle name="Normal 4 2 4 2 3 3 3" xfId="5563"/>
    <cellStyle name="Normal 4 2 4 2 3 3 3 2" xfId="13999"/>
    <cellStyle name="Normal 4 2 4 2 3 3 3 3" xfId="22440"/>
    <cellStyle name="Normal 4 2 4 2 3 3 3 4" xfId="30880"/>
    <cellStyle name="Normal 4 2 4 2 3 3 4" xfId="9781"/>
    <cellStyle name="Normal 4 2 4 2 3 3 5" xfId="18223"/>
    <cellStyle name="Normal 4 2 4 2 3 3 6" xfId="26663"/>
    <cellStyle name="Normal 4 2 4 2 3 4" xfId="1668"/>
    <cellStyle name="Normal 4 2 4 2 3 4 2" xfId="3898"/>
    <cellStyle name="Normal 4 2 4 2 3 4 2 2" xfId="8121"/>
    <cellStyle name="Normal 4 2 4 2 3 4 2 2 2" xfId="16557"/>
    <cellStyle name="Normal 4 2 4 2 3 4 2 2 3" xfId="24998"/>
    <cellStyle name="Normal 4 2 4 2 3 4 2 2 4" xfId="33438"/>
    <cellStyle name="Normal 4 2 4 2 3 4 2 3" xfId="12339"/>
    <cellStyle name="Normal 4 2 4 2 3 4 2 4" xfId="20781"/>
    <cellStyle name="Normal 4 2 4 2 3 4 2 5" xfId="29221"/>
    <cellStyle name="Normal 4 2 4 2 3 4 3" xfId="5976"/>
    <cellStyle name="Normal 4 2 4 2 3 4 3 2" xfId="14412"/>
    <cellStyle name="Normal 4 2 4 2 3 4 3 3" xfId="22853"/>
    <cellStyle name="Normal 4 2 4 2 3 4 3 4" xfId="31293"/>
    <cellStyle name="Normal 4 2 4 2 3 4 4" xfId="10194"/>
    <cellStyle name="Normal 4 2 4 2 3 4 5" xfId="18636"/>
    <cellStyle name="Normal 4 2 4 2 3 4 6" xfId="27076"/>
    <cellStyle name="Normal 4 2 4 2 3 5" xfId="2082"/>
    <cellStyle name="Normal 4 2 4 2 3 5 2" xfId="4311"/>
    <cellStyle name="Normal 4 2 4 2 3 5 2 2" xfId="8534"/>
    <cellStyle name="Normal 4 2 4 2 3 5 2 2 2" xfId="16970"/>
    <cellStyle name="Normal 4 2 4 2 3 5 2 2 3" xfId="25411"/>
    <cellStyle name="Normal 4 2 4 2 3 5 2 2 4" xfId="33851"/>
    <cellStyle name="Normal 4 2 4 2 3 5 2 3" xfId="12752"/>
    <cellStyle name="Normal 4 2 4 2 3 5 2 4" xfId="21194"/>
    <cellStyle name="Normal 4 2 4 2 3 5 2 5" xfId="29634"/>
    <cellStyle name="Normal 4 2 4 2 3 5 3" xfId="6389"/>
    <cellStyle name="Normal 4 2 4 2 3 5 3 2" xfId="14825"/>
    <cellStyle name="Normal 4 2 4 2 3 5 3 3" xfId="23266"/>
    <cellStyle name="Normal 4 2 4 2 3 5 3 4" xfId="31706"/>
    <cellStyle name="Normal 4 2 4 2 3 5 4" xfId="10607"/>
    <cellStyle name="Normal 4 2 4 2 3 5 5" xfId="19049"/>
    <cellStyle name="Normal 4 2 4 2 3 5 6" xfId="27489"/>
    <cellStyle name="Normal 4 2 4 2 3 6" xfId="2518"/>
    <cellStyle name="Normal 4 2 4 2 3 6 2" xfId="6802"/>
    <cellStyle name="Normal 4 2 4 2 3 6 2 2" xfId="15238"/>
    <cellStyle name="Normal 4 2 4 2 3 6 2 3" xfId="23679"/>
    <cellStyle name="Normal 4 2 4 2 3 6 2 4" xfId="32119"/>
    <cellStyle name="Normal 4 2 4 2 3 6 3" xfId="11020"/>
    <cellStyle name="Normal 4 2 4 2 3 6 4" xfId="19462"/>
    <cellStyle name="Normal 4 2 4 2 3 6 5" xfId="27902"/>
    <cellStyle name="Normal 4 2 4 2 3 7" xfId="4737"/>
    <cellStyle name="Normal 4 2 4 2 3 7 2" xfId="13173"/>
    <cellStyle name="Normal 4 2 4 2 3 7 3" xfId="21614"/>
    <cellStyle name="Normal 4 2 4 2 3 7 4" xfId="30054"/>
    <cellStyle name="Normal 4 2 4 2 3 8" xfId="8955"/>
    <cellStyle name="Normal 4 2 4 2 3 9" xfId="17397"/>
    <cellStyle name="Normal 4 2 4 2 4" xfId="832"/>
    <cellStyle name="Normal 4 2 4 2 4 2" xfId="3069"/>
    <cellStyle name="Normal 4 2 4 2 4 2 2" xfId="7292"/>
    <cellStyle name="Normal 4 2 4 2 4 2 2 2" xfId="15728"/>
    <cellStyle name="Normal 4 2 4 2 4 2 2 3" xfId="24169"/>
    <cellStyle name="Normal 4 2 4 2 4 2 2 4" xfId="32609"/>
    <cellStyle name="Normal 4 2 4 2 4 2 3" xfId="11510"/>
    <cellStyle name="Normal 4 2 4 2 4 2 4" xfId="19952"/>
    <cellStyle name="Normal 4 2 4 2 4 2 5" xfId="28392"/>
    <cellStyle name="Normal 4 2 4 2 4 3" xfId="5147"/>
    <cellStyle name="Normal 4 2 4 2 4 3 2" xfId="13583"/>
    <cellStyle name="Normal 4 2 4 2 4 3 3" xfId="22024"/>
    <cellStyle name="Normal 4 2 4 2 4 3 4" xfId="30464"/>
    <cellStyle name="Normal 4 2 4 2 4 4" xfId="9365"/>
    <cellStyle name="Normal 4 2 4 2 4 5" xfId="17807"/>
    <cellStyle name="Normal 4 2 4 2 4 6" xfId="26247"/>
    <cellStyle name="Normal 4 2 4 2 5" xfId="1252"/>
    <cellStyle name="Normal 4 2 4 2 5 2" xfId="3482"/>
    <cellStyle name="Normal 4 2 4 2 5 2 2" xfId="7705"/>
    <cellStyle name="Normal 4 2 4 2 5 2 2 2" xfId="16141"/>
    <cellStyle name="Normal 4 2 4 2 5 2 2 3" xfId="24582"/>
    <cellStyle name="Normal 4 2 4 2 5 2 2 4" xfId="33022"/>
    <cellStyle name="Normal 4 2 4 2 5 2 3" xfId="11923"/>
    <cellStyle name="Normal 4 2 4 2 5 2 4" xfId="20365"/>
    <cellStyle name="Normal 4 2 4 2 5 2 5" xfId="28805"/>
    <cellStyle name="Normal 4 2 4 2 5 3" xfId="5560"/>
    <cellStyle name="Normal 4 2 4 2 5 3 2" xfId="13996"/>
    <cellStyle name="Normal 4 2 4 2 5 3 3" xfId="22437"/>
    <cellStyle name="Normal 4 2 4 2 5 3 4" xfId="30877"/>
    <cellStyle name="Normal 4 2 4 2 5 4" xfId="9778"/>
    <cellStyle name="Normal 4 2 4 2 5 5" xfId="18220"/>
    <cellStyle name="Normal 4 2 4 2 5 6" xfId="26660"/>
    <cellStyle name="Normal 4 2 4 2 6" xfId="1665"/>
    <cellStyle name="Normal 4 2 4 2 6 2" xfId="3895"/>
    <cellStyle name="Normal 4 2 4 2 6 2 2" xfId="8118"/>
    <cellStyle name="Normal 4 2 4 2 6 2 2 2" xfId="16554"/>
    <cellStyle name="Normal 4 2 4 2 6 2 2 3" xfId="24995"/>
    <cellStyle name="Normal 4 2 4 2 6 2 2 4" xfId="33435"/>
    <cellStyle name="Normal 4 2 4 2 6 2 3" xfId="12336"/>
    <cellStyle name="Normal 4 2 4 2 6 2 4" xfId="20778"/>
    <cellStyle name="Normal 4 2 4 2 6 2 5" xfId="29218"/>
    <cellStyle name="Normal 4 2 4 2 6 3" xfId="5973"/>
    <cellStyle name="Normal 4 2 4 2 6 3 2" xfId="14409"/>
    <cellStyle name="Normal 4 2 4 2 6 3 3" xfId="22850"/>
    <cellStyle name="Normal 4 2 4 2 6 3 4" xfId="31290"/>
    <cellStyle name="Normal 4 2 4 2 6 4" xfId="10191"/>
    <cellStyle name="Normal 4 2 4 2 6 5" xfId="18633"/>
    <cellStyle name="Normal 4 2 4 2 6 6" xfId="27073"/>
    <cellStyle name="Normal 4 2 4 2 7" xfId="2079"/>
    <cellStyle name="Normal 4 2 4 2 7 2" xfId="4308"/>
    <cellStyle name="Normal 4 2 4 2 7 2 2" xfId="8531"/>
    <cellStyle name="Normal 4 2 4 2 7 2 2 2" xfId="16967"/>
    <cellStyle name="Normal 4 2 4 2 7 2 2 3" xfId="25408"/>
    <cellStyle name="Normal 4 2 4 2 7 2 2 4" xfId="33848"/>
    <cellStyle name="Normal 4 2 4 2 7 2 3" xfId="12749"/>
    <cellStyle name="Normal 4 2 4 2 7 2 4" xfId="21191"/>
    <cellStyle name="Normal 4 2 4 2 7 2 5" xfId="29631"/>
    <cellStyle name="Normal 4 2 4 2 7 3" xfId="6386"/>
    <cellStyle name="Normal 4 2 4 2 7 3 2" xfId="14822"/>
    <cellStyle name="Normal 4 2 4 2 7 3 3" xfId="23263"/>
    <cellStyle name="Normal 4 2 4 2 7 3 4" xfId="31703"/>
    <cellStyle name="Normal 4 2 4 2 7 4" xfId="10604"/>
    <cellStyle name="Normal 4 2 4 2 7 5" xfId="19046"/>
    <cellStyle name="Normal 4 2 4 2 7 6" xfId="27486"/>
    <cellStyle name="Normal 4 2 4 2 8" xfId="2515"/>
    <cellStyle name="Normal 4 2 4 2 8 2" xfId="6799"/>
    <cellStyle name="Normal 4 2 4 2 8 2 2" xfId="15235"/>
    <cellStyle name="Normal 4 2 4 2 8 2 3" xfId="23676"/>
    <cellStyle name="Normal 4 2 4 2 8 2 4" xfId="32116"/>
    <cellStyle name="Normal 4 2 4 2 8 3" xfId="11017"/>
    <cellStyle name="Normal 4 2 4 2 8 4" xfId="19459"/>
    <cellStyle name="Normal 4 2 4 2 8 5" xfId="27899"/>
    <cellStyle name="Normal 4 2 4 2 9" xfId="4734"/>
    <cellStyle name="Normal 4 2 4 2 9 2" xfId="13170"/>
    <cellStyle name="Normal 4 2 4 2 9 3" xfId="21611"/>
    <cellStyle name="Normal 4 2 4 2 9 4" xfId="30051"/>
    <cellStyle name="Normal 4 2 4 3" xfId="360"/>
    <cellStyle name="Normal 4 2 4 3 10" xfId="17398"/>
    <cellStyle name="Normal 4 2 4 3 11" xfId="25838"/>
    <cellStyle name="Normal 4 2 4 3 2" xfId="361"/>
    <cellStyle name="Normal 4 2 4 3 2 10" xfId="25839"/>
    <cellStyle name="Normal 4 2 4 3 2 2" xfId="837"/>
    <cellStyle name="Normal 4 2 4 3 2 2 2" xfId="3074"/>
    <cellStyle name="Normal 4 2 4 3 2 2 2 2" xfId="7297"/>
    <cellStyle name="Normal 4 2 4 3 2 2 2 2 2" xfId="15733"/>
    <cellStyle name="Normal 4 2 4 3 2 2 2 2 3" xfId="24174"/>
    <cellStyle name="Normal 4 2 4 3 2 2 2 2 4" xfId="32614"/>
    <cellStyle name="Normal 4 2 4 3 2 2 2 3" xfId="11515"/>
    <cellStyle name="Normal 4 2 4 3 2 2 2 4" xfId="19957"/>
    <cellStyle name="Normal 4 2 4 3 2 2 2 5" xfId="28397"/>
    <cellStyle name="Normal 4 2 4 3 2 2 3" xfId="5152"/>
    <cellStyle name="Normal 4 2 4 3 2 2 3 2" xfId="13588"/>
    <cellStyle name="Normal 4 2 4 3 2 2 3 3" xfId="22029"/>
    <cellStyle name="Normal 4 2 4 3 2 2 3 4" xfId="30469"/>
    <cellStyle name="Normal 4 2 4 3 2 2 4" xfId="9370"/>
    <cellStyle name="Normal 4 2 4 3 2 2 5" xfId="17812"/>
    <cellStyle name="Normal 4 2 4 3 2 2 6" xfId="26252"/>
    <cellStyle name="Normal 4 2 4 3 2 3" xfId="1257"/>
    <cellStyle name="Normal 4 2 4 3 2 3 2" xfId="3487"/>
    <cellStyle name="Normal 4 2 4 3 2 3 2 2" xfId="7710"/>
    <cellStyle name="Normal 4 2 4 3 2 3 2 2 2" xfId="16146"/>
    <cellStyle name="Normal 4 2 4 3 2 3 2 2 3" xfId="24587"/>
    <cellStyle name="Normal 4 2 4 3 2 3 2 2 4" xfId="33027"/>
    <cellStyle name="Normal 4 2 4 3 2 3 2 3" xfId="11928"/>
    <cellStyle name="Normal 4 2 4 3 2 3 2 4" xfId="20370"/>
    <cellStyle name="Normal 4 2 4 3 2 3 2 5" xfId="28810"/>
    <cellStyle name="Normal 4 2 4 3 2 3 3" xfId="5565"/>
    <cellStyle name="Normal 4 2 4 3 2 3 3 2" xfId="14001"/>
    <cellStyle name="Normal 4 2 4 3 2 3 3 3" xfId="22442"/>
    <cellStyle name="Normal 4 2 4 3 2 3 3 4" xfId="30882"/>
    <cellStyle name="Normal 4 2 4 3 2 3 4" xfId="9783"/>
    <cellStyle name="Normal 4 2 4 3 2 3 5" xfId="18225"/>
    <cellStyle name="Normal 4 2 4 3 2 3 6" xfId="26665"/>
    <cellStyle name="Normal 4 2 4 3 2 4" xfId="1670"/>
    <cellStyle name="Normal 4 2 4 3 2 4 2" xfId="3900"/>
    <cellStyle name="Normal 4 2 4 3 2 4 2 2" xfId="8123"/>
    <cellStyle name="Normal 4 2 4 3 2 4 2 2 2" xfId="16559"/>
    <cellStyle name="Normal 4 2 4 3 2 4 2 2 3" xfId="25000"/>
    <cellStyle name="Normal 4 2 4 3 2 4 2 2 4" xfId="33440"/>
    <cellStyle name="Normal 4 2 4 3 2 4 2 3" xfId="12341"/>
    <cellStyle name="Normal 4 2 4 3 2 4 2 4" xfId="20783"/>
    <cellStyle name="Normal 4 2 4 3 2 4 2 5" xfId="29223"/>
    <cellStyle name="Normal 4 2 4 3 2 4 3" xfId="5978"/>
    <cellStyle name="Normal 4 2 4 3 2 4 3 2" xfId="14414"/>
    <cellStyle name="Normal 4 2 4 3 2 4 3 3" xfId="22855"/>
    <cellStyle name="Normal 4 2 4 3 2 4 3 4" xfId="31295"/>
    <cellStyle name="Normal 4 2 4 3 2 4 4" xfId="10196"/>
    <cellStyle name="Normal 4 2 4 3 2 4 5" xfId="18638"/>
    <cellStyle name="Normal 4 2 4 3 2 4 6" xfId="27078"/>
    <cellStyle name="Normal 4 2 4 3 2 5" xfId="2084"/>
    <cellStyle name="Normal 4 2 4 3 2 5 2" xfId="4313"/>
    <cellStyle name="Normal 4 2 4 3 2 5 2 2" xfId="8536"/>
    <cellStyle name="Normal 4 2 4 3 2 5 2 2 2" xfId="16972"/>
    <cellStyle name="Normal 4 2 4 3 2 5 2 2 3" xfId="25413"/>
    <cellStyle name="Normal 4 2 4 3 2 5 2 2 4" xfId="33853"/>
    <cellStyle name="Normal 4 2 4 3 2 5 2 3" xfId="12754"/>
    <cellStyle name="Normal 4 2 4 3 2 5 2 4" xfId="21196"/>
    <cellStyle name="Normal 4 2 4 3 2 5 2 5" xfId="29636"/>
    <cellStyle name="Normal 4 2 4 3 2 5 3" xfId="6391"/>
    <cellStyle name="Normal 4 2 4 3 2 5 3 2" xfId="14827"/>
    <cellStyle name="Normal 4 2 4 3 2 5 3 3" xfId="23268"/>
    <cellStyle name="Normal 4 2 4 3 2 5 3 4" xfId="31708"/>
    <cellStyle name="Normal 4 2 4 3 2 5 4" xfId="10609"/>
    <cellStyle name="Normal 4 2 4 3 2 5 5" xfId="19051"/>
    <cellStyle name="Normal 4 2 4 3 2 5 6" xfId="27491"/>
    <cellStyle name="Normal 4 2 4 3 2 6" xfId="2520"/>
    <cellStyle name="Normal 4 2 4 3 2 6 2" xfId="6804"/>
    <cellStyle name="Normal 4 2 4 3 2 6 2 2" xfId="15240"/>
    <cellStyle name="Normal 4 2 4 3 2 6 2 3" xfId="23681"/>
    <cellStyle name="Normal 4 2 4 3 2 6 2 4" xfId="32121"/>
    <cellStyle name="Normal 4 2 4 3 2 6 3" xfId="11022"/>
    <cellStyle name="Normal 4 2 4 3 2 6 4" xfId="19464"/>
    <cellStyle name="Normal 4 2 4 3 2 6 5" xfId="27904"/>
    <cellStyle name="Normal 4 2 4 3 2 7" xfId="4739"/>
    <cellStyle name="Normal 4 2 4 3 2 7 2" xfId="13175"/>
    <cellStyle name="Normal 4 2 4 3 2 7 3" xfId="21616"/>
    <cellStyle name="Normal 4 2 4 3 2 7 4" xfId="30056"/>
    <cellStyle name="Normal 4 2 4 3 2 8" xfId="8957"/>
    <cellStyle name="Normal 4 2 4 3 2 9" xfId="17399"/>
    <cellStyle name="Normal 4 2 4 3 3" xfId="836"/>
    <cellStyle name="Normal 4 2 4 3 3 2" xfId="3073"/>
    <cellStyle name="Normal 4 2 4 3 3 2 2" xfId="7296"/>
    <cellStyle name="Normal 4 2 4 3 3 2 2 2" xfId="15732"/>
    <cellStyle name="Normal 4 2 4 3 3 2 2 3" xfId="24173"/>
    <cellStyle name="Normal 4 2 4 3 3 2 2 4" xfId="32613"/>
    <cellStyle name="Normal 4 2 4 3 3 2 3" xfId="11514"/>
    <cellStyle name="Normal 4 2 4 3 3 2 4" xfId="19956"/>
    <cellStyle name="Normal 4 2 4 3 3 2 5" xfId="28396"/>
    <cellStyle name="Normal 4 2 4 3 3 3" xfId="5151"/>
    <cellStyle name="Normal 4 2 4 3 3 3 2" xfId="13587"/>
    <cellStyle name="Normal 4 2 4 3 3 3 3" xfId="22028"/>
    <cellStyle name="Normal 4 2 4 3 3 3 4" xfId="30468"/>
    <cellStyle name="Normal 4 2 4 3 3 4" xfId="9369"/>
    <cellStyle name="Normal 4 2 4 3 3 5" xfId="17811"/>
    <cellStyle name="Normal 4 2 4 3 3 6" xfId="26251"/>
    <cellStyle name="Normal 4 2 4 3 4" xfId="1256"/>
    <cellStyle name="Normal 4 2 4 3 4 2" xfId="3486"/>
    <cellStyle name="Normal 4 2 4 3 4 2 2" xfId="7709"/>
    <cellStyle name="Normal 4 2 4 3 4 2 2 2" xfId="16145"/>
    <cellStyle name="Normal 4 2 4 3 4 2 2 3" xfId="24586"/>
    <cellStyle name="Normal 4 2 4 3 4 2 2 4" xfId="33026"/>
    <cellStyle name="Normal 4 2 4 3 4 2 3" xfId="11927"/>
    <cellStyle name="Normal 4 2 4 3 4 2 4" xfId="20369"/>
    <cellStyle name="Normal 4 2 4 3 4 2 5" xfId="28809"/>
    <cellStyle name="Normal 4 2 4 3 4 3" xfId="5564"/>
    <cellStyle name="Normal 4 2 4 3 4 3 2" xfId="14000"/>
    <cellStyle name="Normal 4 2 4 3 4 3 3" xfId="22441"/>
    <cellStyle name="Normal 4 2 4 3 4 3 4" xfId="30881"/>
    <cellStyle name="Normal 4 2 4 3 4 4" xfId="9782"/>
    <cellStyle name="Normal 4 2 4 3 4 5" xfId="18224"/>
    <cellStyle name="Normal 4 2 4 3 4 6" xfId="26664"/>
    <cellStyle name="Normal 4 2 4 3 5" xfId="1669"/>
    <cellStyle name="Normal 4 2 4 3 5 2" xfId="3899"/>
    <cellStyle name="Normal 4 2 4 3 5 2 2" xfId="8122"/>
    <cellStyle name="Normal 4 2 4 3 5 2 2 2" xfId="16558"/>
    <cellStyle name="Normal 4 2 4 3 5 2 2 3" xfId="24999"/>
    <cellStyle name="Normal 4 2 4 3 5 2 2 4" xfId="33439"/>
    <cellStyle name="Normal 4 2 4 3 5 2 3" xfId="12340"/>
    <cellStyle name="Normal 4 2 4 3 5 2 4" xfId="20782"/>
    <cellStyle name="Normal 4 2 4 3 5 2 5" xfId="29222"/>
    <cellStyle name="Normal 4 2 4 3 5 3" xfId="5977"/>
    <cellStyle name="Normal 4 2 4 3 5 3 2" xfId="14413"/>
    <cellStyle name="Normal 4 2 4 3 5 3 3" xfId="22854"/>
    <cellStyle name="Normal 4 2 4 3 5 3 4" xfId="31294"/>
    <cellStyle name="Normal 4 2 4 3 5 4" xfId="10195"/>
    <cellStyle name="Normal 4 2 4 3 5 5" xfId="18637"/>
    <cellStyle name="Normal 4 2 4 3 5 6" xfId="27077"/>
    <cellStyle name="Normal 4 2 4 3 6" xfId="2083"/>
    <cellStyle name="Normal 4 2 4 3 6 2" xfId="4312"/>
    <cellStyle name="Normal 4 2 4 3 6 2 2" xfId="8535"/>
    <cellStyle name="Normal 4 2 4 3 6 2 2 2" xfId="16971"/>
    <cellStyle name="Normal 4 2 4 3 6 2 2 3" xfId="25412"/>
    <cellStyle name="Normal 4 2 4 3 6 2 2 4" xfId="33852"/>
    <cellStyle name="Normal 4 2 4 3 6 2 3" xfId="12753"/>
    <cellStyle name="Normal 4 2 4 3 6 2 4" xfId="21195"/>
    <cellStyle name="Normal 4 2 4 3 6 2 5" xfId="29635"/>
    <cellStyle name="Normal 4 2 4 3 6 3" xfId="6390"/>
    <cellStyle name="Normal 4 2 4 3 6 3 2" xfId="14826"/>
    <cellStyle name="Normal 4 2 4 3 6 3 3" xfId="23267"/>
    <cellStyle name="Normal 4 2 4 3 6 3 4" xfId="31707"/>
    <cellStyle name="Normal 4 2 4 3 6 4" xfId="10608"/>
    <cellStyle name="Normal 4 2 4 3 6 5" xfId="19050"/>
    <cellStyle name="Normal 4 2 4 3 6 6" xfId="27490"/>
    <cellStyle name="Normal 4 2 4 3 7" xfId="2519"/>
    <cellStyle name="Normal 4 2 4 3 7 2" xfId="6803"/>
    <cellStyle name="Normal 4 2 4 3 7 2 2" xfId="15239"/>
    <cellStyle name="Normal 4 2 4 3 7 2 3" xfId="23680"/>
    <cellStyle name="Normal 4 2 4 3 7 2 4" xfId="32120"/>
    <cellStyle name="Normal 4 2 4 3 7 3" xfId="11021"/>
    <cellStyle name="Normal 4 2 4 3 7 4" xfId="19463"/>
    <cellStyle name="Normal 4 2 4 3 7 5" xfId="27903"/>
    <cellStyle name="Normal 4 2 4 3 8" xfId="4738"/>
    <cellStyle name="Normal 4 2 4 3 8 2" xfId="13174"/>
    <cellStyle name="Normal 4 2 4 3 8 3" xfId="21615"/>
    <cellStyle name="Normal 4 2 4 3 8 4" xfId="30055"/>
    <cellStyle name="Normal 4 2 4 3 9" xfId="8956"/>
    <cellStyle name="Normal 4 2 4 4" xfId="362"/>
    <cellStyle name="Normal 4 2 4 4 10" xfId="25840"/>
    <cellStyle name="Normal 4 2 4 4 2" xfId="838"/>
    <cellStyle name="Normal 4 2 4 4 2 2" xfId="3075"/>
    <cellStyle name="Normal 4 2 4 4 2 2 2" xfId="7298"/>
    <cellStyle name="Normal 4 2 4 4 2 2 2 2" xfId="15734"/>
    <cellStyle name="Normal 4 2 4 4 2 2 2 3" xfId="24175"/>
    <cellStyle name="Normal 4 2 4 4 2 2 2 4" xfId="32615"/>
    <cellStyle name="Normal 4 2 4 4 2 2 3" xfId="11516"/>
    <cellStyle name="Normal 4 2 4 4 2 2 4" xfId="19958"/>
    <cellStyle name="Normal 4 2 4 4 2 2 5" xfId="28398"/>
    <cellStyle name="Normal 4 2 4 4 2 3" xfId="5153"/>
    <cellStyle name="Normal 4 2 4 4 2 3 2" xfId="13589"/>
    <cellStyle name="Normal 4 2 4 4 2 3 3" xfId="22030"/>
    <cellStyle name="Normal 4 2 4 4 2 3 4" xfId="30470"/>
    <cellStyle name="Normal 4 2 4 4 2 4" xfId="9371"/>
    <cellStyle name="Normal 4 2 4 4 2 5" xfId="17813"/>
    <cellStyle name="Normal 4 2 4 4 2 6" xfId="26253"/>
    <cellStyle name="Normal 4 2 4 4 3" xfId="1258"/>
    <cellStyle name="Normal 4 2 4 4 3 2" xfId="3488"/>
    <cellStyle name="Normal 4 2 4 4 3 2 2" xfId="7711"/>
    <cellStyle name="Normal 4 2 4 4 3 2 2 2" xfId="16147"/>
    <cellStyle name="Normal 4 2 4 4 3 2 2 3" xfId="24588"/>
    <cellStyle name="Normal 4 2 4 4 3 2 2 4" xfId="33028"/>
    <cellStyle name="Normal 4 2 4 4 3 2 3" xfId="11929"/>
    <cellStyle name="Normal 4 2 4 4 3 2 4" xfId="20371"/>
    <cellStyle name="Normal 4 2 4 4 3 2 5" xfId="28811"/>
    <cellStyle name="Normal 4 2 4 4 3 3" xfId="5566"/>
    <cellStyle name="Normal 4 2 4 4 3 3 2" xfId="14002"/>
    <cellStyle name="Normal 4 2 4 4 3 3 3" xfId="22443"/>
    <cellStyle name="Normal 4 2 4 4 3 3 4" xfId="30883"/>
    <cellStyle name="Normal 4 2 4 4 3 4" xfId="9784"/>
    <cellStyle name="Normal 4 2 4 4 3 5" xfId="18226"/>
    <cellStyle name="Normal 4 2 4 4 3 6" xfId="26666"/>
    <cellStyle name="Normal 4 2 4 4 4" xfId="1671"/>
    <cellStyle name="Normal 4 2 4 4 4 2" xfId="3901"/>
    <cellStyle name="Normal 4 2 4 4 4 2 2" xfId="8124"/>
    <cellStyle name="Normal 4 2 4 4 4 2 2 2" xfId="16560"/>
    <cellStyle name="Normal 4 2 4 4 4 2 2 3" xfId="25001"/>
    <cellStyle name="Normal 4 2 4 4 4 2 2 4" xfId="33441"/>
    <cellStyle name="Normal 4 2 4 4 4 2 3" xfId="12342"/>
    <cellStyle name="Normal 4 2 4 4 4 2 4" xfId="20784"/>
    <cellStyle name="Normal 4 2 4 4 4 2 5" xfId="29224"/>
    <cellStyle name="Normal 4 2 4 4 4 3" xfId="5979"/>
    <cellStyle name="Normal 4 2 4 4 4 3 2" xfId="14415"/>
    <cellStyle name="Normal 4 2 4 4 4 3 3" xfId="22856"/>
    <cellStyle name="Normal 4 2 4 4 4 3 4" xfId="31296"/>
    <cellStyle name="Normal 4 2 4 4 4 4" xfId="10197"/>
    <cellStyle name="Normal 4 2 4 4 4 5" xfId="18639"/>
    <cellStyle name="Normal 4 2 4 4 4 6" xfId="27079"/>
    <cellStyle name="Normal 4 2 4 4 5" xfId="2085"/>
    <cellStyle name="Normal 4 2 4 4 5 2" xfId="4314"/>
    <cellStyle name="Normal 4 2 4 4 5 2 2" xfId="8537"/>
    <cellStyle name="Normal 4 2 4 4 5 2 2 2" xfId="16973"/>
    <cellStyle name="Normal 4 2 4 4 5 2 2 3" xfId="25414"/>
    <cellStyle name="Normal 4 2 4 4 5 2 2 4" xfId="33854"/>
    <cellStyle name="Normal 4 2 4 4 5 2 3" xfId="12755"/>
    <cellStyle name="Normal 4 2 4 4 5 2 4" xfId="21197"/>
    <cellStyle name="Normal 4 2 4 4 5 2 5" xfId="29637"/>
    <cellStyle name="Normal 4 2 4 4 5 3" xfId="6392"/>
    <cellStyle name="Normal 4 2 4 4 5 3 2" xfId="14828"/>
    <cellStyle name="Normal 4 2 4 4 5 3 3" xfId="23269"/>
    <cellStyle name="Normal 4 2 4 4 5 3 4" xfId="31709"/>
    <cellStyle name="Normal 4 2 4 4 5 4" xfId="10610"/>
    <cellStyle name="Normal 4 2 4 4 5 5" xfId="19052"/>
    <cellStyle name="Normal 4 2 4 4 5 6" xfId="27492"/>
    <cellStyle name="Normal 4 2 4 4 6" xfId="2521"/>
    <cellStyle name="Normal 4 2 4 4 6 2" xfId="6805"/>
    <cellStyle name="Normal 4 2 4 4 6 2 2" xfId="15241"/>
    <cellStyle name="Normal 4 2 4 4 6 2 3" xfId="23682"/>
    <cellStyle name="Normal 4 2 4 4 6 2 4" xfId="32122"/>
    <cellStyle name="Normal 4 2 4 4 6 3" xfId="11023"/>
    <cellStyle name="Normal 4 2 4 4 6 4" xfId="19465"/>
    <cellStyle name="Normal 4 2 4 4 6 5" xfId="27905"/>
    <cellStyle name="Normal 4 2 4 4 7" xfId="4740"/>
    <cellStyle name="Normal 4 2 4 4 7 2" xfId="13176"/>
    <cellStyle name="Normal 4 2 4 4 7 3" xfId="21617"/>
    <cellStyle name="Normal 4 2 4 4 7 4" xfId="30057"/>
    <cellStyle name="Normal 4 2 4 4 8" xfId="8958"/>
    <cellStyle name="Normal 4 2 4 4 9" xfId="17400"/>
    <cellStyle name="Normal 4 2 4 5" xfId="831"/>
    <cellStyle name="Normal 4 2 4 5 2" xfId="3068"/>
    <cellStyle name="Normal 4 2 4 5 2 2" xfId="7291"/>
    <cellStyle name="Normal 4 2 4 5 2 2 2" xfId="15727"/>
    <cellStyle name="Normal 4 2 4 5 2 2 3" xfId="24168"/>
    <cellStyle name="Normal 4 2 4 5 2 2 4" xfId="32608"/>
    <cellStyle name="Normal 4 2 4 5 2 3" xfId="11509"/>
    <cellStyle name="Normal 4 2 4 5 2 4" xfId="19951"/>
    <cellStyle name="Normal 4 2 4 5 2 5" xfId="28391"/>
    <cellStyle name="Normal 4 2 4 5 3" xfId="5146"/>
    <cellStyle name="Normal 4 2 4 5 3 2" xfId="13582"/>
    <cellStyle name="Normal 4 2 4 5 3 3" xfId="22023"/>
    <cellStyle name="Normal 4 2 4 5 3 4" xfId="30463"/>
    <cellStyle name="Normal 4 2 4 5 4" xfId="9364"/>
    <cellStyle name="Normal 4 2 4 5 5" xfId="17806"/>
    <cellStyle name="Normal 4 2 4 5 6" xfId="26246"/>
    <cellStyle name="Normal 4 2 4 6" xfId="1251"/>
    <cellStyle name="Normal 4 2 4 6 2" xfId="3481"/>
    <cellStyle name="Normal 4 2 4 6 2 2" xfId="7704"/>
    <cellStyle name="Normal 4 2 4 6 2 2 2" xfId="16140"/>
    <cellStyle name="Normal 4 2 4 6 2 2 3" xfId="24581"/>
    <cellStyle name="Normal 4 2 4 6 2 2 4" xfId="33021"/>
    <cellStyle name="Normal 4 2 4 6 2 3" xfId="11922"/>
    <cellStyle name="Normal 4 2 4 6 2 4" xfId="20364"/>
    <cellStyle name="Normal 4 2 4 6 2 5" xfId="28804"/>
    <cellStyle name="Normal 4 2 4 6 3" xfId="5559"/>
    <cellStyle name="Normal 4 2 4 6 3 2" xfId="13995"/>
    <cellStyle name="Normal 4 2 4 6 3 3" xfId="22436"/>
    <cellStyle name="Normal 4 2 4 6 3 4" xfId="30876"/>
    <cellStyle name="Normal 4 2 4 6 4" xfId="9777"/>
    <cellStyle name="Normal 4 2 4 6 5" xfId="18219"/>
    <cellStyle name="Normal 4 2 4 6 6" xfId="26659"/>
    <cellStyle name="Normal 4 2 4 7" xfId="1664"/>
    <cellStyle name="Normal 4 2 4 7 2" xfId="3894"/>
    <cellStyle name="Normal 4 2 4 7 2 2" xfId="8117"/>
    <cellStyle name="Normal 4 2 4 7 2 2 2" xfId="16553"/>
    <cellStyle name="Normal 4 2 4 7 2 2 3" xfId="24994"/>
    <cellStyle name="Normal 4 2 4 7 2 2 4" xfId="33434"/>
    <cellStyle name="Normal 4 2 4 7 2 3" xfId="12335"/>
    <cellStyle name="Normal 4 2 4 7 2 4" xfId="20777"/>
    <cellStyle name="Normal 4 2 4 7 2 5" xfId="29217"/>
    <cellStyle name="Normal 4 2 4 7 3" xfId="5972"/>
    <cellStyle name="Normal 4 2 4 7 3 2" xfId="14408"/>
    <cellStyle name="Normal 4 2 4 7 3 3" xfId="22849"/>
    <cellStyle name="Normal 4 2 4 7 3 4" xfId="31289"/>
    <cellStyle name="Normal 4 2 4 7 4" xfId="10190"/>
    <cellStyle name="Normal 4 2 4 7 5" xfId="18632"/>
    <cellStyle name="Normal 4 2 4 7 6" xfId="27072"/>
    <cellStyle name="Normal 4 2 4 8" xfId="2078"/>
    <cellStyle name="Normal 4 2 4 8 2" xfId="4307"/>
    <cellStyle name="Normal 4 2 4 8 2 2" xfId="8530"/>
    <cellStyle name="Normal 4 2 4 8 2 2 2" xfId="16966"/>
    <cellStyle name="Normal 4 2 4 8 2 2 3" xfId="25407"/>
    <cellStyle name="Normal 4 2 4 8 2 2 4" xfId="33847"/>
    <cellStyle name="Normal 4 2 4 8 2 3" xfId="12748"/>
    <cellStyle name="Normal 4 2 4 8 2 4" xfId="21190"/>
    <cellStyle name="Normal 4 2 4 8 2 5" xfId="29630"/>
    <cellStyle name="Normal 4 2 4 8 3" xfId="6385"/>
    <cellStyle name="Normal 4 2 4 8 3 2" xfId="14821"/>
    <cellStyle name="Normal 4 2 4 8 3 3" xfId="23262"/>
    <cellStyle name="Normal 4 2 4 8 3 4" xfId="31702"/>
    <cellStyle name="Normal 4 2 4 8 4" xfId="10603"/>
    <cellStyle name="Normal 4 2 4 8 5" xfId="19045"/>
    <cellStyle name="Normal 4 2 4 8 6" xfId="27485"/>
    <cellStyle name="Normal 4 2 4 9" xfId="2514"/>
    <cellStyle name="Normal 4 2 4 9 2" xfId="6798"/>
    <cellStyle name="Normal 4 2 4 9 2 2" xfId="15234"/>
    <cellStyle name="Normal 4 2 4 9 2 3" xfId="23675"/>
    <cellStyle name="Normal 4 2 4 9 2 4" xfId="32115"/>
    <cellStyle name="Normal 4 2 4 9 3" xfId="11016"/>
    <cellStyle name="Normal 4 2 4 9 4" xfId="19458"/>
    <cellStyle name="Normal 4 2 4 9 5" xfId="27898"/>
    <cellStyle name="Normal 4 2 5" xfId="363"/>
    <cellStyle name="Normal 4 2 5 10" xfId="17401"/>
    <cellStyle name="Normal 4 2 5 11" xfId="25841"/>
    <cellStyle name="Normal 4 2 5 2" xfId="364"/>
    <cellStyle name="Normal 4 2 5 2 10" xfId="25842"/>
    <cellStyle name="Normal 4 2 5 2 2" xfId="840"/>
    <cellStyle name="Normal 4 2 5 2 2 2" xfId="3077"/>
    <cellStyle name="Normal 4 2 5 2 2 2 2" xfId="7300"/>
    <cellStyle name="Normal 4 2 5 2 2 2 2 2" xfId="15736"/>
    <cellStyle name="Normal 4 2 5 2 2 2 2 3" xfId="24177"/>
    <cellStyle name="Normal 4 2 5 2 2 2 2 4" xfId="32617"/>
    <cellStyle name="Normal 4 2 5 2 2 2 3" xfId="11518"/>
    <cellStyle name="Normal 4 2 5 2 2 2 4" xfId="19960"/>
    <cellStyle name="Normal 4 2 5 2 2 2 5" xfId="28400"/>
    <cellStyle name="Normal 4 2 5 2 2 3" xfId="5155"/>
    <cellStyle name="Normal 4 2 5 2 2 3 2" xfId="13591"/>
    <cellStyle name="Normal 4 2 5 2 2 3 3" xfId="22032"/>
    <cellStyle name="Normal 4 2 5 2 2 3 4" xfId="30472"/>
    <cellStyle name="Normal 4 2 5 2 2 4" xfId="9373"/>
    <cellStyle name="Normal 4 2 5 2 2 5" xfId="17815"/>
    <cellStyle name="Normal 4 2 5 2 2 6" xfId="26255"/>
    <cellStyle name="Normal 4 2 5 2 3" xfId="1260"/>
    <cellStyle name="Normal 4 2 5 2 3 2" xfId="3490"/>
    <cellStyle name="Normal 4 2 5 2 3 2 2" xfId="7713"/>
    <cellStyle name="Normal 4 2 5 2 3 2 2 2" xfId="16149"/>
    <cellStyle name="Normal 4 2 5 2 3 2 2 3" xfId="24590"/>
    <cellStyle name="Normal 4 2 5 2 3 2 2 4" xfId="33030"/>
    <cellStyle name="Normal 4 2 5 2 3 2 3" xfId="11931"/>
    <cellStyle name="Normal 4 2 5 2 3 2 4" xfId="20373"/>
    <cellStyle name="Normal 4 2 5 2 3 2 5" xfId="28813"/>
    <cellStyle name="Normal 4 2 5 2 3 3" xfId="5568"/>
    <cellStyle name="Normal 4 2 5 2 3 3 2" xfId="14004"/>
    <cellStyle name="Normal 4 2 5 2 3 3 3" xfId="22445"/>
    <cellStyle name="Normal 4 2 5 2 3 3 4" xfId="30885"/>
    <cellStyle name="Normal 4 2 5 2 3 4" xfId="9786"/>
    <cellStyle name="Normal 4 2 5 2 3 5" xfId="18228"/>
    <cellStyle name="Normal 4 2 5 2 3 6" xfId="26668"/>
    <cellStyle name="Normal 4 2 5 2 4" xfId="1673"/>
    <cellStyle name="Normal 4 2 5 2 4 2" xfId="3903"/>
    <cellStyle name="Normal 4 2 5 2 4 2 2" xfId="8126"/>
    <cellStyle name="Normal 4 2 5 2 4 2 2 2" xfId="16562"/>
    <cellStyle name="Normal 4 2 5 2 4 2 2 3" xfId="25003"/>
    <cellStyle name="Normal 4 2 5 2 4 2 2 4" xfId="33443"/>
    <cellStyle name="Normal 4 2 5 2 4 2 3" xfId="12344"/>
    <cellStyle name="Normal 4 2 5 2 4 2 4" xfId="20786"/>
    <cellStyle name="Normal 4 2 5 2 4 2 5" xfId="29226"/>
    <cellStyle name="Normal 4 2 5 2 4 3" xfId="5981"/>
    <cellStyle name="Normal 4 2 5 2 4 3 2" xfId="14417"/>
    <cellStyle name="Normal 4 2 5 2 4 3 3" xfId="22858"/>
    <cellStyle name="Normal 4 2 5 2 4 3 4" xfId="31298"/>
    <cellStyle name="Normal 4 2 5 2 4 4" xfId="10199"/>
    <cellStyle name="Normal 4 2 5 2 4 5" xfId="18641"/>
    <cellStyle name="Normal 4 2 5 2 4 6" xfId="27081"/>
    <cellStyle name="Normal 4 2 5 2 5" xfId="2087"/>
    <cellStyle name="Normal 4 2 5 2 5 2" xfId="4316"/>
    <cellStyle name="Normal 4 2 5 2 5 2 2" xfId="8539"/>
    <cellStyle name="Normal 4 2 5 2 5 2 2 2" xfId="16975"/>
    <cellStyle name="Normal 4 2 5 2 5 2 2 3" xfId="25416"/>
    <cellStyle name="Normal 4 2 5 2 5 2 2 4" xfId="33856"/>
    <cellStyle name="Normal 4 2 5 2 5 2 3" xfId="12757"/>
    <cellStyle name="Normal 4 2 5 2 5 2 4" xfId="21199"/>
    <cellStyle name="Normal 4 2 5 2 5 2 5" xfId="29639"/>
    <cellStyle name="Normal 4 2 5 2 5 3" xfId="6394"/>
    <cellStyle name="Normal 4 2 5 2 5 3 2" xfId="14830"/>
    <cellStyle name="Normal 4 2 5 2 5 3 3" xfId="23271"/>
    <cellStyle name="Normal 4 2 5 2 5 3 4" xfId="31711"/>
    <cellStyle name="Normal 4 2 5 2 5 4" xfId="10612"/>
    <cellStyle name="Normal 4 2 5 2 5 5" xfId="19054"/>
    <cellStyle name="Normal 4 2 5 2 5 6" xfId="27494"/>
    <cellStyle name="Normal 4 2 5 2 6" xfId="2523"/>
    <cellStyle name="Normal 4 2 5 2 6 2" xfId="6807"/>
    <cellStyle name="Normal 4 2 5 2 6 2 2" xfId="15243"/>
    <cellStyle name="Normal 4 2 5 2 6 2 3" xfId="23684"/>
    <cellStyle name="Normal 4 2 5 2 6 2 4" xfId="32124"/>
    <cellStyle name="Normal 4 2 5 2 6 3" xfId="11025"/>
    <cellStyle name="Normal 4 2 5 2 6 4" xfId="19467"/>
    <cellStyle name="Normal 4 2 5 2 6 5" xfId="27907"/>
    <cellStyle name="Normal 4 2 5 2 7" xfId="4742"/>
    <cellStyle name="Normal 4 2 5 2 7 2" xfId="13178"/>
    <cellStyle name="Normal 4 2 5 2 7 3" xfId="21619"/>
    <cellStyle name="Normal 4 2 5 2 7 4" xfId="30059"/>
    <cellStyle name="Normal 4 2 5 2 8" xfId="8960"/>
    <cellStyle name="Normal 4 2 5 2 9" xfId="17402"/>
    <cellStyle name="Normal 4 2 5 3" xfId="839"/>
    <cellStyle name="Normal 4 2 5 3 2" xfId="3076"/>
    <cellStyle name="Normal 4 2 5 3 2 2" xfId="7299"/>
    <cellStyle name="Normal 4 2 5 3 2 2 2" xfId="15735"/>
    <cellStyle name="Normal 4 2 5 3 2 2 3" xfId="24176"/>
    <cellStyle name="Normal 4 2 5 3 2 2 4" xfId="32616"/>
    <cellStyle name="Normal 4 2 5 3 2 3" xfId="11517"/>
    <cellStyle name="Normal 4 2 5 3 2 4" xfId="19959"/>
    <cellStyle name="Normal 4 2 5 3 2 5" xfId="28399"/>
    <cellStyle name="Normal 4 2 5 3 3" xfId="5154"/>
    <cellStyle name="Normal 4 2 5 3 3 2" xfId="13590"/>
    <cellStyle name="Normal 4 2 5 3 3 3" xfId="22031"/>
    <cellStyle name="Normal 4 2 5 3 3 4" xfId="30471"/>
    <cellStyle name="Normal 4 2 5 3 4" xfId="9372"/>
    <cellStyle name="Normal 4 2 5 3 5" xfId="17814"/>
    <cellStyle name="Normal 4 2 5 3 6" xfId="26254"/>
    <cellStyle name="Normal 4 2 5 4" xfId="1259"/>
    <cellStyle name="Normal 4 2 5 4 2" xfId="3489"/>
    <cellStyle name="Normal 4 2 5 4 2 2" xfId="7712"/>
    <cellStyle name="Normal 4 2 5 4 2 2 2" xfId="16148"/>
    <cellStyle name="Normal 4 2 5 4 2 2 3" xfId="24589"/>
    <cellStyle name="Normal 4 2 5 4 2 2 4" xfId="33029"/>
    <cellStyle name="Normal 4 2 5 4 2 3" xfId="11930"/>
    <cellStyle name="Normal 4 2 5 4 2 4" xfId="20372"/>
    <cellStyle name="Normal 4 2 5 4 2 5" xfId="28812"/>
    <cellStyle name="Normal 4 2 5 4 3" xfId="5567"/>
    <cellStyle name="Normal 4 2 5 4 3 2" xfId="14003"/>
    <cellStyle name="Normal 4 2 5 4 3 3" xfId="22444"/>
    <cellStyle name="Normal 4 2 5 4 3 4" xfId="30884"/>
    <cellStyle name="Normal 4 2 5 4 4" xfId="9785"/>
    <cellStyle name="Normal 4 2 5 4 5" xfId="18227"/>
    <cellStyle name="Normal 4 2 5 4 6" xfId="26667"/>
    <cellStyle name="Normal 4 2 5 5" xfId="1672"/>
    <cellStyle name="Normal 4 2 5 5 2" xfId="3902"/>
    <cellStyle name="Normal 4 2 5 5 2 2" xfId="8125"/>
    <cellStyle name="Normal 4 2 5 5 2 2 2" xfId="16561"/>
    <cellStyle name="Normal 4 2 5 5 2 2 3" xfId="25002"/>
    <cellStyle name="Normal 4 2 5 5 2 2 4" xfId="33442"/>
    <cellStyle name="Normal 4 2 5 5 2 3" xfId="12343"/>
    <cellStyle name="Normal 4 2 5 5 2 4" xfId="20785"/>
    <cellStyle name="Normal 4 2 5 5 2 5" xfId="29225"/>
    <cellStyle name="Normal 4 2 5 5 3" xfId="5980"/>
    <cellStyle name="Normal 4 2 5 5 3 2" xfId="14416"/>
    <cellStyle name="Normal 4 2 5 5 3 3" xfId="22857"/>
    <cellStyle name="Normal 4 2 5 5 3 4" xfId="31297"/>
    <cellStyle name="Normal 4 2 5 5 4" xfId="10198"/>
    <cellStyle name="Normal 4 2 5 5 5" xfId="18640"/>
    <cellStyle name="Normal 4 2 5 5 6" xfId="27080"/>
    <cellStyle name="Normal 4 2 5 6" xfId="2086"/>
    <cellStyle name="Normal 4 2 5 6 2" xfId="4315"/>
    <cellStyle name="Normal 4 2 5 6 2 2" xfId="8538"/>
    <cellStyle name="Normal 4 2 5 6 2 2 2" xfId="16974"/>
    <cellStyle name="Normal 4 2 5 6 2 2 3" xfId="25415"/>
    <cellStyle name="Normal 4 2 5 6 2 2 4" xfId="33855"/>
    <cellStyle name="Normal 4 2 5 6 2 3" xfId="12756"/>
    <cellStyle name="Normal 4 2 5 6 2 4" xfId="21198"/>
    <cellStyle name="Normal 4 2 5 6 2 5" xfId="29638"/>
    <cellStyle name="Normal 4 2 5 6 3" xfId="6393"/>
    <cellStyle name="Normal 4 2 5 6 3 2" xfId="14829"/>
    <cellStyle name="Normal 4 2 5 6 3 3" xfId="23270"/>
    <cellStyle name="Normal 4 2 5 6 3 4" xfId="31710"/>
    <cellStyle name="Normal 4 2 5 6 4" xfId="10611"/>
    <cellStyle name="Normal 4 2 5 6 5" xfId="19053"/>
    <cellStyle name="Normal 4 2 5 6 6" xfId="27493"/>
    <cellStyle name="Normal 4 2 5 7" xfId="2522"/>
    <cellStyle name="Normal 4 2 5 7 2" xfId="6806"/>
    <cellStyle name="Normal 4 2 5 7 2 2" xfId="15242"/>
    <cellStyle name="Normal 4 2 5 7 2 3" xfId="23683"/>
    <cellStyle name="Normal 4 2 5 7 2 4" xfId="32123"/>
    <cellStyle name="Normal 4 2 5 7 3" xfId="11024"/>
    <cellStyle name="Normal 4 2 5 7 4" xfId="19466"/>
    <cellStyle name="Normal 4 2 5 7 5" xfId="27906"/>
    <cellStyle name="Normal 4 2 5 8" xfId="4741"/>
    <cellStyle name="Normal 4 2 5 8 2" xfId="13177"/>
    <cellStyle name="Normal 4 2 5 8 3" xfId="21618"/>
    <cellStyle name="Normal 4 2 5 8 4" xfId="30058"/>
    <cellStyle name="Normal 4 2 5 9" xfId="8959"/>
    <cellStyle name="Normal 4 2 6" xfId="365"/>
    <cellStyle name="Normal 4 2 6 10" xfId="25843"/>
    <cellStyle name="Normal 4 2 6 2" xfId="841"/>
    <cellStyle name="Normal 4 2 6 2 2" xfId="3078"/>
    <cellStyle name="Normal 4 2 6 2 2 2" xfId="7301"/>
    <cellStyle name="Normal 4 2 6 2 2 2 2" xfId="15737"/>
    <cellStyle name="Normal 4 2 6 2 2 2 3" xfId="24178"/>
    <cellStyle name="Normal 4 2 6 2 2 2 4" xfId="32618"/>
    <cellStyle name="Normal 4 2 6 2 2 3" xfId="11519"/>
    <cellStyle name="Normal 4 2 6 2 2 4" xfId="19961"/>
    <cellStyle name="Normal 4 2 6 2 2 5" xfId="28401"/>
    <cellStyle name="Normal 4 2 6 2 3" xfId="5156"/>
    <cellStyle name="Normal 4 2 6 2 3 2" xfId="13592"/>
    <cellStyle name="Normal 4 2 6 2 3 3" xfId="22033"/>
    <cellStyle name="Normal 4 2 6 2 3 4" xfId="30473"/>
    <cellStyle name="Normal 4 2 6 2 4" xfId="9374"/>
    <cellStyle name="Normal 4 2 6 2 5" xfId="17816"/>
    <cellStyle name="Normal 4 2 6 2 6" xfId="26256"/>
    <cellStyle name="Normal 4 2 6 3" xfId="1261"/>
    <cellStyle name="Normal 4 2 6 3 2" xfId="3491"/>
    <cellStyle name="Normal 4 2 6 3 2 2" xfId="7714"/>
    <cellStyle name="Normal 4 2 6 3 2 2 2" xfId="16150"/>
    <cellStyle name="Normal 4 2 6 3 2 2 3" xfId="24591"/>
    <cellStyle name="Normal 4 2 6 3 2 2 4" xfId="33031"/>
    <cellStyle name="Normal 4 2 6 3 2 3" xfId="11932"/>
    <cellStyle name="Normal 4 2 6 3 2 4" xfId="20374"/>
    <cellStyle name="Normal 4 2 6 3 2 5" xfId="28814"/>
    <cellStyle name="Normal 4 2 6 3 3" xfId="5569"/>
    <cellStyle name="Normal 4 2 6 3 3 2" xfId="14005"/>
    <cellStyle name="Normal 4 2 6 3 3 3" xfId="22446"/>
    <cellStyle name="Normal 4 2 6 3 3 4" xfId="30886"/>
    <cellStyle name="Normal 4 2 6 3 4" xfId="9787"/>
    <cellStyle name="Normal 4 2 6 3 5" xfId="18229"/>
    <cellStyle name="Normal 4 2 6 3 6" xfId="26669"/>
    <cellStyle name="Normal 4 2 6 4" xfId="1674"/>
    <cellStyle name="Normal 4 2 6 4 2" xfId="3904"/>
    <cellStyle name="Normal 4 2 6 4 2 2" xfId="8127"/>
    <cellStyle name="Normal 4 2 6 4 2 2 2" xfId="16563"/>
    <cellStyle name="Normal 4 2 6 4 2 2 3" xfId="25004"/>
    <cellStyle name="Normal 4 2 6 4 2 2 4" xfId="33444"/>
    <cellStyle name="Normal 4 2 6 4 2 3" xfId="12345"/>
    <cellStyle name="Normal 4 2 6 4 2 4" xfId="20787"/>
    <cellStyle name="Normal 4 2 6 4 2 5" xfId="29227"/>
    <cellStyle name="Normal 4 2 6 4 3" xfId="5982"/>
    <cellStyle name="Normal 4 2 6 4 3 2" xfId="14418"/>
    <cellStyle name="Normal 4 2 6 4 3 3" xfId="22859"/>
    <cellStyle name="Normal 4 2 6 4 3 4" xfId="31299"/>
    <cellStyle name="Normal 4 2 6 4 4" xfId="10200"/>
    <cellStyle name="Normal 4 2 6 4 5" xfId="18642"/>
    <cellStyle name="Normal 4 2 6 4 6" xfId="27082"/>
    <cellStyle name="Normal 4 2 6 5" xfId="2088"/>
    <cellStyle name="Normal 4 2 6 5 2" xfId="4317"/>
    <cellStyle name="Normal 4 2 6 5 2 2" xfId="8540"/>
    <cellStyle name="Normal 4 2 6 5 2 2 2" xfId="16976"/>
    <cellStyle name="Normal 4 2 6 5 2 2 3" xfId="25417"/>
    <cellStyle name="Normal 4 2 6 5 2 2 4" xfId="33857"/>
    <cellStyle name="Normal 4 2 6 5 2 3" xfId="12758"/>
    <cellStyle name="Normal 4 2 6 5 2 4" xfId="21200"/>
    <cellStyle name="Normal 4 2 6 5 2 5" xfId="29640"/>
    <cellStyle name="Normal 4 2 6 5 3" xfId="6395"/>
    <cellStyle name="Normal 4 2 6 5 3 2" xfId="14831"/>
    <cellStyle name="Normal 4 2 6 5 3 3" xfId="23272"/>
    <cellStyle name="Normal 4 2 6 5 3 4" xfId="31712"/>
    <cellStyle name="Normal 4 2 6 5 4" xfId="10613"/>
    <cellStyle name="Normal 4 2 6 5 5" xfId="19055"/>
    <cellStyle name="Normal 4 2 6 5 6" xfId="27495"/>
    <cellStyle name="Normal 4 2 6 6" xfId="2524"/>
    <cellStyle name="Normal 4 2 6 6 2" xfId="6808"/>
    <cellStyle name="Normal 4 2 6 6 2 2" xfId="15244"/>
    <cellStyle name="Normal 4 2 6 6 2 3" xfId="23685"/>
    <cellStyle name="Normal 4 2 6 6 2 4" xfId="32125"/>
    <cellStyle name="Normal 4 2 6 6 3" xfId="11026"/>
    <cellStyle name="Normal 4 2 6 6 4" xfId="19468"/>
    <cellStyle name="Normal 4 2 6 6 5" xfId="27908"/>
    <cellStyle name="Normal 4 2 6 7" xfId="4743"/>
    <cellStyle name="Normal 4 2 6 7 2" xfId="13179"/>
    <cellStyle name="Normal 4 2 6 7 3" xfId="21620"/>
    <cellStyle name="Normal 4 2 6 7 4" xfId="30060"/>
    <cellStyle name="Normal 4 2 6 8" xfId="8961"/>
    <cellStyle name="Normal 4 2 6 9" xfId="17403"/>
    <cellStyle name="Normal 4 3" xfId="366"/>
    <cellStyle name="Normal 4 3 10" xfId="8962"/>
    <cellStyle name="Normal 4 3 11" xfId="17404"/>
    <cellStyle name="Normal 4 3 12" xfId="25844"/>
    <cellStyle name="Normal 4 3 2" xfId="367"/>
    <cellStyle name="Normal 4 3 2 2" xfId="368"/>
    <cellStyle name="Normal 4 3 2 2 2" xfId="369"/>
    <cellStyle name="Normal 4 3 2 2 2 10" xfId="8963"/>
    <cellStyle name="Normal 4 3 2 2 2 11" xfId="17405"/>
    <cellStyle name="Normal 4 3 2 2 2 12" xfId="25845"/>
    <cellStyle name="Normal 4 3 2 2 2 2" xfId="370"/>
    <cellStyle name="Normal 4 3 2 2 2 2 10" xfId="17406"/>
    <cellStyle name="Normal 4 3 2 2 2 2 11" xfId="25846"/>
    <cellStyle name="Normal 4 3 2 2 2 2 2" xfId="371"/>
    <cellStyle name="Normal 4 3 2 2 2 2 2 10" xfId="25847"/>
    <cellStyle name="Normal 4 3 2 2 2 2 2 2" xfId="846"/>
    <cellStyle name="Normal 4 3 2 2 2 2 2 2 2" xfId="3082"/>
    <cellStyle name="Normal 4 3 2 2 2 2 2 2 2 2" xfId="7305"/>
    <cellStyle name="Normal 4 3 2 2 2 2 2 2 2 2 2" xfId="15741"/>
    <cellStyle name="Normal 4 3 2 2 2 2 2 2 2 2 3" xfId="24182"/>
    <cellStyle name="Normal 4 3 2 2 2 2 2 2 2 2 4" xfId="32622"/>
    <cellStyle name="Normal 4 3 2 2 2 2 2 2 2 3" xfId="11523"/>
    <cellStyle name="Normal 4 3 2 2 2 2 2 2 2 4" xfId="19965"/>
    <cellStyle name="Normal 4 3 2 2 2 2 2 2 2 5" xfId="28405"/>
    <cellStyle name="Normal 4 3 2 2 2 2 2 2 3" xfId="5160"/>
    <cellStyle name="Normal 4 3 2 2 2 2 2 2 3 2" xfId="13596"/>
    <cellStyle name="Normal 4 3 2 2 2 2 2 2 3 3" xfId="22037"/>
    <cellStyle name="Normal 4 3 2 2 2 2 2 2 3 4" xfId="30477"/>
    <cellStyle name="Normal 4 3 2 2 2 2 2 2 4" xfId="9378"/>
    <cellStyle name="Normal 4 3 2 2 2 2 2 2 5" xfId="17820"/>
    <cellStyle name="Normal 4 3 2 2 2 2 2 2 6" xfId="26260"/>
    <cellStyle name="Normal 4 3 2 2 2 2 2 3" xfId="1265"/>
    <cellStyle name="Normal 4 3 2 2 2 2 2 3 2" xfId="3495"/>
    <cellStyle name="Normal 4 3 2 2 2 2 2 3 2 2" xfId="7718"/>
    <cellStyle name="Normal 4 3 2 2 2 2 2 3 2 2 2" xfId="16154"/>
    <cellStyle name="Normal 4 3 2 2 2 2 2 3 2 2 3" xfId="24595"/>
    <cellStyle name="Normal 4 3 2 2 2 2 2 3 2 2 4" xfId="33035"/>
    <cellStyle name="Normal 4 3 2 2 2 2 2 3 2 3" xfId="11936"/>
    <cellStyle name="Normal 4 3 2 2 2 2 2 3 2 4" xfId="20378"/>
    <cellStyle name="Normal 4 3 2 2 2 2 2 3 2 5" xfId="28818"/>
    <cellStyle name="Normal 4 3 2 2 2 2 2 3 3" xfId="5573"/>
    <cellStyle name="Normal 4 3 2 2 2 2 2 3 3 2" xfId="14009"/>
    <cellStyle name="Normal 4 3 2 2 2 2 2 3 3 3" xfId="22450"/>
    <cellStyle name="Normal 4 3 2 2 2 2 2 3 3 4" xfId="30890"/>
    <cellStyle name="Normal 4 3 2 2 2 2 2 3 4" xfId="9791"/>
    <cellStyle name="Normal 4 3 2 2 2 2 2 3 5" xfId="18233"/>
    <cellStyle name="Normal 4 3 2 2 2 2 2 3 6" xfId="26673"/>
    <cellStyle name="Normal 4 3 2 2 2 2 2 4" xfId="1678"/>
    <cellStyle name="Normal 4 3 2 2 2 2 2 4 2" xfId="3908"/>
    <cellStyle name="Normal 4 3 2 2 2 2 2 4 2 2" xfId="8131"/>
    <cellStyle name="Normal 4 3 2 2 2 2 2 4 2 2 2" xfId="16567"/>
    <cellStyle name="Normal 4 3 2 2 2 2 2 4 2 2 3" xfId="25008"/>
    <cellStyle name="Normal 4 3 2 2 2 2 2 4 2 2 4" xfId="33448"/>
    <cellStyle name="Normal 4 3 2 2 2 2 2 4 2 3" xfId="12349"/>
    <cellStyle name="Normal 4 3 2 2 2 2 2 4 2 4" xfId="20791"/>
    <cellStyle name="Normal 4 3 2 2 2 2 2 4 2 5" xfId="29231"/>
    <cellStyle name="Normal 4 3 2 2 2 2 2 4 3" xfId="5986"/>
    <cellStyle name="Normal 4 3 2 2 2 2 2 4 3 2" xfId="14422"/>
    <cellStyle name="Normal 4 3 2 2 2 2 2 4 3 3" xfId="22863"/>
    <cellStyle name="Normal 4 3 2 2 2 2 2 4 3 4" xfId="31303"/>
    <cellStyle name="Normal 4 3 2 2 2 2 2 4 4" xfId="10204"/>
    <cellStyle name="Normal 4 3 2 2 2 2 2 4 5" xfId="18646"/>
    <cellStyle name="Normal 4 3 2 2 2 2 2 4 6" xfId="27086"/>
    <cellStyle name="Normal 4 3 2 2 2 2 2 5" xfId="2092"/>
    <cellStyle name="Normal 4 3 2 2 2 2 2 5 2" xfId="4321"/>
    <cellStyle name="Normal 4 3 2 2 2 2 2 5 2 2" xfId="8544"/>
    <cellStyle name="Normal 4 3 2 2 2 2 2 5 2 2 2" xfId="16980"/>
    <cellStyle name="Normal 4 3 2 2 2 2 2 5 2 2 3" xfId="25421"/>
    <cellStyle name="Normal 4 3 2 2 2 2 2 5 2 2 4" xfId="33861"/>
    <cellStyle name="Normal 4 3 2 2 2 2 2 5 2 3" xfId="12762"/>
    <cellStyle name="Normal 4 3 2 2 2 2 2 5 2 4" xfId="21204"/>
    <cellStyle name="Normal 4 3 2 2 2 2 2 5 2 5" xfId="29644"/>
    <cellStyle name="Normal 4 3 2 2 2 2 2 5 3" xfId="6399"/>
    <cellStyle name="Normal 4 3 2 2 2 2 2 5 3 2" xfId="14835"/>
    <cellStyle name="Normal 4 3 2 2 2 2 2 5 3 3" xfId="23276"/>
    <cellStyle name="Normal 4 3 2 2 2 2 2 5 3 4" xfId="31716"/>
    <cellStyle name="Normal 4 3 2 2 2 2 2 5 4" xfId="10617"/>
    <cellStyle name="Normal 4 3 2 2 2 2 2 5 5" xfId="19059"/>
    <cellStyle name="Normal 4 3 2 2 2 2 2 5 6" xfId="27499"/>
    <cellStyle name="Normal 4 3 2 2 2 2 2 6" xfId="2528"/>
    <cellStyle name="Normal 4 3 2 2 2 2 2 6 2" xfId="6812"/>
    <cellStyle name="Normal 4 3 2 2 2 2 2 6 2 2" xfId="15248"/>
    <cellStyle name="Normal 4 3 2 2 2 2 2 6 2 3" xfId="23689"/>
    <cellStyle name="Normal 4 3 2 2 2 2 2 6 2 4" xfId="32129"/>
    <cellStyle name="Normal 4 3 2 2 2 2 2 6 3" xfId="11030"/>
    <cellStyle name="Normal 4 3 2 2 2 2 2 6 4" xfId="19472"/>
    <cellStyle name="Normal 4 3 2 2 2 2 2 6 5" xfId="27912"/>
    <cellStyle name="Normal 4 3 2 2 2 2 2 7" xfId="4747"/>
    <cellStyle name="Normal 4 3 2 2 2 2 2 7 2" xfId="13183"/>
    <cellStyle name="Normal 4 3 2 2 2 2 2 7 3" xfId="21624"/>
    <cellStyle name="Normal 4 3 2 2 2 2 2 7 4" xfId="30064"/>
    <cellStyle name="Normal 4 3 2 2 2 2 2 8" xfId="8965"/>
    <cellStyle name="Normal 4 3 2 2 2 2 2 9" xfId="17407"/>
    <cellStyle name="Normal 4 3 2 2 2 2 3" xfId="845"/>
    <cellStyle name="Normal 4 3 2 2 2 2 3 2" xfId="3081"/>
    <cellStyle name="Normal 4 3 2 2 2 2 3 2 2" xfId="7304"/>
    <cellStyle name="Normal 4 3 2 2 2 2 3 2 2 2" xfId="15740"/>
    <cellStyle name="Normal 4 3 2 2 2 2 3 2 2 3" xfId="24181"/>
    <cellStyle name="Normal 4 3 2 2 2 2 3 2 2 4" xfId="32621"/>
    <cellStyle name="Normal 4 3 2 2 2 2 3 2 3" xfId="11522"/>
    <cellStyle name="Normal 4 3 2 2 2 2 3 2 4" xfId="19964"/>
    <cellStyle name="Normal 4 3 2 2 2 2 3 2 5" xfId="28404"/>
    <cellStyle name="Normal 4 3 2 2 2 2 3 3" xfId="5159"/>
    <cellStyle name="Normal 4 3 2 2 2 2 3 3 2" xfId="13595"/>
    <cellStyle name="Normal 4 3 2 2 2 2 3 3 3" xfId="22036"/>
    <cellStyle name="Normal 4 3 2 2 2 2 3 3 4" xfId="30476"/>
    <cellStyle name="Normal 4 3 2 2 2 2 3 4" xfId="9377"/>
    <cellStyle name="Normal 4 3 2 2 2 2 3 5" xfId="17819"/>
    <cellStyle name="Normal 4 3 2 2 2 2 3 6" xfId="26259"/>
    <cellStyle name="Normal 4 3 2 2 2 2 4" xfId="1264"/>
    <cellStyle name="Normal 4 3 2 2 2 2 4 2" xfId="3494"/>
    <cellStyle name="Normal 4 3 2 2 2 2 4 2 2" xfId="7717"/>
    <cellStyle name="Normal 4 3 2 2 2 2 4 2 2 2" xfId="16153"/>
    <cellStyle name="Normal 4 3 2 2 2 2 4 2 2 3" xfId="24594"/>
    <cellStyle name="Normal 4 3 2 2 2 2 4 2 2 4" xfId="33034"/>
    <cellStyle name="Normal 4 3 2 2 2 2 4 2 3" xfId="11935"/>
    <cellStyle name="Normal 4 3 2 2 2 2 4 2 4" xfId="20377"/>
    <cellStyle name="Normal 4 3 2 2 2 2 4 2 5" xfId="28817"/>
    <cellStyle name="Normal 4 3 2 2 2 2 4 3" xfId="5572"/>
    <cellStyle name="Normal 4 3 2 2 2 2 4 3 2" xfId="14008"/>
    <cellStyle name="Normal 4 3 2 2 2 2 4 3 3" xfId="22449"/>
    <cellStyle name="Normal 4 3 2 2 2 2 4 3 4" xfId="30889"/>
    <cellStyle name="Normal 4 3 2 2 2 2 4 4" xfId="9790"/>
    <cellStyle name="Normal 4 3 2 2 2 2 4 5" xfId="18232"/>
    <cellStyle name="Normal 4 3 2 2 2 2 4 6" xfId="26672"/>
    <cellStyle name="Normal 4 3 2 2 2 2 5" xfId="1677"/>
    <cellStyle name="Normal 4 3 2 2 2 2 5 2" xfId="3907"/>
    <cellStyle name="Normal 4 3 2 2 2 2 5 2 2" xfId="8130"/>
    <cellStyle name="Normal 4 3 2 2 2 2 5 2 2 2" xfId="16566"/>
    <cellStyle name="Normal 4 3 2 2 2 2 5 2 2 3" xfId="25007"/>
    <cellStyle name="Normal 4 3 2 2 2 2 5 2 2 4" xfId="33447"/>
    <cellStyle name="Normal 4 3 2 2 2 2 5 2 3" xfId="12348"/>
    <cellStyle name="Normal 4 3 2 2 2 2 5 2 4" xfId="20790"/>
    <cellStyle name="Normal 4 3 2 2 2 2 5 2 5" xfId="29230"/>
    <cellStyle name="Normal 4 3 2 2 2 2 5 3" xfId="5985"/>
    <cellStyle name="Normal 4 3 2 2 2 2 5 3 2" xfId="14421"/>
    <cellStyle name="Normal 4 3 2 2 2 2 5 3 3" xfId="22862"/>
    <cellStyle name="Normal 4 3 2 2 2 2 5 3 4" xfId="31302"/>
    <cellStyle name="Normal 4 3 2 2 2 2 5 4" xfId="10203"/>
    <cellStyle name="Normal 4 3 2 2 2 2 5 5" xfId="18645"/>
    <cellStyle name="Normal 4 3 2 2 2 2 5 6" xfId="27085"/>
    <cellStyle name="Normal 4 3 2 2 2 2 6" xfId="2091"/>
    <cellStyle name="Normal 4 3 2 2 2 2 6 2" xfId="4320"/>
    <cellStyle name="Normal 4 3 2 2 2 2 6 2 2" xfId="8543"/>
    <cellStyle name="Normal 4 3 2 2 2 2 6 2 2 2" xfId="16979"/>
    <cellStyle name="Normal 4 3 2 2 2 2 6 2 2 3" xfId="25420"/>
    <cellStyle name="Normal 4 3 2 2 2 2 6 2 2 4" xfId="33860"/>
    <cellStyle name="Normal 4 3 2 2 2 2 6 2 3" xfId="12761"/>
    <cellStyle name="Normal 4 3 2 2 2 2 6 2 4" xfId="21203"/>
    <cellStyle name="Normal 4 3 2 2 2 2 6 2 5" xfId="29643"/>
    <cellStyle name="Normal 4 3 2 2 2 2 6 3" xfId="6398"/>
    <cellStyle name="Normal 4 3 2 2 2 2 6 3 2" xfId="14834"/>
    <cellStyle name="Normal 4 3 2 2 2 2 6 3 3" xfId="23275"/>
    <cellStyle name="Normal 4 3 2 2 2 2 6 3 4" xfId="31715"/>
    <cellStyle name="Normal 4 3 2 2 2 2 6 4" xfId="10616"/>
    <cellStyle name="Normal 4 3 2 2 2 2 6 5" xfId="19058"/>
    <cellStyle name="Normal 4 3 2 2 2 2 6 6" xfId="27498"/>
    <cellStyle name="Normal 4 3 2 2 2 2 7" xfId="2527"/>
    <cellStyle name="Normal 4 3 2 2 2 2 7 2" xfId="6811"/>
    <cellStyle name="Normal 4 3 2 2 2 2 7 2 2" xfId="15247"/>
    <cellStyle name="Normal 4 3 2 2 2 2 7 2 3" xfId="23688"/>
    <cellStyle name="Normal 4 3 2 2 2 2 7 2 4" xfId="32128"/>
    <cellStyle name="Normal 4 3 2 2 2 2 7 3" xfId="11029"/>
    <cellStyle name="Normal 4 3 2 2 2 2 7 4" xfId="19471"/>
    <cellStyle name="Normal 4 3 2 2 2 2 7 5" xfId="27911"/>
    <cellStyle name="Normal 4 3 2 2 2 2 8" xfId="4746"/>
    <cellStyle name="Normal 4 3 2 2 2 2 8 2" xfId="13182"/>
    <cellStyle name="Normal 4 3 2 2 2 2 8 3" xfId="21623"/>
    <cellStyle name="Normal 4 3 2 2 2 2 8 4" xfId="30063"/>
    <cellStyle name="Normal 4 3 2 2 2 2 9" xfId="8964"/>
    <cellStyle name="Normal 4 3 2 2 2 3" xfId="372"/>
    <cellStyle name="Normal 4 3 2 2 2 3 10" xfId="25848"/>
    <cellStyle name="Normal 4 3 2 2 2 3 2" xfId="847"/>
    <cellStyle name="Normal 4 3 2 2 2 3 2 2" xfId="3083"/>
    <cellStyle name="Normal 4 3 2 2 2 3 2 2 2" xfId="7306"/>
    <cellStyle name="Normal 4 3 2 2 2 3 2 2 2 2" xfId="15742"/>
    <cellStyle name="Normal 4 3 2 2 2 3 2 2 2 3" xfId="24183"/>
    <cellStyle name="Normal 4 3 2 2 2 3 2 2 2 4" xfId="32623"/>
    <cellStyle name="Normal 4 3 2 2 2 3 2 2 3" xfId="11524"/>
    <cellStyle name="Normal 4 3 2 2 2 3 2 2 4" xfId="19966"/>
    <cellStyle name="Normal 4 3 2 2 2 3 2 2 5" xfId="28406"/>
    <cellStyle name="Normal 4 3 2 2 2 3 2 3" xfId="5161"/>
    <cellStyle name="Normal 4 3 2 2 2 3 2 3 2" xfId="13597"/>
    <cellStyle name="Normal 4 3 2 2 2 3 2 3 3" xfId="22038"/>
    <cellStyle name="Normal 4 3 2 2 2 3 2 3 4" xfId="30478"/>
    <cellStyle name="Normal 4 3 2 2 2 3 2 4" xfId="9379"/>
    <cellStyle name="Normal 4 3 2 2 2 3 2 5" xfId="17821"/>
    <cellStyle name="Normal 4 3 2 2 2 3 2 6" xfId="26261"/>
    <cellStyle name="Normal 4 3 2 2 2 3 3" xfId="1266"/>
    <cellStyle name="Normal 4 3 2 2 2 3 3 2" xfId="3496"/>
    <cellStyle name="Normal 4 3 2 2 2 3 3 2 2" xfId="7719"/>
    <cellStyle name="Normal 4 3 2 2 2 3 3 2 2 2" xfId="16155"/>
    <cellStyle name="Normal 4 3 2 2 2 3 3 2 2 3" xfId="24596"/>
    <cellStyle name="Normal 4 3 2 2 2 3 3 2 2 4" xfId="33036"/>
    <cellStyle name="Normal 4 3 2 2 2 3 3 2 3" xfId="11937"/>
    <cellStyle name="Normal 4 3 2 2 2 3 3 2 4" xfId="20379"/>
    <cellStyle name="Normal 4 3 2 2 2 3 3 2 5" xfId="28819"/>
    <cellStyle name="Normal 4 3 2 2 2 3 3 3" xfId="5574"/>
    <cellStyle name="Normal 4 3 2 2 2 3 3 3 2" xfId="14010"/>
    <cellStyle name="Normal 4 3 2 2 2 3 3 3 3" xfId="22451"/>
    <cellStyle name="Normal 4 3 2 2 2 3 3 3 4" xfId="30891"/>
    <cellStyle name="Normal 4 3 2 2 2 3 3 4" xfId="9792"/>
    <cellStyle name="Normal 4 3 2 2 2 3 3 5" xfId="18234"/>
    <cellStyle name="Normal 4 3 2 2 2 3 3 6" xfId="26674"/>
    <cellStyle name="Normal 4 3 2 2 2 3 4" xfId="1679"/>
    <cellStyle name="Normal 4 3 2 2 2 3 4 2" xfId="3909"/>
    <cellStyle name="Normal 4 3 2 2 2 3 4 2 2" xfId="8132"/>
    <cellStyle name="Normal 4 3 2 2 2 3 4 2 2 2" xfId="16568"/>
    <cellStyle name="Normal 4 3 2 2 2 3 4 2 2 3" xfId="25009"/>
    <cellStyle name="Normal 4 3 2 2 2 3 4 2 2 4" xfId="33449"/>
    <cellStyle name="Normal 4 3 2 2 2 3 4 2 3" xfId="12350"/>
    <cellStyle name="Normal 4 3 2 2 2 3 4 2 4" xfId="20792"/>
    <cellStyle name="Normal 4 3 2 2 2 3 4 2 5" xfId="29232"/>
    <cellStyle name="Normal 4 3 2 2 2 3 4 3" xfId="5987"/>
    <cellStyle name="Normal 4 3 2 2 2 3 4 3 2" xfId="14423"/>
    <cellStyle name="Normal 4 3 2 2 2 3 4 3 3" xfId="22864"/>
    <cellStyle name="Normal 4 3 2 2 2 3 4 3 4" xfId="31304"/>
    <cellStyle name="Normal 4 3 2 2 2 3 4 4" xfId="10205"/>
    <cellStyle name="Normal 4 3 2 2 2 3 4 5" xfId="18647"/>
    <cellStyle name="Normal 4 3 2 2 2 3 4 6" xfId="27087"/>
    <cellStyle name="Normal 4 3 2 2 2 3 5" xfId="2093"/>
    <cellStyle name="Normal 4 3 2 2 2 3 5 2" xfId="4322"/>
    <cellStyle name="Normal 4 3 2 2 2 3 5 2 2" xfId="8545"/>
    <cellStyle name="Normal 4 3 2 2 2 3 5 2 2 2" xfId="16981"/>
    <cellStyle name="Normal 4 3 2 2 2 3 5 2 2 3" xfId="25422"/>
    <cellStyle name="Normal 4 3 2 2 2 3 5 2 2 4" xfId="33862"/>
    <cellStyle name="Normal 4 3 2 2 2 3 5 2 3" xfId="12763"/>
    <cellStyle name="Normal 4 3 2 2 2 3 5 2 4" xfId="21205"/>
    <cellStyle name="Normal 4 3 2 2 2 3 5 2 5" xfId="29645"/>
    <cellStyle name="Normal 4 3 2 2 2 3 5 3" xfId="6400"/>
    <cellStyle name="Normal 4 3 2 2 2 3 5 3 2" xfId="14836"/>
    <cellStyle name="Normal 4 3 2 2 2 3 5 3 3" xfId="23277"/>
    <cellStyle name="Normal 4 3 2 2 2 3 5 3 4" xfId="31717"/>
    <cellStyle name="Normal 4 3 2 2 2 3 5 4" xfId="10618"/>
    <cellStyle name="Normal 4 3 2 2 2 3 5 5" xfId="19060"/>
    <cellStyle name="Normal 4 3 2 2 2 3 5 6" xfId="27500"/>
    <cellStyle name="Normal 4 3 2 2 2 3 6" xfId="2529"/>
    <cellStyle name="Normal 4 3 2 2 2 3 6 2" xfId="6813"/>
    <cellStyle name="Normal 4 3 2 2 2 3 6 2 2" xfId="15249"/>
    <cellStyle name="Normal 4 3 2 2 2 3 6 2 3" xfId="23690"/>
    <cellStyle name="Normal 4 3 2 2 2 3 6 2 4" xfId="32130"/>
    <cellStyle name="Normal 4 3 2 2 2 3 6 3" xfId="11031"/>
    <cellStyle name="Normal 4 3 2 2 2 3 6 4" xfId="19473"/>
    <cellStyle name="Normal 4 3 2 2 2 3 6 5" xfId="27913"/>
    <cellStyle name="Normal 4 3 2 2 2 3 7" xfId="4748"/>
    <cellStyle name="Normal 4 3 2 2 2 3 7 2" xfId="13184"/>
    <cellStyle name="Normal 4 3 2 2 2 3 7 3" xfId="21625"/>
    <cellStyle name="Normal 4 3 2 2 2 3 7 4" xfId="30065"/>
    <cellStyle name="Normal 4 3 2 2 2 3 8" xfId="8966"/>
    <cellStyle name="Normal 4 3 2 2 2 3 9" xfId="17408"/>
    <cellStyle name="Normal 4 3 2 2 2 4" xfId="844"/>
    <cellStyle name="Normal 4 3 2 2 2 4 2" xfId="3080"/>
    <cellStyle name="Normal 4 3 2 2 2 4 2 2" xfId="7303"/>
    <cellStyle name="Normal 4 3 2 2 2 4 2 2 2" xfId="15739"/>
    <cellStyle name="Normal 4 3 2 2 2 4 2 2 3" xfId="24180"/>
    <cellStyle name="Normal 4 3 2 2 2 4 2 2 4" xfId="32620"/>
    <cellStyle name="Normal 4 3 2 2 2 4 2 3" xfId="11521"/>
    <cellStyle name="Normal 4 3 2 2 2 4 2 4" xfId="19963"/>
    <cellStyle name="Normal 4 3 2 2 2 4 2 5" xfId="28403"/>
    <cellStyle name="Normal 4 3 2 2 2 4 3" xfId="5158"/>
    <cellStyle name="Normal 4 3 2 2 2 4 3 2" xfId="13594"/>
    <cellStyle name="Normal 4 3 2 2 2 4 3 3" xfId="22035"/>
    <cellStyle name="Normal 4 3 2 2 2 4 3 4" xfId="30475"/>
    <cellStyle name="Normal 4 3 2 2 2 4 4" xfId="9376"/>
    <cellStyle name="Normal 4 3 2 2 2 4 5" xfId="17818"/>
    <cellStyle name="Normal 4 3 2 2 2 4 6" xfId="26258"/>
    <cellStyle name="Normal 4 3 2 2 2 5" xfId="1263"/>
    <cellStyle name="Normal 4 3 2 2 2 5 2" xfId="3493"/>
    <cellStyle name="Normal 4 3 2 2 2 5 2 2" xfId="7716"/>
    <cellStyle name="Normal 4 3 2 2 2 5 2 2 2" xfId="16152"/>
    <cellStyle name="Normal 4 3 2 2 2 5 2 2 3" xfId="24593"/>
    <cellStyle name="Normal 4 3 2 2 2 5 2 2 4" xfId="33033"/>
    <cellStyle name="Normal 4 3 2 2 2 5 2 3" xfId="11934"/>
    <cellStyle name="Normal 4 3 2 2 2 5 2 4" xfId="20376"/>
    <cellStyle name="Normal 4 3 2 2 2 5 2 5" xfId="28816"/>
    <cellStyle name="Normal 4 3 2 2 2 5 3" xfId="5571"/>
    <cellStyle name="Normal 4 3 2 2 2 5 3 2" xfId="14007"/>
    <cellStyle name="Normal 4 3 2 2 2 5 3 3" xfId="22448"/>
    <cellStyle name="Normal 4 3 2 2 2 5 3 4" xfId="30888"/>
    <cellStyle name="Normal 4 3 2 2 2 5 4" xfId="9789"/>
    <cellStyle name="Normal 4 3 2 2 2 5 5" xfId="18231"/>
    <cellStyle name="Normal 4 3 2 2 2 5 6" xfId="26671"/>
    <cellStyle name="Normal 4 3 2 2 2 6" xfId="1676"/>
    <cellStyle name="Normal 4 3 2 2 2 6 2" xfId="3906"/>
    <cellStyle name="Normal 4 3 2 2 2 6 2 2" xfId="8129"/>
    <cellStyle name="Normal 4 3 2 2 2 6 2 2 2" xfId="16565"/>
    <cellStyle name="Normal 4 3 2 2 2 6 2 2 3" xfId="25006"/>
    <cellStyle name="Normal 4 3 2 2 2 6 2 2 4" xfId="33446"/>
    <cellStyle name="Normal 4 3 2 2 2 6 2 3" xfId="12347"/>
    <cellStyle name="Normal 4 3 2 2 2 6 2 4" xfId="20789"/>
    <cellStyle name="Normal 4 3 2 2 2 6 2 5" xfId="29229"/>
    <cellStyle name="Normal 4 3 2 2 2 6 3" xfId="5984"/>
    <cellStyle name="Normal 4 3 2 2 2 6 3 2" xfId="14420"/>
    <cellStyle name="Normal 4 3 2 2 2 6 3 3" xfId="22861"/>
    <cellStyle name="Normal 4 3 2 2 2 6 3 4" xfId="31301"/>
    <cellStyle name="Normal 4 3 2 2 2 6 4" xfId="10202"/>
    <cellStyle name="Normal 4 3 2 2 2 6 5" xfId="18644"/>
    <cellStyle name="Normal 4 3 2 2 2 6 6" xfId="27084"/>
    <cellStyle name="Normal 4 3 2 2 2 7" xfId="2090"/>
    <cellStyle name="Normal 4 3 2 2 2 7 2" xfId="4319"/>
    <cellStyle name="Normal 4 3 2 2 2 7 2 2" xfId="8542"/>
    <cellStyle name="Normal 4 3 2 2 2 7 2 2 2" xfId="16978"/>
    <cellStyle name="Normal 4 3 2 2 2 7 2 2 3" xfId="25419"/>
    <cellStyle name="Normal 4 3 2 2 2 7 2 2 4" xfId="33859"/>
    <cellStyle name="Normal 4 3 2 2 2 7 2 3" xfId="12760"/>
    <cellStyle name="Normal 4 3 2 2 2 7 2 4" xfId="21202"/>
    <cellStyle name="Normal 4 3 2 2 2 7 2 5" xfId="29642"/>
    <cellStyle name="Normal 4 3 2 2 2 7 3" xfId="6397"/>
    <cellStyle name="Normal 4 3 2 2 2 7 3 2" xfId="14833"/>
    <cellStyle name="Normal 4 3 2 2 2 7 3 3" xfId="23274"/>
    <cellStyle name="Normal 4 3 2 2 2 7 3 4" xfId="31714"/>
    <cellStyle name="Normal 4 3 2 2 2 7 4" xfId="10615"/>
    <cellStyle name="Normal 4 3 2 2 2 7 5" xfId="19057"/>
    <cellStyle name="Normal 4 3 2 2 2 7 6" xfId="27497"/>
    <cellStyle name="Normal 4 3 2 2 2 8" xfId="2526"/>
    <cellStyle name="Normal 4 3 2 2 2 8 2" xfId="6810"/>
    <cellStyle name="Normal 4 3 2 2 2 8 2 2" xfId="15246"/>
    <cellStyle name="Normal 4 3 2 2 2 8 2 3" xfId="23687"/>
    <cellStyle name="Normal 4 3 2 2 2 8 2 4" xfId="32127"/>
    <cellStyle name="Normal 4 3 2 2 2 8 3" xfId="11028"/>
    <cellStyle name="Normal 4 3 2 2 2 8 4" xfId="19470"/>
    <cellStyle name="Normal 4 3 2 2 2 8 5" xfId="27910"/>
    <cellStyle name="Normal 4 3 2 2 2 9" xfId="4745"/>
    <cellStyle name="Normal 4 3 2 2 2 9 2" xfId="13181"/>
    <cellStyle name="Normal 4 3 2 2 2 9 3" xfId="21622"/>
    <cellStyle name="Normal 4 3 2 2 2 9 4" xfId="30062"/>
    <cellStyle name="Normal 4 3 2 3" xfId="373"/>
    <cellStyle name="Normal 4 3 2 3 2" xfId="848"/>
    <cellStyle name="Normal 4 3 2 4" xfId="843"/>
    <cellStyle name="Normal 4 3 3" xfId="374"/>
    <cellStyle name="Normal 4 3 3 10" xfId="8967"/>
    <cellStyle name="Normal 4 3 3 11" xfId="17409"/>
    <cellStyle name="Normal 4 3 3 12" xfId="25849"/>
    <cellStyle name="Normal 4 3 3 2" xfId="375"/>
    <cellStyle name="Normal 4 3 3 2 10" xfId="17410"/>
    <cellStyle name="Normal 4 3 3 2 11" xfId="25850"/>
    <cellStyle name="Normal 4 3 3 2 2" xfId="376"/>
    <cellStyle name="Normal 4 3 3 2 2 10" xfId="25851"/>
    <cellStyle name="Normal 4 3 3 2 2 2" xfId="851"/>
    <cellStyle name="Normal 4 3 3 2 2 2 2" xfId="3086"/>
    <cellStyle name="Normal 4 3 3 2 2 2 2 2" xfId="7309"/>
    <cellStyle name="Normal 4 3 3 2 2 2 2 2 2" xfId="15745"/>
    <cellStyle name="Normal 4 3 3 2 2 2 2 2 3" xfId="24186"/>
    <cellStyle name="Normal 4 3 3 2 2 2 2 2 4" xfId="32626"/>
    <cellStyle name="Normal 4 3 3 2 2 2 2 3" xfId="11527"/>
    <cellStyle name="Normal 4 3 3 2 2 2 2 4" xfId="19969"/>
    <cellStyle name="Normal 4 3 3 2 2 2 2 5" xfId="28409"/>
    <cellStyle name="Normal 4 3 3 2 2 2 3" xfId="5164"/>
    <cellStyle name="Normal 4 3 3 2 2 2 3 2" xfId="13600"/>
    <cellStyle name="Normal 4 3 3 2 2 2 3 3" xfId="22041"/>
    <cellStyle name="Normal 4 3 3 2 2 2 3 4" xfId="30481"/>
    <cellStyle name="Normal 4 3 3 2 2 2 4" xfId="9382"/>
    <cellStyle name="Normal 4 3 3 2 2 2 5" xfId="17824"/>
    <cellStyle name="Normal 4 3 3 2 2 2 6" xfId="26264"/>
    <cellStyle name="Normal 4 3 3 2 2 3" xfId="1269"/>
    <cellStyle name="Normal 4 3 3 2 2 3 2" xfId="3499"/>
    <cellStyle name="Normal 4 3 3 2 2 3 2 2" xfId="7722"/>
    <cellStyle name="Normal 4 3 3 2 2 3 2 2 2" xfId="16158"/>
    <cellStyle name="Normal 4 3 3 2 2 3 2 2 3" xfId="24599"/>
    <cellStyle name="Normal 4 3 3 2 2 3 2 2 4" xfId="33039"/>
    <cellStyle name="Normal 4 3 3 2 2 3 2 3" xfId="11940"/>
    <cellStyle name="Normal 4 3 3 2 2 3 2 4" xfId="20382"/>
    <cellStyle name="Normal 4 3 3 2 2 3 2 5" xfId="28822"/>
    <cellStyle name="Normal 4 3 3 2 2 3 3" xfId="5577"/>
    <cellStyle name="Normal 4 3 3 2 2 3 3 2" xfId="14013"/>
    <cellStyle name="Normal 4 3 3 2 2 3 3 3" xfId="22454"/>
    <cellStyle name="Normal 4 3 3 2 2 3 3 4" xfId="30894"/>
    <cellStyle name="Normal 4 3 3 2 2 3 4" xfId="9795"/>
    <cellStyle name="Normal 4 3 3 2 2 3 5" xfId="18237"/>
    <cellStyle name="Normal 4 3 3 2 2 3 6" xfId="26677"/>
    <cellStyle name="Normal 4 3 3 2 2 4" xfId="1682"/>
    <cellStyle name="Normal 4 3 3 2 2 4 2" xfId="3912"/>
    <cellStyle name="Normal 4 3 3 2 2 4 2 2" xfId="8135"/>
    <cellStyle name="Normal 4 3 3 2 2 4 2 2 2" xfId="16571"/>
    <cellStyle name="Normal 4 3 3 2 2 4 2 2 3" xfId="25012"/>
    <cellStyle name="Normal 4 3 3 2 2 4 2 2 4" xfId="33452"/>
    <cellStyle name="Normal 4 3 3 2 2 4 2 3" xfId="12353"/>
    <cellStyle name="Normal 4 3 3 2 2 4 2 4" xfId="20795"/>
    <cellStyle name="Normal 4 3 3 2 2 4 2 5" xfId="29235"/>
    <cellStyle name="Normal 4 3 3 2 2 4 3" xfId="5990"/>
    <cellStyle name="Normal 4 3 3 2 2 4 3 2" xfId="14426"/>
    <cellStyle name="Normal 4 3 3 2 2 4 3 3" xfId="22867"/>
    <cellStyle name="Normal 4 3 3 2 2 4 3 4" xfId="31307"/>
    <cellStyle name="Normal 4 3 3 2 2 4 4" xfId="10208"/>
    <cellStyle name="Normal 4 3 3 2 2 4 5" xfId="18650"/>
    <cellStyle name="Normal 4 3 3 2 2 4 6" xfId="27090"/>
    <cellStyle name="Normal 4 3 3 2 2 5" xfId="2096"/>
    <cellStyle name="Normal 4 3 3 2 2 5 2" xfId="4325"/>
    <cellStyle name="Normal 4 3 3 2 2 5 2 2" xfId="8548"/>
    <cellStyle name="Normal 4 3 3 2 2 5 2 2 2" xfId="16984"/>
    <cellStyle name="Normal 4 3 3 2 2 5 2 2 3" xfId="25425"/>
    <cellStyle name="Normal 4 3 3 2 2 5 2 2 4" xfId="33865"/>
    <cellStyle name="Normal 4 3 3 2 2 5 2 3" xfId="12766"/>
    <cellStyle name="Normal 4 3 3 2 2 5 2 4" xfId="21208"/>
    <cellStyle name="Normal 4 3 3 2 2 5 2 5" xfId="29648"/>
    <cellStyle name="Normal 4 3 3 2 2 5 3" xfId="6403"/>
    <cellStyle name="Normal 4 3 3 2 2 5 3 2" xfId="14839"/>
    <cellStyle name="Normal 4 3 3 2 2 5 3 3" xfId="23280"/>
    <cellStyle name="Normal 4 3 3 2 2 5 3 4" xfId="31720"/>
    <cellStyle name="Normal 4 3 3 2 2 5 4" xfId="10621"/>
    <cellStyle name="Normal 4 3 3 2 2 5 5" xfId="19063"/>
    <cellStyle name="Normal 4 3 3 2 2 5 6" xfId="27503"/>
    <cellStyle name="Normal 4 3 3 2 2 6" xfId="2532"/>
    <cellStyle name="Normal 4 3 3 2 2 6 2" xfId="6816"/>
    <cellStyle name="Normal 4 3 3 2 2 6 2 2" xfId="15252"/>
    <cellStyle name="Normal 4 3 3 2 2 6 2 3" xfId="23693"/>
    <cellStyle name="Normal 4 3 3 2 2 6 2 4" xfId="32133"/>
    <cellStyle name="Normal 4 3 3 2 2 6 3" xfId="11034"/>
    <cellStyle name="Normal 4 3 3 2 2 6 4" xfId="19476"/>
    <cellStyle name="Normal 4 3 3 2 2 6 5" xfId="27916"/>
    <cellStyle name="Normal 4 3 3 2 2 7" xfId="4751"/>
    <cellStyle name="Normal 4 3 3 2 2 7 2" xfId="13187"/>
    <cellStyle name="Normal 4 3 3 2 2 7 3" xfId="21628"/>
    <cellStyle name="Normal 4 3 3 2 2 7 4" xfId="30068"/>
    <cellStyle name="Normal 4 3 3 2 2 8" xfId="8969"/>
    <cellStyle name="Normal 4 3 3 2 2 9" xfId="17411"/>
    <cellStyle name="Normal 4 3 3 2 3" xfId="850"/>
    <cellStyle name="Normal 4 3 3 2 3 2" xfId="3085"/>
    <cellStyle name="Normal 4 3 3 2 3 2 2" xfId="7308"/>
    <cellStyle name="Normal 4 3 3 2 3 2 2 2" xfId="15744"/>
    <cellStyle name="Normal 4 3 3 2 3 2 2 3" xfId="24185"/>
    <cellStyle name="Normal 4 3 3 2 3 2 2 4" xfId="32625"/>
    <cellStyle name="Normal 4 3 3 2 3 2 3" xfId="11526"/>
    <cellStyle name="Normal 4 3 3 2 3 2 4" xfId="19968"/>
    <cellStyle name="Normal 4 3 3 2 3 2 5" xfId="28408"/>
    <cellStyle name="Normal 4 3 3 2 3 3" xfId="5163"/>
    <cellStyle name="Normal 4 3 3 2 3 3 2" xfId="13599"/>
    <cellStyle name="Normal 4 3 3 2 3 3 3" xfId="22040"/>
    <cellStyle name="Normal 4 3 3 2 3 3 4" xfId="30480"/>
    <cellStyle name="Normal 4 3 3 2 3 4" xfId="9381"/>
    <cellStyle name="Normal 4 3 3 2 3 5" xfId="17823"/>
    <cellStyle name="Normal 4 3 3 2 3 6" xfId="26263"/>
    <cellStyle name="Normal 4 3 3 2 4" xfId="1268"/>
    <cellStyle name="Normal 4 3 3 2 4 2" xfId="3498"/>
    <cellStyle name="Normal 4 3 3 2 4 2 2" xfId="7721"/>
    <cellStyle name="Normal 4 3 3 2 4 2 2 2" xfId="16157"/>
    <cellStyle name="Normal 4 3 3 2 4 2 2 3" xfId="24598"/>
    <cellStyle name="Normal 4 3 3 2 4 2 2 4" xfId="33038"/>
    <cellStyle name="Normal 4 3 3 2 4 2 3" xfId="11939"/>
    <cellStyle name="Normal 4 3 3 2 4 2 4" xfId="20381"/>
    <cellStyle name="Normal 4 3 3 2 4 2 5" xfId="28821"/>
    <cellStyle name="Normal 4 3 3 2 4 3" xfId="5576"/>
    <cellStyle name="Normal 4 3 3 2 4 3 2" xfId="14012"/>
    <cellStyle name="Normal 4 3 3 2 4 3 3" xfId="22453"/>
    <cellStyle name="Normal 4 3 3 2 4 3 4" xfId="30893"/>
    <cellStyle name="Normal 4 3 3 2 4 4" xfId="9794"/>
    <cellStyle name="Normal 4 3 3 2 4 5" xfId="18236"/>
    <cellStyle name="Normal 4 3 3 2 4 6" xfId="26676"/>
    <cellStyle name="Normal 4 3 3 2 5" xfId="1681"/>
    <cellStyle name="Normal 4 3 3 2 5 2" xfId="3911"/>
    <cellStyle name="Normal 4 3 3 2 5 2 2" xfId="8134"/>
    <cellStyle name="Normal 4 3 3 2 5 2 2 2" xfId="16570"/>
    <cellStyle name="Normal 4 3 3 2 5 2 2 3" xfId="25011"/>
    <cellStyle name="Normal 4 3 3 2 5 2 2 4" xfId="33451"/>
    <cellStyle name="Normal 4 3 3 2 5 2 3" xfId="12352"/>
    <cellStyle name="Normal 4 3 3 2 5 2 4" xfId="20794"/>
    <cellStyle name="Normal 4 3 3 2 5 2 5" xfId="29234"/>
    <cellStyle name="Normal 4 3 3 2 5 3" xfId="5989"/>
    <cellStyle name="Normal 4 3 3 2 5 3 2" xfId="14425"/>
    <cellStyle name="Normal 4 3 3 2 5 3 3" xfId="22866"/>
    <cellStyle name="Normal 4 3 3 2 5 3 4" xfId="31306"/>
    <cellStyle name="Normal 4 3 3 2 5 4" xfId="10207"/>
    <cellStyle name="Normal 4 3 3 2 5 5" xfId="18649"/>
    <cellStyle name="Normal 4 3 3 2 5 6" xfId="27089"/>
    <cellStyle name="Normal 4 3 3 2 6" xfId="2095"/>
    <cellStyle name="Normal 4 3 3 2 6 2" xfId="4324"/>
    <cellStyle name="Normal 4 3 3 2 6 2 2" xfId="8547"/>
    <cellStyle name="Normal 4 3 3 2 6 2 2 2" xfId="16983"/>
    <cellStyle name="Normal 4 3 3 2 6 2 2 3" xfId="25424"/>
    <cellStyle name="Normal 4 3 3 2 6 2 2 4" xfId="33864"/>
    <cellStyle name="Normal 4 3 3 2 6 2 3" xfId="12765"/>
    <cellStyle name="Normal 4 3 3 2 6 2 4" xfId="21207"/>
    <cellStyle name="Normal 4 3 3 2 6 2 5" xfId="29647"/>
    <cellStyle name="Normal 4 3 3 2 6 3" xfId="6402"/>
    <cellStyle name="Normal 4 3 3 2 6 3 2" xfId="14838"/>
    <cellStyle name="Normal 4 3 3 2 6 3 3" xfId="23279"/>
    <cellStyle name="Normal 4 3 3 2 6 3 4" xfId="31719"/>
    <cellStyle name="Normal 4 3 3 2 6 4" xfId="10620"/>
    <cellStyle name="Normal 4 3 3 2 6 5" xfId="19062"/>
    <cellStyle name="Normal 4 3 3 2 6 6" xfId="27502"/>
    <cellStyle name="Normal 4 3 3 2 7" xfId="2531"/>
    <cellStyle name="Normal 4 3 3 2 7 2" xfId="6815"/>
    <cellStyle name="Normal 4 3 3 2 7 2 2" xfId="15251"/>
    <cellStyle name="Normal 4 3 3 2 7 2 3" xfId="23692"/>
    <cellStyle name="Normal 4 3 3 2 7 2 4" xfId="32132"/>
    <cellStyle name="Normal 4 3 3 2 7 3" xfId="11033"/>
    <cellStyle name="Normal 4 3 3 2 7 4" xfId="19475"/>
    <cellStyle name="Normal 4 3 3 2 7 5" xfId="27915"/>
    <cellStyle name="Normal 4 3 3 2 8" xfId="4750"/>
    <cellStyle name="Normal 4 3 3 2 8 2" xfId="13186"/>
    <cellStyle name="Normal 4 3 3 2 8 3" xfId="21627"/>
    <cellStyle name="Normal 4 3 3 2 8 4" xfId="30067"/>
    <cellStyle name="Normal 4 3 3 2 9" xfId="8968"/>
    <cellStyle name="Normal 4 3 3 3" xfId="377"/>
    <cellStyle name="Normal 4 3 3 3 10" xfId="25852"/>
    <cellStyle name="Normal 4 3 3 3 2" xfId="852"/>
    <cellStyle name="Normal 4 3 3 3 2 2" xfId="3087"/>
    <cellStyle name="Normal 4 3 3 3 2 2 2" xfId="7310"/>
    <cellStyle name="Normal 4 3 3 3 2 2 2 2" xfId="15746"/>
    <cellStyle name="Normal 4 3 3 3 2 2 2 3" xfId="24187"/>
    <cellStyle name="Normal 4 3 3 3 2 2 2 4" xfId="32627"/>
    <cellStyle name="Normal 4 3 3 3 2 2 3" xfId="11528"/>
    <cellStyle name="Normal 4 3 3 3 2 2 4" xfId="19970"/>
    <cellStyle name="Normal 4 3 3 3 2 2 5" xfId="28410"/>
    <cellStyle name="Normal 4 3 3 3 2 3" xfId="5165"/>
    <cellStyle name="Normal 4 3 3 3 2 3 2" xfId="13601"/>
    <cellStyle name="Normal 4 3 3 3 2 3 3" xfId="22042"/>
    <cellStyle name="Normal 4 3 3 3 2 3 4" xfId="30482"/>
    <cellStyle name="Normal 4 3 3 3 2 4" xfId="9383"/>
    <cellStyle name="Normal 4 3 3 3 2 5" xfId="17825"/>
    <cellStyle name="Normal 4 3 3 3 2 6" xfId="26265"/>
    <cellStyle name="Normal 4 3 3 3 3" xfId="1270"/>
    <cellStyle name="Normal 4 3 3 3 3 2" xfId="3500"/>
    <cellStyle name="Normal 4 3 3 3 3 2 2" xfId="7723"/>
    <cellStyle name="Normal 4 3 3 3 3 2 2 2" xfId="16159"/>
    <cellStyle name="Normal 4 3 3 3 3 2 2 3" xfId="24600"/>
    <cellStyle name="Normal 4 3 3 3 3 2 2 4" xfId="33040"/>
    <cellStyle name="Normal 4 3 3 3 3 2 3" xfId="11941"/>
    <cellStyle name="Normal 4 3 3 3 3 2 4" xfId="20383"/>
    <cellStyle name="Normal 4 3 3 3 3 2 5" xfId="28823"/>
    <cellStyle name="Normal 4 3 3 3 3 3" xfId="5578"/>
    <cellStyle name="Normal 4 3 3 3 3 3 2" xfId="14014"/>
    <cellStyle name="Normal 4 3 3 3 3 3 3" xfId="22455"/>
    <cellStyle name="Normal 4 3 3 3 3 3 4" xfId="30895"/>
    <cellStyle name="Normal 4 3 3 3 3 4" xfId="9796"/>
    <cellStyle name="Normal 4 3 3 3 3 5" xfId="18238"/>
    <cellStyle name="Normal 4 3 3 3 3 6" xfId="26678"/>
    <cellStyle name="Normal 4 3 3 3 4" xfId="1683"/>
    <cellStyle name="Normal 4 3 3 3 4 2" xfId="3913"/>
    <cellStyle name="Normal 4 3 3 3 4 2 2" xfId="8136"/>
    <cellStyle name="Normal 4 3 3 3 4 2 2 2" xfId="16572"/>
    <cellStyle name="Normal 4 3 3 3 4 2 2 3" xfId="25013"/>
    <cellStyle name="Normal 4 3 3 3 4 2 2 4" xfId="33453"/>
    <cellStyle name="Normal 4 3 3 3 4 2 3" xfId="12354"/>
    <cellStyle name="Normal 4 3 3 3 4 2 4" xfId="20796"/>
    <cellStyle name="Normal 4 3 3 3 4 2 5" xfId="29236"/>
    <cellStyle name="Normal 4 3 3 3 4 3" xfId="5991"/>
    <cellStyle name="Normal 4 3 3 3 4 3 2" xfId="14427"/>
    <cellStyle name="Normal 4 3 3 3 4 3 3" xfId="22868"/>
    <cellStyle name="Normal 4 3 3 3 4 3 4" xfId="31308"/>
    <cellStyle name="Normal 4 3 3 3 4 4" xfId="10209"/>
    <cellStyle name="Normal 4 3 3 3 4 5" xfId="18651"/>
    <cellStyle name="Normal 4 3 3 3 4 6" xfId="27091"/>
    <cellStyle name="Normal 4 3 3 3 5" xfId="2097"/>
    <cellStyle name="Normal 4 3 3 3 5 2" xfId="4326"/>
    <cellStyle name="Normal 4 3 3 3 5 2 2" xfId="8549"/>
    <cellStyle name="Normal 4 3 3 3 5 2 2 2" xfId="16985"/>
    <cellStyle name="Normal 4 3 3 3 5 2 2 3" xfId="25426"/>
    <cellStyle name="Normal 4 3 3 3 5 2 2 4" xfId="33866"/>
    <cellStyle name="Normal 4 3 3 3 5 2 3" xfId="12767"/>
    <cellStyle name="Normal 4 3 3 3 5 2 4" xfId="21209"/>
    <cellStyle name="Normal 4 3 3 3 5 2 5" xfId="29649"/>
    <cellStyle name="Normal 4 3 3 3 5 3" xfId="6404"/>
    <cellStyle name="Normal 4 3 3 3 5 3 2" xfId="14840"/>
    <cellStyle name="Normal 4 3 3 3 5 3 3" xfId="23281"/>
    <cellStyle name="Normal 4 3 3 3 5 3 4" xfId="31721"/>
    <cellStyle name="Normal 4 3 3 3 5 4" xfId="10622"/>
    <cellStyle name="Normal 4 3 3 3 5 5" xfId="19064"/>
    <cellStyle name="Normal 4 3 3 3 5 6" xfId="27504"/>
    <cellStyle name="Normal 4 3 3 3 6" xfId="2533"/>
    <cellStyle name="Normal 4 3 3 3 6 2" xfId="6817"/>
    <cellStyle name="Normal 4 3 3 3 6 2 2" xfId="15253"/>
    <cellStyle name="Normal 4 3 3 3 6 2 3" xfId="23694"/>
    <cellStyle name="Normal 4 3 3 3 6 2 4" xfId="32134"/>
    <cellStyle name="Normal 4 3 3 3 6 3" xfId="11035"/>
    <cellStyle name="Normal 4 3 3 3 6 4" xfId="19477"/>
    <cellStyle name="Normal 4 3 3 3 6 5" xfId="27917"/>
    <cellStyle name="Normal 4 3 3 3 7" xfId="4752"/>
    <cellStyle name="Normal 4 3 3 3 7 2" xfId="13188"/>
    <cellStyle name="Normal 4 3 3 3 7 3" xfId="21629"/>
    <cellStyle name="Normal 4 3 3 3 7 4" xfId="30069"/>
    <cellStyle name="Normal 4 3 3 3 8" xfId="8970"/>
    <cellStyle name="Normal 4 3 3 3 9" xfId="17412"/>
    <cellStyle name="Normal 4 3 3 4" xfId="849"/>
    <cellStyle name="Normal 4 3 3 4 2" xfId="3084"/>
    <cellStyle name="Normal 4 3 3 4 2 2" xfId="7307"/>
    <cellStyle name="Normal 4 3 3 4 2 2 2" xfId="15743"/>
    <cellStyle name="Normal 4 3 3 4 2 2 3" xfId="24184"/>
    <cellStyle name="Normal 4 3 3 4 2 2 4" xfId="32624"/>
    <cellStyle name="Normal 4 3 3 4 2 3" xfId="11525"/>
    <cellStyle name="Normal 4 3 3 4 2 4" xfId="19967"/>
    <cellStyle name="Normal 4 3 3 4 2 5" xfId="28407"/>
    <cellStyle name="Normal 4 3 3 4 3" xfId="5162"/>
    <cellStyle name="Normal 4 3 3 4 3 2" xfId="13598"/>
    <cellStyle name="Normal 4 3 3 4 3 3" xfId="22039"/>
    <cellStyle name="Normal 4 3 3 4 3 4" xfId="30479"/>
    <cellStyle name="Normal 4 3 3 4 4" xfId="9380"/>
    <cellStyle name="Normal 4 3 3 4 5" xfId="17822"/>
    <cellStyle name="Normal 4 3 3 4 6" xfId="26262"/>
    <cellStyle name="Normal 4 3 3 5" xfId="1267"/>
    <cellStyle name="Normal 4 3 3 5 2" xfId="3497"/>
    <cellStyle name="Normal 4 3 3 5 2 2" xfId="7720"/>
    <cellStyle name="Normal 4 3 3 5 2 2 2" xfId="16156"/>
    <cellStyle name="Normal 4 3 3 5 2 2 3" xfId="24597"/>
    <cellStyle name="Normal 4 3 3 5 2 2 4" xfId="33037"/>
    <cellStyle name="Normal 4 3 3 5 2 3" xfId="11938"/>
    <cellStyle name="Normal 4 3 3 5 2 4" xfId="20380"/>
    <cellStyle name="Normal 4 3 3 5 2 5" xfId="28820"/>
    <cellStyle name="Normal 4 3 3 5 3" xfId="5575"/>
    <cellStyle name="Normal 4 3 3 5 3 2" xfId="14011"/>
    <cellStyle name="Normal 4 3 3 5 3 3" xfId="22452"/>
    <cellStyle name="Normal 4 3 3 5 3 4" xfId="30892"/>
    <cellStyle name="Normal 4 3 3 5 4" xfId="9793"/>
    <cellStyle name="Normal 4 3 3 5 5" xfId="18235"/>
    <cellStyle name="Normal 4 3 3 5 6" xfId="26675"/>
    <cellStyle name="Normal 4 3 3 6" xfId="1680"/>
    <cellStyle name="Normal 4 3 3 6 2" xfId="3910"/>
    <cellStyle name="Normal 4 3 3 6 2 2" xfId="8133"/>
    <cellStyle name="Normal 4 3 3 6 2 2 2" xfId="16569"/>
    <cellStyle name="Normal 4 3 3 6 2 2 3" xfId="25010"/>
    <cellStyle name="Normal 4 3 3 6 2 2 4" xfId="33450"/>
    <cellStyle name="Normal 4 3 3 6 2 3" xfId="12351"/>
    <cellStyle name="Normal 4 3 3 6 2 4" xfId="20793"/>
    <cellStyle name="Normal 4 3 3 6 2 5" xfId="29233"/>
    <cellStyle name="Normal 4 3 3 6 3" xfId="5988"/>
    <cellStyle name="Normal 4 3 3 6 3 2" xfId="14424"/>
    <cellStyle name="Normal 4 3 3 6 3 3" xfId="22865"/>
    <cellStyle name="Normal 4 3 3 6 3 4" xfId="31305"/>
    <cellStyle name="Normal 4 3 3 6 4" xfId="10206"/>
    <cellStyle name="Normal 4 3 3 6 5" xfId="18648"/>
    <cellStyle name="Normal 4 3 3 6 6" xfId="27088"/>
    <cellStyle name="Normal 4 3 3 7" xfId="2094"/>
    <cellStyle name="Normal 4 3 3 7 2" xfId="4323"/>
    <cellStyle name="Normal 4 3 3 7 2 2" xfId="8546"/>
    <cellStyle name="Normal 4 3 3 7 2 2 2" xfId="16982"/>
    <cellStyle name="Normal 4 3 3 7 2 2 3" xfId="25423"/>
    <cellStyle name="Normal 4 3 3 7 2 2 4" xfId="33863"/>
    <cellStyle name="Normal 4 3 3 7 2 3" xfId="12764"/>
    <cellStyle name="Normal 4 3 3 7 2 4" xfId="21206"/>
    <cellStyle name="Normal 4 3 3 7 2 5" xfId="29646"/>
    <cellStyle name="Normal 4 3 3 7 3" xfId="6401"/>
    <cellStyle name="Normal 4 3 3 7 3 2" xfId="14837"/>
    <cellStyle name="Normal 4 3 3 7 3 3" xfId="23278"/>
    <cellStyle name="Normal 4 3 3 7 3 4" xfId="31718"/>
    <cellStyle name="Normal 4 3 3 7 4" xfId="10619"/>
    <cellStyle name="Normal 4 3 3 7 5" xfId="19061"/>
    <cellStyle name="Normal 4 3 3 7 6" xfId="27501"/>
    <cellStyle name="Normal 4 3 3 8" xfId="2530"/>
    <cellStyle name="Normal 4 3 3 8 2" xfId="6814"/>
    <cellStyle name="Normal 4 3 3 8 2 2" xfId="15250"/>
    <cellStyle name="Normal 4 3 3 8 2 3" xfId="23691"/>
    <cellStyle name="Normal 4 3 3 8 2 4" xfId="32131"/>
    <cellStyle name="Normal 4 3 3 8 3" xfId="11032"/>
    <cellStyle name="Normal 4 3 3 8 4" xfId="19474"/>
    <cellStyle name="Normal 4 3 3 8 5" xfId="27914"/>
    <cellStyle name="Normal 4 3 3 9" xfId="4749"/>
    <cellStyle name="Normal 4 3 3 9 2" xfId="13185"/>
    <cellStyle name="Normal 4 3 3 9 3" xfId="21626"/>
    <cellStyle name="Normal 4 3 3 9 4" xfId="30066"/>
    <cellStyle name="Normal 4 3 4" xfId="842"/>
    <cellStyle name="Normal 4 3 4 2" xfId="3079"/>
    <cellStyle name="Normal 4 3 4 2 2" xfId="7302"/>
    <cellStyle name="Normal 4 3 4 2 2 2" xfId="15738"/>
    <cellStyle name="Normal 4 3 4 2 2 3" xfId="24179"/>
    <cellStyle name="Normal 4 3 4 2 2 4" xfId="32619"/>
    <cellStyle name="Normal 4 3 4 2 3" xfId="11520"/>
    <cellStyle name="Normal 4 3 4 2 4" xfId="19962"/>
    <cellStyle name="Normal 4 3 4 2 5" xfId="28402"/>
    <cellStyle name="Normal 4 3 4 3" xfId="5157"/>
    <cellStyle name="Normal 4 3 4 3 2" xfId="13593"/>
    <cellStyle name="Normal 4 3 4 3 3" xfId="22034"/>
    <cellStyle name="Normal 4 3 4 3 4" xfId="30474"/>
    <cellStyle name="Normal 4 3 4 4" xfId="9375"/>
    <cellStyle name="Normal 4 3 4 5" xfId="17817"/>
    <cellStyle name="Normal 4 3 4 6" xfId="26257"/>
    <cellStyle name="Normal 4 3 5" xfId="1262"/>
    <cellStyle name="Normal 4 3 5 2" xfId="3492"/>
    <cellStyle name="Normal 4 3 5 2 2" xfId="7715"/>
    <cellStyle name="Normal 4 3 5 2 2 2" xfId="16151"/>
    <cellStyle name="Normal 4 3 5 2 2 3" xfId="24592"/>
    <cellStyle name="Normal 4 3 5 2 2 4" xfId="33032"/>
    <cellStyle name="Normal 4 3 5 2 3" xfId="11933"/>
    <cellStyle name="Normal 4 3 5 2 4" xfId="20375"/>
    <cellStyle name="Normal 4 3 5 2 5" xfId="28815"/>
    <cellStyle name="Normal 4 3 5 3" xfId="5570"/>
    <cellStyle name="Normal 4 3 5 3 2" xfId="14006"/>
    <cellStyle name="Normal 4 3 5 3 3" xfId="22447"/>
    <cellStyle name="Normal 4 3 5 3 4" xfId="30887"/>
    <cellStyle name="Normal 4 3 5 4" xfId="9788"/>
    <cellStyle name="Normal 4 3 5 5" xfId="18230"/>
    <cellStyle name="Normal 4 3 5 6" xfId="26670"/>
    <cellStyle name="Normal 4 3 6" xfId="1675"/>
    <cellStyle name="Normal 4 3 6 2" xfId="3905"/>
    <cellStyle name="Normal 4 3 6 2 2" xfId="8128"/>
    <cellStyle name="Normal 4 3 6 2 2 2" xfId="16564"/>
    <cellStyle name="Normal 4 3 6 2 2 3" xfId="25005"/>
    <cellStyle name="Normal 4 3 6 2 2 4" xfId="33445"/>
    <cellStyle name="Normal 4 3 6 2 3" xfId="12346"/>
    <cellStyle name="Normal 4 3 6 2 4" xfId="20788"/>
    <cellStyle name="Normal 4 3 6 2 5" xfId="29228"/>
    <cellStyle name="Normal 4 3 6 3" xfId="5983"/>
    <cellStyle name="Normal 4 3 6 3 2" xfId="14419"/>
    <cellStyle name="Normal 4 3 6 3 3" xfId="22860"/>
    <cellStyle name="Normal 4 3 6 3 4" xfId="31300"/>
    <cellStyle name="Normal 4 3 6 4" xfId="10201"/>
    <cellStyle name="Normal 4 3 6 5" xfId="18643"/>
    <cellStyle name="Normal 4 3 6 6" xfId="27083"/>
    <cellStyle name="Normal 4 3 7" xfId="2089"/>
    <cellStyle name="Normal 4 3 7 2" xfId="4318"/>
    <cellStyle name="Normal 4 3 7 2 2" xfId="8541"/>
    <cellStyle name="Normal 4 3 7 2 2 2" xfId="16977"/>
    <cellStyle name="Normal 4 3 7 2 2 3" xfId="25418"/>
    <cellStyle name="Normal 4 3 7 2 2 4" xfId="33858"/>
    <cellStyle name="Normal 4 3 7 2 3" xfId="12759"/>
    <cellStyle name="Normal 4 3 7 2 4" xfId="21201"/>
    <cellStyle name="Normal 4 3 7 2 5" xfId="29641"/>
    <cellStyle name="Normal 4 3 7 3" xfId="6396"/>
    <cellStyle name="Normal 4 3 7 3 2" xfId="14832"/>
    <cellStyle name="Normal 4 3 7 3 3" xfId="23273"/>
    <cellStyle name="Normal 4 3 7 3 4" xfId="31713"/>
    <cellStyle name="Normal 4 3 7 4" xfId="10614"/>
    <cellStyle name="Normal 4 3 7 5" xfId="19056"/>
    <cellStyle name="Normal 4 3 7 6" xfId="27496"/>
    <cellStyle name="Normal 4 3 8" xfId="2525"/>
    <cellStyle name="Normal 4 3 8 2" xfId="6809"/>
    <cellStyle name="Normal 4 3 8 2 2" xfId="15245"/>
    <cellStyle name="Normal 4 3 8 2 3" xfId="23686"/>
    <cellStyle name="Normal 4 3 8 2 4" xfId="32126"/>
    <cellStyle name="Normal 4 3 8 3" xfId="11027"/>
    <cellStyle name="Normal 4 3 8 4" xfId="19469"/>
    <cellStyle name="Normal 4 3 8 5" xfId="27909"/>
    <cellStyle name="Normal 4 3 9" xfId="4744"/>
    <cellStyle name="Normal 4 3 9 2" xfId="13180"/>
    <cellStyle name="Normal 4 3 9 3" xfId="21621"/>
    <cellStyle name="Normal 4 3 9 4" xfId="30061"/>
    <cellStyle name="Normal 4 4" xfId="378"/>
    <cellStyle name="Normal 4 4 10" xfId="2534"/>
    <cellStyle name="Normal 4 4 10 2" xfId="6818"/>
    <cellStyle name="Normal 4 4 10 2 2" xfId="15254"/>
    <cellStyle name="Normal 4 4 10 2 3" xfId="23695"/>
    <cellStyle name="Normal 4 4 10 2 4" xfId="32135"/>
    <cellStyle name="Normal 4 4 10 3" xfId="11036"/>
    <cellStyle name="Normal 4 4 10 4" xfId="19478"/>
    <cellStyle name="Normal 4 4 10 5" xfId="27918"/>
    <cellStyle name="Normal 4 4 11" xfId="4753"/>
    <cellStyle name="Normal 4 4 11 2" xfId="13189"/>
    <cellStyle name="Normal 4 4 11 3" xfId="21630"/>
    <cellStyle name="Normal 4 4 11 4" xfId="30070"/>
    <cellStyle name="Normal 4 4 12" xfId="8971"/>
    <cellStyle name="Normal 4 4 13" xfId="17413"/>
    <cellStyle name="Normal 4 4 14" xfId="25853"/>
    <cellStyle name="Normal 4 4 2" xfId="379"/>
    <cellStyle name="Normal 4 4 2 10" xfId="4754"/>
    <cellStyle name="Normal 4 4 2 10 2" xfId="13190"/>
    <cellStyle name="Normal 4 4 2 10 3" xfId="21631"/>
    <cellStyle name="Normal 4 4 2 10 4" xfId="30071"/>
    <cellStyle name="Normal 4 4 2 11" xfId="8972"/>
    <cellStyle name="Normal 4 4 2 12" xfId="17414"/>
    <cellStyle name="Normal 4 4 2 13" xfId="25854"/>
    <cellStyle name="Normal 4 4 2 2" xfId="380"/>
    <cellStyle name="Normal 4 4 2 2 10" xfId="8973"/>
    <cellStyle name="Normal 4 4 2 2 11" xfId="17415"/>
    <cellStyle name="Normal 4 4 2 2 12" xfId="25855"/>
    <cellStyle name="Normal 4 4 2 2 2" xfId="381"/>
    <cellStyle name="Normal 4 4 2 2 2 10" xfId="17416"/>
    <cellStyle name="Normal 4 4 2 2 2 11" xfId="25856"/>
    <cellStyle name="Normal 4 4 2 2 2 2" xfId="382"/>
    <cellStyle name="Normal 4 4 2 2 2 2 10" xfId="25857"/>
    <cellStyle name="Normal 4 4 2 2 2 2 2" xfId="857"/>
    <cellStyle name="Normal 4 4 2 2 2 2 2 2" xfId="3092"/>
    <cellStyle name="Normal 4 4 2 2 2 2 2 2 2" xfId="7315"/>
    <cellStyle name="Normal 4 4 2 2 2 2 2 2 2 2" xfId="15751"/>
    <cellStyle name="Normal 4 4 2 2 2 2 2 2 2 3" xfId="24192"/>
    <cellStyle name="Normal 4 4 2 2 2 2 2 2 2 4" xfId="32632"/>
    <cellStyle name="Normal 4 4 2 2 2 2 2 2 3" xfId="11533"/>
    <cellStyle name="Normal 4 4 2 2 2 2 2 2 4" xfId="19975"/>
    <cellStyle name="Normal 4 4 2 2 2 2 2 2 5" xfId="28415"/>
    <cellStyle name="Normal 4 4 2 2 2 2 2 3" xfId="5170"/>
    <cellStyle name="Normal 4 4 2 2 2 2 2 3 2" xfId="13606"/>
    <cellStyle name="Normal 4 4 2 2 2 2 2 3 3" xfId="22047"/>
    <cellStyle name="Normal 4 4 2 2 2 2 2 3 4" xfId="30487"/>
    <cellStyle name="Normal 4 4 2 2 2 2 2 4" xfId="9388"/>
    <cellStyle name="Normal 4 4 2 2 2 2 2 5" xfId="17830"/>
    <cellStyle name="Normal 4 4 2 2 2 2 2 6" xfId="26270"/>
    <cellStyle name="Normal 4 4 2 2 2 2 3" xfId="1275"/>
    <cellStyle name="Normal 4 4 2 2 2 2 3 2" xfId="3505"/>
    <cellStyle name="Normal 4 4 2 2 2 2 3 2 2" xfId="7728"/>
    <cellStyle name="Normal 4 4 2 2 2 2 3 2 2 2" xfId="16164"/>
    <cellStyle name="Normal 4 4 2 2 2 2 3 2 2 3" xfId="24605"/>
    <cellStyle name="Normal 4 4 2 2 2 2 3 2 2 4" xfId="33045"/>
    <cellStyle name="Normal 4 4 2 2 2 2 3 2 3" xfId="11946"/>
    <cellStyle name="Normal 4 4 2 2 2 2 3 2 4" xfId="20388"/>
    <cellStyle name="Normal 4 4 2 2 2 2 3 2 5" xfId="28828"/>
    <cellStyle name="Normal 4 4 2 2 2 2 3 3" xfId="5583"/>
    <cellStyle name="Normal 4 4 2 2 2 2 3 3 2" xfId="14019"/>
    <cellStyle name="Normal 4 4 2 2 2 2 3 3 3" xfId="22460"/>
    <cellStyle name="Normal 4 4 2 2 2 2 3 3 4" xfId="30900"/>
    <cellStyle name="Normal 4 4 2 2 2 2 3 4" xfId="9801"/>
    <cellStyle name="Normal 4 4 2 2 2 2 3 5" xfId="18243"/>
    <cellStyle name="Normal 4 4 2 2 2 2 3 6" xfId="26683"/>
    <cellStyle name="Normal 4 4 2 2 2 2 4" xfId="1688"/>
    <cellStyle name="Normal 4 4 2 2 2 2 4 2" xfId="3918"/>
    <cellStyle name="Normal 4 4 2 2 2 2 4 2 2" xfId="8141"/>
    <cellStyle name="Normal 4 4 2 2 2 2 4 2 2 2" xfId="16577"/>
    <cellStyle name="Normal 4 4 2 2 2 2 4 2 2 3" xfId="25018"/>
    <cellStyle name="Normal 4 4 2 2 2 2 4 2 2 4" xfId="33458"/>
    <cellStyle name="Normal 4 4 2 2 2 2 4 2 3" xfId="12359"/>
    <cellStyle name="Normal 4 4 2 2 2 2 4 2 4" xfId="20801"/>
    <cellStyle name="Normal 4 4 2 2 2 2 4 2 5" xfId="29241"/>
    <cellStyle name="Normal 4 4 2 2 2 2 4 3" xfId="5996"/>
    <cellStyle name="Normal 4 4 2 2 2 2 4 3 2" xfId="14432"/>
    <cellStyle name="Normal 4 4 2 2 2 2 4 3 3" xfId="22873"/>
    <cellStyle name="Normal 4 4 2 2 2 2 4 3 4" xfId="31313"/>
    <cellStyle name="Normal 4 4 2 2 2 2 4 4" xfId="10214"/>
    <cellStyle name="Normal 4 4 2 2 2 2 4 5" xfId="18656"/>
    <cellStyle name="Normal 4 4 2 2 2 2 4 6" xfId="27096"/>
    <cellStyle name="Normal 4 4 2 2 2 2 5" xfId="2102"/>
    <cellStyle name="Normal 4 4 2 2 2 2 5 2" xfId="4331"/>
    <cellStyle name="Normal 4 4 2 2 2 2 5 2 2" xfId="8554"/>
    <cellStyle name="Normal 4 4 2 2 2 2 5 2 2 2" xfId="16990"/>
    <cellStyle name="Normal 4 4 2 2 2 2 5 2 2 3" xfId="25431"/>
    <cellStyle name="Normal 4 4 2 2 2 2 5 2 2 4" xfId="33871"/>
    <cellStyle name="Normal 4 4 2 2 2 2 5 2 3" xfId="12772"/>
    <cellStyle name="Normal 4 4 2 2 2 2 5 2 4" xfId="21214"/>
    <cellStyle name="Normal 4 4 2 2 2 2 5 2 5" xfId="29654"/>
    <cellStyle name="Normal 4 4 2 2 2 2 5 3" xfId="6409"/>
    <cellStyle name="Normal 4 4 2 2 2 2 5 3 2" xfId="14845"/>
    <cellStyle name="Normal 4 4 2 2 2 2 5 3 3" xfId="23286"/>
    <cellStyle name="Normal 4 4 2 2 2 2 5 3 4" xfId="31726"/>
    <cellStyle name="Normal 4 4 2 2 2 2 5 4" xfId="10627"/>
    <cellStyle name="Normal 4 4 2 2 2 2 5 5" xfId="19069"/>
    <cellStyle name="Normal 4 4 2 2 2 2 5 6" xfId="27509"/>
    <cellStyle name="Normal 4 4 2 2 2 2 6" xfId="2538"/>
    <cellStyle name="Normal 4 4 2 2 2 2 6 2" xfId="6822"/>
    <cellStyle name="Normal 4 4 2 2 2 2 6 2 2" xfId="15258"/>
    <cellStyle name="Normal 4 4 2 2 2 2 6 2 3" xfId="23699"/>
    <cellStyle name="Normal 4 4 2 2 2 2 6 2 4" xfId="32139"/>
    <cellStyle name="Normal 4 4 2 2 2 2 6 3" xfId="11040"/>
    <cellStyle name="Normal 4 4 2 2 2 2 6 4" xfId="19482"/>
    <cellStyle name="Normal 4 4 2 2 2 2 6 5" xfId="27922"/>
    <cellStyle name="Normal 4 4 2 2 2 2 7" xfId="4757"/>
    <cellStyle name="Normal 4 4 2 2 2 2 7 2" xfId="13193"/>
    <cellStyle name="Normal 4 4 2 2 2 2 7 3" xfId="21634"/>
    <cellStyle name="Normal 4 4 2 2 2 2 7 4" xfId="30074"/>
    <cellStyle name="Normal 4 4 2 2 2 2 8" xfId="8975"/>
    <cellStyle name="Normal 4 4 2 2 2 2 9" xfId="17417"/>
    <cellStyle name="Normal 4 4 2 2 2 3" xfId="856"/>
    <cellStyle name="Normal 4 4 2 2 2 3 2" xfId="3091"/>
    <cellStyle name="Normal 4 4 2 2 2 3 2 2" xfId="7314"/>
    <cellStyle name="Normal 4 4 2 2 2 3 2 2 2" xfId="15750"/>
    <cellStyle name="Normal 4 4 2 2 2 3 2 2 3" xfId="24191"/>
    <cellStyle name="Normal 4 4 2 2 2 3 2 2 4" xfId="32631"/>
    <cellStyle name="Normal 4 4 2 2 2 3 2 3" xfId="11532"/>
    <cellStyle name="Normal 4 4 2 2 2 3 2 4" xfId="19974"/>
    <cellStyle name="Normal 4 4 2 2 2 3 2 5" xfId="28414"/>
    <cellStyle name="Normal 4 4 2 2 2 3 3" xfId="5169"/>
    <cellStyle name="Normal 4 4 2 2 2 3 3 2" xfId="13605"/>
    <cellStyle name="Normal 4 4 2 2 2 3 3 3" xfId="22046"/>
    <cellStyle name="Normal 4 4 2 2 2 3 3 4" xfId="30486"/>
    <cellStyle name="Normal 4 4 2 2 2 3 4" xfId="9387"/>
    <cellStyle name="Normal 4 4 2 2 2 3 5" xfId="17829"/>
    <cellStyle name="Normal 4 4 2 2 2 3 6" xfId="26269"/>
    <cellStyle name="Normal 4 4 2 2 2 4" xfId="1274"/>
    <cellStyle name="Normal 4 4 2 2 2 4 2" xfId="3504"/>
    <cellStyle name="Normal 4 4 2 2 2 4 2 2" xfId="7727"/>
    <cellStyle name="Normal 4 4 2 2 2 4 2 2 2" xfId="16163"/>
    <cellStyle name="Normal 4 4 2 2 2 4 2 2 3" xfId="24604"/>
    <cellStyle name="Normal 4 4 2 2 2 4 2 2 4" xfId="33044"/>
    <cellStyle name="Normal 4 4 2 2 2 4 2 3" xfId="11945"/>
    <cellStyle name="Normal 4 4 2 2 2 4 2 4" xfId="20387"/>
    <cellStyle name="Normal 4 4 2 2 2 4 2 5" xfId="28827"/>
    <cellStyle name="Normal 4 4 2 2 2 4 3" xfId="5582"/>
    <cellStyle name="Normal 4 4 2 2 2 4 3 2" xfId="14018"/>
    <cellStyle name="Normal 4 4 2 2 2 4 3 3" xfId="22459"/>
    <cellStyle name="Normal 4 4 2 2 2 4 3 4" xfId="30899"/>
    <cellStyle name="Normal 4 4 2 2 2 4 4" xfId="9800"/>
    <cellStyle name="Normal 4 4 2 2 2 4 5" xfId="18242"/>
    <cellStyle name="Normal 4 4 2 2 2 4 6" xfId="26682"/>
    <cellStyle name="Normal 4 4 2 2 2 5" xfId="1687"/>
    <cellStyle name="Normal 4 4 2 2 2 5 2" xfId="3917"/>
    <cellStyle name="Normal 4 4 2 2 2 5 2 2" xfId="8140"/>
    <cellStyle name="Normal 4 4 2 2 2 5 2 2 2" xfId="16576"/>
    <cellStyle name="Normal 4 4 2 2 2 5 2 2 3" xfId="25017"/>
    <cellStyle name="Normal 4 4 2 2 2 5 2 2 4" xfId="33457"/>
    <cellStyle name="Normal 4 4 2 2 2 5 2 3" xfId="12358"/>
    <cellStyle name="Normal 4 4 2 2 2 5 2 4" xfId="20800"/>
    <cellStyle name="Normal 4 4 2 2 2 5 2 5" xfId="29240"/>
    <cellStyle name="Normal 4 4 2 2 2 5 3" xfId="5995"/>
    <cellStyle name="Normal 4 4 2 2 2 5 3 2" xfId="14431"/>
    <cellStyle name="Normal 4 4 2 2 2 5 3 3" xfId="22872"/>
    <cellStyle name="Normal 4 4 2 2 2 5 3 4" xfId="31312"/>
    <cellStyle name="Normal 4 4 2 2 2 5 4" xfId="10213"/>
    <cellStyle name="Normal 4 4 2 2 2 5 5" xfId="18655"/>
    <cellStyle name="Normal 4 4 2 2 2 5 6" xfId="27095"/>
    <cellStyle name="Normal 4 4 2 2 2 6" xfId="2101"/>
    <cellStyle name="Normal 4 4 2 2 2 6 2" xfId="4330"/>
    <cellStyle name="Normal 4 4 2 2 2 6 2 2" xfId="8553"/>
    <cellStyle name="Normal 4 4 2 2 2 6 2 2 2" xfId="16989"/>
    <cellStyle name="Normal 4 4 2 2 2 6 2 2 3" xfId="25430"/>
    <cellStyle name="Normal 4 4 2 2 2 6 2 2 4" xfId="33870"/>
    <cellStyle name="Normal 4 4 2 2 2 6 2 3" xfId="12771"/>
    <cellStyle name="Normal 4 4 2 2 2 6 2 4" xfId="21213"/>
    <cellStyle name="Normal 4 4 2 2 2 6 2 5" xfId="29653"/>
    <cellStyle name="Normal 4 4 2 2 2 6 3" xfId="6408"/>
    <cellStyle name="Normal 4 4 2 2 2 6 3 2" xfId="14844"/>
    <cellStyle name="Normal 4 4 2 2 2 6 3 3" xfId="23285"/>
    <cellStyle name="Normal 4 4 2 2 2 6 3 4" xfId="31725"/>
    <cellStyle name="Normal 4 4 2 2 2 6 4" xfId="10626"/>
    <cellStyle name="Normal 4 4 2 2 2 6 5" xfId="19068"/>
    <cellStyle name="Normal 4 4 2 2 2 6 6" xfId="27508"/>
    <cellStyle name="Normal 4 4 2 2 2 7" xfId="2537"/>
    <cellStyle name="Normal 4 4 2 2 2 7 2" xfId="6821"/>
    <cellStyle name="Normal 4 4 2 2 2 7 2 2" xfId="15257"/>
    <cellStyle name="Normal 4 4 2 2 2 7 2 3" xfId="23698"/>
    <cellStyle name="Normal 4 4 2 2 2 7 2 4" xfId="32138"/>
    <cellStyle name="Normal 4 4 2 2 2 7 3" xfId="11039"/>
    <cellStyle name="Normal 4 4 2 2 2 7 4" xfId="19481"/>
    <cellStyle name="Normal 4 4 2 2 2 7 5" xfId="27921"/>
    <cellStyle name="Normal 4 4 2 2 2 8" xfId="4756"/>
    <cellStyle name="Normal 4 4 2 2 2 8 2" xfId="13192"/>
    <cellStyle name="Normal 4 4 2 2 2 8 3" xfId="21633"/>
    <cellStyle name="Normal 4 4 2 2 2 8 4" xfId="30073"/>
    <cellStyle name="Normal 4 4 2 2 2 9" xfId="8974"/>
    <cellStyle name="Normal 4 4 2 2 3" xfId="383"/>
    <cellStyle name="Normal 4 4 2 2 3 10" xfId="25858"/>
    <cellStyle name="Normal 4 4 2 2 3 2" xfId="858"/>
    <cellStyle name="Normal 4 4 2 2 3 2 2" xfId="3093"/>
    <cellStyle name="Normal 4 4 2 2 3 2 2 2" xfId="7316"/>
    <cellStyle name="Normal 4 4 2 2 3 2 2 2 2" xfId="15752"/>
    <cellStyle name="Normal 4 4 2 2 3 2 2 2 3" xfId="24193"/>
    <cellStyle name="Normal 4 4 2 2 3 2 2 2 4" xfId="32633"/>
    <cellStyle name="Normal 4 4 2 2 3 2 2 3" xfId="11534"/>
    <cellStyle name="Normal 4 4 2 2 3 2 2 4" xfId="19976"/>
    <cellStyle name="Normal 4 4 2 2 3 2 2 5" xfId="28416"/>
    <cellStyle name="Normal 4 4 2 2 3 2 3" xfId="5171"/>
    <cellStyle name="Normal 4 4 2 2 3 2 3 2" xfId="13607"/>
    <cellStyle name="Normal 4 4 2 2 3 2 3 3" xfId="22048"/>
    <cellStyle name="Normal 4 4 2 2 3 2 3 4" xfId="30488"/>
    <cellStyle name="Normal 4 4 2 2 3 2 4" xfId="9389"/>
    <cellStyle name="Normal 4 4 2 2 3 2 5" xfId="17831"/>
    <cellStyle name="Normal 4 4 2 2 3 2 6" xfId="26271"/>
    <cellStyle name="Normal 4 4 2 2 3 3" xfId="1276"/>
    <cellStyle name="Normal 4 4 2 2 3 3 2" xfId="3506"/>
    <cellStyle name="Normal 4 4 2 2 3 3 2 2" xfId="7729"/>
    <cellStyle name="Normal 4 4 2 2 3 3 2 2 2" xfId="16165"/>
    <cellStyle name="Normal 4 4 2 2 3 3 2 2 3" xfId="24606"/>
    <cellStyle name="Normal 4 4 2 2 3 3 2 2 4" xfId="33046"/>
    <cellStyle name="Normal 4 4 2 2 3 3 2 3" xfId="11947"/>
    <cellStyle name="Normal 4 4 2 2 3 3 2 4" xfId="20389"/>
    <cellStyle name="Normal 4 4 2 2 3 3 2 5" xfId="28829"/>
    <cellStyle name="Normal 4 4 2 2 3 3 3" xfId="5584"/>
    <cellStyle name="Normal 4 4 2 2 3 3 3 2" xfId="14020"/>
    <cellStyle name="Normal 4 4 2 2 3 3 3 3" xfId="22461"/>
    <cellStyle name="Normal 4 4 2 2 3 3 3 4" xfId="30901"/>
    <cellStyle name="Normal 4 4 2 2 3 3 4" xfId="9802"/>
    <cellStyle name="Normal 4 4 2 2 3 3 5" xfId="18244"/>
    <cellStyle name="Normal 4 4 2 2 3 3 6" xfId="26684"/>
    <cellStyle name="Normal 4 4 2 2 3 4" xfId="1689"/>
    <cellStyle name="Normal 4 4 2 2 3 4 2" xfId="3919"/>
    <cellStyle name="Normal 4 4 2 2 3 4 2 2" xfId="8142"/>
    <cellStyle name="Normal 4 4 2 2 3 4 2 2 2" xfId="16578"/>
    <cellStyle name="Normal 4 4 2 2 3 4 2 2 3" xfId="25019"/>
    <cellStyle name="Normal 4 4 2 2 3 4 2 2 4" xfId="33459"/>
    <cellStyle name="Normal 4 4 2 2 3 4 2 3" xfId="12360"/>
    <cellStyle name="Normal 4 4 2 2 3 4 2 4" xfId="20802"/>
    <cellStyle name="Normal 4 4 2 2 3 4 2 5" xfId="29242"/>
    <cellStyle name="Normal 4 4 2 2 3 4 3" xfId="5997"/>
    <cellStyle name="Normal 4 4 2 2 3 4 3 2" xfId="14433"/>
    <cellStyle name="Normal 4 4 2 2 3 4 3 3" xfId="22874"/>
    <cellStyle name="Normal 4 4 2 2 3 4 3 4" xfId="31314"/>
    <cellStyle name="Normal 4 4 2 2 3 4 4" xfId="10215"/>
    <cellStyle name="Normal 4 4 2 2 3 4 5" xfId="18657"/>
    <cellStyle name="Normal 4 4 2 2 3 4 6" xfId="27097"/>
    <cellStyle name="Normal 4 4 2 2 3 5" xfId="2103"/>
    <cellStyle name="Normal 4 4 2 2 3 5 2" xfId="4332"/>
    <cellStyle name="Normal 4 4 2 2 3 5 2 2" xfId="8555"/>
    <cellStyle name="Normal 4 4 2 2 3 5 2 2 2" xfId="16991"/>
    <cellStyle name="Normal 4 4 2 2 3 5 2 2 3" xfId="25432"/>
    <cellStyle name="Normal 4 4 2 2 3 5 2 2 4" xfId="33872"/>
    <cellStyle name="Normal 4 4 2 2 3 5 2 3" xfId="12773"/>
    <cellStyle name="Normal 4 4 2 2 3 5 2 4" xfId="21215"/>
    <cellStyle name="Normal 4 4 2 2 3 5 2 5" xfId="29655"/>
    <cellStyle name="Normal 4 4 2 2 3 5 3" xfId="6410"/>
    <cellStyle name="Normal 4 4 2 2 3 5 3 2" xfId="14846"/>
    <cellStyle name="Normal 4 4 2 2 3 5 3 3" xfId="23287"/>
    <cellStyle name="Normal 4 4 2 2 3 5 3 4" xfId="31727"/>
    <cellStyle name="Normal 4 4 2 2 3 5 4" xfId="10628"/>
    <cellStyle name="Normal 4 4 2 2 3 5 5" xfId="19070"/>
    <cellStyle name="Normal 4 4 2 2 3 5 6" xfId="27510"/>
    <cellStyle name="Normal 4 4 2 2 3 6" xfId="2539"/>
    <cellStyle name="Normal 4 4 2 2 3 6 2" xfId="6823"/>
    <cellStyle name="Normal 4 4 2 2 3 6 2 2" xfId="15259"/>
    <cellStyle name="Normal 4 4 2 2 3 6 2 3" xfId="23700"/>
    <cellStyle name="Normal 4 4 2 2 3 6 2 4" xfId="32140"/>
    <cellStyle name="Normal 4 4 2 2 3 6 3" xfId="11041"/>
    <cellStyle name="Normal 4 4 2 2 3 6 4" xfId="19483"/>
    <cellStyle name="Normal 4 4 2 2 3 6 5" xfId="27923"/>
    <cellStyle name="Normal 4 4 2 2 3 7" xfId="4758"/>
    <cellStyle name="Normal 4 4 2 2 3 7 2" xfId="13194"/>
    <cellStyle name="Normal 4 4 2 2 3 7 3" xfId="21635"/>
    <cellStyle name="Normal 4 4 2 2 3 7 4" xfId="30075"/>
    <cellStyle name="Normal 4 4 2 2 3 8" xfId="8976"/>
    <cellStyle name="Normal 4 4 2 2 3 9" xfId="17418"/>
    <cellStyle name="Normal 4 4 2 2 4" xfId="855"/>
    <cellStyle name="Normal 4 4 2 2 4 2" xfId="3090"/>
    <cellStyle name="Normal 4 4 2 2 4 2 2" xfId="7313"/>
    <cellStyle name="Normal 4 4 2 2 4 2 2 2" xfId="15749"/>
    <cellStyle name="Normal 4 4 2 2 4 2 2 3" xfId="24190"/>
    <cellStyle name="Normal 4 4 2 2 4 2 2 4" xfId="32630"/>
    <cellStyle name="Normal 4 4 2 2 4 2 3" xfId="11531"/>
    <cellStyle name="Normal 4 4 2 2 4 2 4" xfId="19973"/>
    <cellStyle name="Normal 4 4 2 2 4 2 5" xfId="28413"/>
    <cellStyle name="Normal 4 4 2 2 4 3" xfId="5168"/>
    <cellStyle name="Normal 4 4 2 2 4 3 2" xfId="13604"/>
    <cellStyle name="Normal 4 4 2 2 4 3 3" xfId="22045"/>
    <cellStyle name="Normal 4 4 2 2 4 3 4" xfId="30485"/>
    <cellStyle name="Normal 4 4 2 2 4 4" xfId="9386"/>
    <cellStyle name="Normal 4 4 2 2 4 5" xfId="17828"/>
    <cellStyle name="Normal 4 4 2 2 4 6" xfId="26268"/>
    <cellStyle name="Normal 4 4 2 2 5" xfId="1273"/>
    <cellStyle name="Normal 4 4 2 2 5 2" xfId="3503"/>
    <cellStyle name="Normal 4 4 2 2 5 2 2" xfId="7726"/>
    <cellStyle name="Normal 4 4 2 2 5 2 2 2" xfId="16162"/>
    <cellStyle name="Normal 4 4 2 2 5 2 2 3" xfId="24603"/>
    <cellStyle name="Normal 4 4 2 2 5 2 2 4" xfId="33043"/>
    <cellStyle name="Normal 4 4 2 2 5 2 3" xfId="11944"/>
    <cellStyle name="Normal 4 4 2 2 5 2 4" xfId="20386"/>
    <cellStyle name="Normal 4 4 2 2 5 2 5" xfId="28826"/>
    <cellStyle name="Normal 4 4 2 2 5 3" xfId="5581"/>
    <cellStyle name="Normal 4 4 2 2 5 3 2" xfId="14017"/>
    <cellStyle name="Normal 4 4 2 2 5 3 3" xfId="22458"/>
    <cellStyle name="Normal 4 4 2 2 5 3 4" xfId="30898"/>
    <cellStyle name="Normal 4 4 2 2 5 4" xfId="9799"/>
    <cellStyle name="Normal 4 4 2 2 5 5" xfId="18241"/>
    <cellStyle name="Normal 4 4 2 2 5 6" xfId="26681"/>
    <cellStyle name="Normal 4 4 2 2 6" xfId="1686"/>
    <cellStyle name="Normal 4 4 2 2 6 2" xfId="3916"/>
    <cellStyle name="Normal 4 4 2 2 6 2 2" xfId="8139"/>
    <cellStyle name="Normal 4 4 2 2 6 2 2 2" xfId="16575"/>
    <cellStyle name="Normal 4 4 2 2 6 2 2 3" xfId="25016"/>
    <cellStyle name="Normal 4 4 2 2 6 2 2 4" xfId="33456"/>
    <cellStyle name="Normal 4 4 2 2 6 2 3" xfId="12357"/>
    <cellStyle name="Normal 4 4 2 2 6 2 4" xfId="20799"/>
    <cellStyle name="Normal 4 4 2 2 6 2 5" xfId="29239"/>
    <cellStyle name="Normal 4 4 2 2 6 3" xfId="5994"/>
    <cellStyle name="Normal 4 4 2 2 6 3 2" xfId="14430"/>
    <cellStyle name="Normal 4 4 2 2 6 3 3" xfId="22871"/>
    <cellStyle name="Normal 4 4 2 2 6 3 4" xfId="31311"/>
    <cellStyle name="Normal 4 4 2 2 6 4" xfId="10212"/>
    <cellStyle name="Normal 4 4 2 2 6 5" xfId="18654"/>
    <cellStyle name="Normal 4 4 2 2 6 6" xfId="27094"/>
    <cellStyle name="Normal 4 4 2 2 7" xfId="2100"/>
    <cellStyle name="Normal 4 4 2 2 7 2" xfId="4329"/>
    <cellStyle name="Normal 4 4 2 2 7 2 2" xfId="8552"/>
    <cellStyle name="Normal 4 4 2 2 7 2 2 2" xfId="16988"/>
    <cellStyle name="Normal 4 4 2 2 7 2 2 3" xfId="25429"/>
    <cellStyle name="Normal 4 4 2 2 7 2 2 4" xfId="33869"/>
    <cellStyle name="Normal 4 4 2 2 7 2 3" xfId="12770"/>
    <cellStyle name="Normal 4 4 2 2 7 2 4" xfId="21212"/>
    <cellStyle name="Normal 4 4 2 2 7 2 5" xfId="29652"/>
    <cellStyle name="Normal 4 4 2 2 7 3" xfId="6407"/>
    <cellStyle name="Normal 4 4 2 2 7 3 2" xfId="14843"/>
    <cellStyle name="Normal 4 4 2 2 7 3 3" xfId="23284"/>
    <cellStyle name="Normal 4 4 2 2 7 3 4" xfId="31724"/>
    <cellStyle name="Normal 4 4 2 2 7 4" xfId="10625"/>
    <cellStyle name="Normal 4 4 2 2 7 5" xfId="19067"/>
    <cellStyle name="Normal 4 4 2 2 7 6" xfId="27507"/>
    <cellStyle name="Normal 4 4 2 2 8" xfId="2536"/>
    <cellStyle name="Normal 4 4 2 2 8 2" xfId="6820"/>
    <cellStyle name="Normal 4 4 2 2 8 2 2" xfId="15256"/>
    <cellStyle name="Normal 4 4 2 2 8 2 3" xfId="23697"/>
    <cellStyle name="Normal 4 4 2 2 8 2 4" xfId="32137"/>
    <cellStyle name="Normal 4 4 2 2 8 3" xfId="11038"/>
    <cellStyle name="Normal 4 4 2 2 8 4" xfId="19480"/>
    <cellStyle name="Normal 4 4 2 2 8 5" xfId="27920"/>
    <cellStyle name="Normal 4 4 2 2 9" xfId="4755"/>
    <cellStyle name="Normal 4 4 2 2 9 2" xfId="13191"/>
    <cellStyle name="Normal 4 4 2 2 9 3" xfId="21632"/>
    <cellStyle name="Normal 4 4 2 2 9 4" xfId="30072"/>
    <cellStyle name="Normal 4 4 2 3" xfId="384"/>
    <cellStyle name="Normal 4 4 2 3 10" xfId="17419"/>
    <cellStyle name="Normal 4 4 2 3 11" xfId="25859"/>
    <cellStyle name="Normal 4 4 2 3 2" xfId="385"/>
    <cellStyle name="Normal 4 4 2 3 2 10" xfId="25860"/>
    <cellStyle name="Normal 4 4 2 3 2 2" xfId="860"/>
    <cellStyle name="Normal 4 4 2 3 2 2 2" xfId="3095"/>
    <cellStyle name="Normal 4 4 2 3 2 2 2 2" xfId="7318"/>
    <cellStyle name="Normal 4 4 2 3 2 2 2 2 2" xfId="15754"/>
    <cellStyle name="Normal 4 4 2 3 2 2 2 2 3" xfId="24195"/>
    <cellStyle name="Normal 4 4 2 3 2 2 2 2 4" xfId="32635"/>
    <cellStyle name="Normal 4 4 2 3 2 2 2 3" xfId="11536"/>
    <cellStyle name="Normal 4 4 2 3 2 2 2 4" xfId="19978"/>
    <cellStyle name="Normal 4 4 2 3 2 2 2 5" xfId="28418"/>
    <cellStyle name="Normal 4 4 2 3 2 2 3" xfId="5173"/>
    <cellStyle name="Normal 4 4 2 3 2 2 3 2" xfId="13609"/>
    <cellStyle name="Normal 4 4 2 3 2 2 3 3" xfId="22050"/>
    <cellStyle name="Normal 4 4 2 3 2 2 3 4" xfId="30490"/>
    <cellStyle name="Normal 4 4 2 3 2 2 4" xfId="9391"/>
    <cellStyle name="Normal 4 4 2 3 2 2 5" xfId="17833"/>
    <cellStyle name="Normal 4 4 2 3 2 2 6" xfId="26273"/>
    <cellStyle name="Normal 4 4 2 3 2 3" xfId="1278"/>
    <cellStyle name="Normal 4 4 2 3 2 3 2" xfId="3508"/>
    <cellStyle name="Normal 4 4 2 3 2 3 2 2" xfId="7731"/>
    <cellStyle name="Normal 4 4 2 3 2 3 2 2 2" xfId="16167"/>
    <cellStyle name="Normal 4 4 2 3 2 3 2 2 3" xfId="24608"/>
    <cellStyle name="Normal 4 4 2 3 2 3 2 2 4" xfId="33048"/>
    <cellStyle name="Normal 4 4 2 3 2 3 2 3" xfId="11949"/>
    <cellStyle name="Normal 4 4 2 3 2 3 2 4" xfId="20391"/>
    <cellStyle name="Normal 4 4 2 3 2 3 2 5" xfId="28831"/>
    <cellStyle name="Normal 4 4 2 3 2 3 3" xfId="5586"/>
    <cellStyle name="Normal 4 4 2 3 2 3 3 2" xfId="14022"/>
    <cellStyle name="Normal 4 4 2 3 2 3 3 3" xfId="22463"/>
    <cellStyle name="Normal 4 4 2 3 2 3 3 4" xfId="30903"/>
    <cellStyle name="Normal 4 4 2 3 2 3 4" xfId="9804"/>
    <cellStyle name="Normal 4 4 2 3 2 3 5" xfId="18246"/>
    <cellStyle name="Normal 4 4 2 3 2 3 6" xfId="26686"/>
    <cellStyle name="Normal 4 4 2 3 2 4" xfId="1691"/>
    <cellStyle name="Normal 4 4 2 3 2 4 2" xfId="3921"/>
    <cellStyle name="Normal 4 4 2 3 2 4 2 2" xfId="8144"/>
    <cellStyle name="Normal 4 4 2 3 2 4 2 2 2" xfId="16580"/>
    <cellStyle name="Normal 4 4 2 3 2 4 2 2 3" xfId="25021"/>
    <cellStyle name="Normal 4 4 2 3 2 4 2 2 4" xfId="33461"/>
    <cellStyle name="Normal 4 4 2 3 2 4 2 3" xfId="12362"/>
    <cellStyle name="Normal 4 4 2 3 2 4 2 4" xfId="20804"/>
    <cellStyle name="Normal 4 4 2 3 2 4 2 5" xfId="29244"/>
    <cellStyle name="Normal 4 4 2 3 2 4 3" xfId="5999"/>
    <cellStyle name="Normal 4 4 2 3 2 4 3 2" xfId="14435"/>
    <cellStyle name="Normal 4 4 2 3 2 4 3 3" xfId="22876"/>
    <cellStyle name="Normal 4 4 2 3 2 4 3 4" xfId="31316"/>
    <cellStyle name="Normal 4 4 2 3 2 4 4" xfId="10217"/>
    <cellStyle name="Normal 4 4 2 3 2 4 5" xfId="18659"/>
    <cellStyle name="Normal 4 4 2 3 2 4 6" xfId="27099"/>
    <cellStyle name="Normal 4 4 2 3 2 5" xfId="2105"/>
    <cellStyle name="Normal 4 4 2 3 2 5 2" xfId="4334"/>
    <cellStyle name="Normal 4 4 2 3 2 5 2 2" xfId="8557"/>
    <cellStyle name="Normal 4 4 2 3 2 5 2 2 2" xfId="16993"/>
    <cellStyle name="Normal 4 4 2 3 2 5 2 2 3" xfId="25434"/>
    <cellStyle name="Normal 4 4 2 3 2 5 2 2 4" xfId="33874"/>
    <cellStyle name="Normal 4 4 2 3 2 5 2 3" xfId="12775"/>
    <cellStyle name="Normal 4 4 2 3 2 5 2 4" xfId="21217"/>
    <cellStyle name="Normal 4 4 2 3 2 5 2 5" xfId="29657"/>
    <cellStyle name="Normal 4 4 2 3 2 5 3" xfId="6412"/>
    <cellStyle name="Normal 4 4 2 3 2 5 3 2" xfId="14848"/>
    <cellStyle name="Normal 4 4 2 3 2 5 3 3" xfId="23289"/>
    <cellStyle name="Normal 4 4 2 3 2 5 3 4" xfId="31729"/>
    <cellStyle name="Normal 4 4 2 3 2 5 4" xfId="10630"/>
    <cellStyle name="Normal 4 4 2 3 2 5 5" xfId="19072"/>
    <cellStyle name="Normal 4 4 2 3 2 5 6" xfId="27512"/>
    <cellStyle name="Normal 4 4 2 3 2 6" xfId="2541"/>
    <cellStyle name="Normal 4 4 2 3 2 6 2" xfId="6825"/>
    <cellStyle name="Normal 4 4 2 3 2 6 2 2" xfId="15261"/>
    <cellStyle name="Normal 4 4 2 3 2 6 2 3" xfId="23702"/>
    <cellStyle name="Normal 4 4 2 3 2 6 2 4" xfId="32142"/>
    <cellStyle name="Normal 4 4 2 3 2 6 3" xfId="11043"/>
    <cellStyle name="Normal 4 4 2 3 2 6 4" xfId="19485"/>
    <cellStyle name="Normal 4 4 2 3 2 6 5" xfId="27925"/>
    <cellStyle name="Normal 4 4 2 3 2 7" xfId="4760"/>
    <cellStyle name="Normal 4 4 2 3 2 7 2" xfId="13196"/>
    <cellStyle name="Normal 4 4 2 3 2 7 3" xfId="21637"/>
    <cellStyle name="Normal 4 4 2 3 2 7 4" xfId="30077"/>
    <cellStyle name="Normal 4 4 2 3 2 8" xfId="8978"/>
    <cellStyle name="Normal 4 4 2 3 2 9" xfId="17420"/>
    <cellStyle name="Normal 4 4 2 3 3" xfId="859"/>
    <cellStyle name="Normal 4 4 2 3 3 2" xfId="3094"/>
    <cellStyle name="Normal 4 4 2 3 3 2 2" xfId="7317"/>
    <cellStyle name="Normal 4 4 2 3 3 2 2 2" xfId="15753"/>
    <cellStyle name="Normal 4 4 2 3 3 2 2 3" xfId="24194"/>
    <cellStyle name="Normal 4 4 2 3 3 2 2 4" xfId="32634"/>
    <cellStyle name="Normal 4 4 2 3 3 2 3" xfId="11535"/>
    <cellStyle name="Normal 4 4 2 3 3 2 4" xfId="19977"/>
    <cellStyle name="Normal 4 4 2 3 3 2 5" xfId="28417"/>
    <cellStyle name="Normal 4 4 2 3 3 3" xfId="5172"/>
    <cellStyle name="Normal 4 4 2 3 3 3 2" xfId="13608"/>
    <cellStyle name="Normal 4 4 2 3 3 3 3" xfId="22049"/>
    <cellStyle name="Normal 4 4 2 3 3 3 4" xfId="30489"/>
    <cellStyle name="Normal 4 4 2 3 3 4" xfId="9390"/>
    <cellStyle name="Normal 4 4 2 3 3 5" xfId="17832"/>
    <cellStyle name="Normal 4 4 2 3 3 6" xfId="26272"/>
    <cellStyle name="Normal 4 4 2 3 4" xfId="1277"/>
    <cellStyle name="Normal 4 4 2 3 4 2" xfId="3507"/>
    <cellStyle name="Normal 4 4 2 3 4 2 2" xfId="7730"/>
    <cellStyle name="Normal 4 4 2 3 4 2 2 2" xfId="16166"/>
    <cellStyle name="Normal 4 4 2 3 4 2 2 3" xfId="24607"/>
    <cellStyle name="Normal 4 4 2 3 4 2 2 4" xfId="33047"/>
    <cellStyle name="Normal 4 4 2 3 4 2 3" xfId="11948"/>
    <cellStyle name="Normal 4 4 2 3 4 2 4" xfId="20390"/>
    <cellStyle name="Normal 4 4 2 3 4 2 5" xfId="28830"/>
    <cellStyle name="Normal 4 4 2 3 4 3" xfId="5585"/>
    <cellStyle name="Normal 4 4 2 3 4 3 2" xfId="14021"/>
    <cellStyle name="Normal 4 4 2 3 4 3 3" xfId="22462"/>
    <cellStyle name="Normal 4 4 2 3 4 3 4" xfId="30902"/>
    <cellStyle name="Normal 4 4 2 3 4 4" xfId="9803"/>
    <cellStyle name="Normal 4 4 2 3 4 5" xfId="18245"/>
    <cellStyle name="Normal 4 4 2 3 4 6" xfId="26685"/>
    <cellStyle name="Normal 4 4 2 3 5" xfId="1690"/>
    <cellStyle name="Normal 4 4 2 3 5 2" xfId="3920"/>
    <cellStyle name="Normal 4 4 2 3 5 2 2" xfId="8143"/>
    <cellStyle name="Normal 4 4 2 3 5 2 2 2" xfId="16579"/>
    <cellStyle name="Normal 4 4 2 3 5 2 2 3" xfId="25020"/>
    <cellStyle name="Normal 4 4 2 3 5 2 2 4" xfId="33460"/>
    <cellStyle name="Normal 4 4 2 3 5 2 3" xfId="12361"/>
    <cellStyle name="Normal 4 4 2 3 5 2 4" xfId="20803"/>
    <cellStyle name="Normal 4 4 2 3 5 2 5" xfId="29243"/>
    <cellStyle name="Normal 4 4 2 3 5 3" xfId="5998"/>
    <cellStyle name="Normal 4 4 2 3 5 3 2" xfId="14434"/>
    <cellStyle name="Normal 4 4 2 3 5 3 3" xfId="22875"/>
    <cellStyle name="Normal 4 4 2 3 5 3 4" xfId="31315"/>
    <cellStyle name="Normal 4 4 2 3 5 4" xfId="10216"/>
    <cellStyle name="Normal 4 4 2 3 5 5" xfId="18658"/>
    <cellStyle name="Normal 4 4 2 3 5 6" xfId="27098"/>
    <cellStyle name="Normal 4 4 2 3 6" xfId="2104"/>
    <cellStyle name="Normal 4 4 2 3 6 2" xfId="4333"/>
    <cellStyle name="Normal 4 4 2 3 6 2 2" xfId="8556"/>
    <cellStyle name="Normal 4 4 2 3 6 2 2 2" xfId="16992"/>
    <cellStyle name="Normal 4 4 2 3 6 2 2 3" xfId="25433"/>
    <cellStyle name="Normal 4 4 2 3 6 2 2 4" xfId="33873"/>
    <cellStyle name="Normal 4 4 2 3 6 2 3" xfId="12774"/>
    <cellStyle name="Normal 4 4 2 3 6 2 4" xfId="21216"/>
    <cellStyle name="Normal 4 4 2 3 6 2 5" xfId="29656"/>
    <cellStyle name="Normal 4 4 2 3 6 3" xfId="6411"/>
    <cellStyle name="Normal 4 4 2 3 6 3 2" xfId="14847"/>
    <cellStyle name="Normal 4 4 2 3 6 3 3" xfId="23288"/>
    <cellStyle name="Normal 4 4 2 3 6 3 4" xfId="31728"/>
    <cellStyle name="Normal 4 4 2 3 6 4" xfId="10629"/>
    <cellStyle name="Normal 4 4 2 3 6 5" xfId="19071"/>
    <cellStyle name="Normal 4 4 2 3 6 6" xfId="27511"/>
    <cellStyle name="Normal 4 4 2 3 7" xfId="2540"/>
    <cellStyle name="Normal 4 4 2 3 7 2" xfId="6824"/>
    <cellStyle name="Normal 4 4 2 3 7 2 2" xfId="15260"/>
    <cellStyle name="Normal 4 4 2 3 7 2 3" xfId="23701"/>
    <cellStyle name="Normal 4 4 2 3 7 2 4" xfId="32141"/>
    <cellStyle name="Normal 4 4 2 3 7 3" xfId="11042"/>
    <cellStyle name="Normal 4 4 2 3 7 4" xfId="19484"/>
    <cellStyle name="Normal 4 4 2 3 7 5" xfId="27924"/>
    <cellStyle name="Normal 4 4 2 3 8" xfId="4759"/>
    <cellStyle name="Normal 4 4 2 3 8 2" xfId="13195"/>
    <cellStyle name="Normal 4 4 2 3 8 3" xfId="21636"/>
    <cellStyle name="Normal 4 4 2 3 8 4" xfId="30076"/>
    <cellStyle name="Normal 4 4 2 3 9" xfId="8977"/>
    <cellStyle name="Normal 4 4 2 4" xfId="386"/>
    <cellStyle name="Normal 4 4 2 4 10" xfId="25861"/>
    <cellStyle name="Normal 4 4 2 4 2" xfId="861"/>
    <cellStyle name="Normal 4 4 2 4 2 2" xfId="3096"/>
    <cellStyle name="Normal 4 4 2 4 2 2 2" xfId="7319"/>
    <cellStyle name="Normal 4 4 2 4 2 2 2 2" xfId="15755"/>
    <cellStyle name="Normal 4 4 2 4 2 2 2 3" xfId="24196"/>
    <cellStyle name="Normal 4 4 2 4 2 2 2 4" xfId="32636"/>
    <cellStyle name="Normal 4 4 2 4 2 2 3" xfId="11537"/>
    <cellStyle name="Normal 4 4 2 4 2 2 4" xfId="19979"/>
    <cellStyle name="Normal 4 4 2 4 2 2 5" xfId="28419"/>
    <cellStyle name="Normal 4 4 2 4 2 3" xfId="5174"/>
    <cellStyle name="Normal 4 4 2 4 2 3 2" xfId="13610"/>
    <cellStyle name="Normal 4 4 2 4 2 3 3" xfId="22051"/>
    <cellStyle name="Normal 4 4 2 4 2 3 4" xfId="30491"/>
    <cellStyle name="Normal 4 4 2 4 2 4" xfId="9392"/>
    <cellStyle name="Normal 4 4 2 4 2 5" xfId="17834"/>
    <cellStyle name="Normal 4 4 2 4 2 6" xfId="26274"/>
    <cellStyle name="Normal 4 4 2 4 3" xfId="1279"/>
    <cellStyle name="Normal 4 4 2 4 3 2" xfId="3509"/>
    <cellStyle name="Normal 4 4 2 4 3 2 2" xfId="7732"/>
    <cellStyle name="Normal 4 4 2 4 3 2 2 2" xfId="16168"/>
    <cellStyle name="Normal 4 4 2 4 3 2 2 3" xfId="24609"/>
    <cellStyle name="Normal 4 4 2 4 3 2 2 4" xfId="33049"/>
    <cellStyle name="Normal 4 4 2 4 3 2 3" xfId="11950"/>
    <cellStyle name="Normal 4 4 2 4 3 2 4" xfId="20392"/>
    <cellStyle name="Normal 4 4 2 4 3 2 5" xfId="28832"/>
    <cellStyle name="Normal 4 4 2 4 3 3" xfId="5587"/>
    <cellStyle name="Normal 4 4 2 4 3 3 2" xfId="14023"/>
    <cellStyle name="Normal 4 4 2 4 3 3 3" xfId="22464"/>
    <cellStyle name="Normal 4 4 2 4 3 3 4" xfId="30904"/>
    <cellStyle name="Normal 4 4 2 4 3 4" xfId="9805"/>
    <cellStyle name="Normal 4 4 2 4 3 5" xfId="18247"/>
    <cellStyle name="Normal 4 4 2 4 3 6" xfId="26687"/>
    <cellStyle name="Normal 4 4 2 4 4" xfId="1692"/>
    <cellStyle name="Normal 4 4 2 4 4 2" xfId="3922"/>
    <cellStyle name="Normal 4 4 2 4 4 2 2" xfId="8145"/>
    <cellStyle name="Normal 4 4 2 4 4 2 2 2" xfId="16581"/>
    <cellStyle name="Normal 4 4 2 4 4 2 2 3" xfId="25022"/>
    <cellStyle name="Normal 4 4 2 4 4 2 2 4" xfId="33462"/>
    <cellStyle name="Normal 4 4 2 4 4 2 3" xfId="12363"/>
    <cellStyle name="Normal 4 4 2 4 4 2 4" xfId="20805"/>
    <cellStyle name="Normal 4 4 2 4 4 2 5" xfId="29245"/>
    <cellStyle name="Normal 4 4 2 4 4 3" xfId="6000"/>
    <cellStyle name="Normal 4 4 2 4 4 3 2" xfId="14436"/>
    <cellStyle name="Normal 4 4 2 4 4 3 3" xfId="22877"/>
    <cellStyle name="Normal 4 4 2 4 4 3 4" xfId="31317"/>
    <cellStyle name="Normal 4 4 2 4 4 4" xfId="10218"/>
    <cellStyle name="Normal 4 4 2 4 4 5" xfId="18660"/>
    <cellStyle name="Normal 4 4 2 4 4 6" xfId="27100"/>
    <cellStyle name="Normal 4 4 2 4 5" xfId="2106"/>
    <cellStyle name="Normal 4 4 2 4 5 2" xfId="4335"/>
    <cellStyle name="Normal 4 4 2 4 5 2 2" xfId="8558"/>
    <cellStyle name="Normal 4 4 2 4 5 2 2 2" xfId="16994"/>
    <cellStyle name="Normal 4 4 2 4 5 2 2 3" xfId="25435"/>
    <cellStyle name="Normal 4 4 2 4 5 2 2 4" xfId="33875"/>
    <cellStyle name="Normal 4 4 2 4 5 2 3" xfId="12776"/>
    <cellStyle name="Normal 4 4 2 4 5 2 4" xfId="21218"/>
    <cellStyle name="Normal 4 4 2 4 5 2 5" xfId="29658"/>
    <cellStyle name="Normal 4 4 2 4 5 3" xfId="6413"/>
    <cellStyle name="Normal 4 4 2 4 5 3 2" xfId="14849"/>
    <cellStyle name="Normal 4 4 2 4 5 3 3" xfId="23290"/>
    <cellStyle name="Normal 4 4 2 4 5 3 4" xfId="31730"/>
    <cellStyle name="Normal 4 4 2 4 5 4" xfId="10631"/>
    <cellStyle name="Normal 4 4 2 4 5 5" xfId="19073"/>
    <cellStyle name="Normal 4 4 2 4 5 6" xfId="27513"/>
    <cellStyle name="Normal 4 4 2 4 6" xfId="2542"/>
    <cellStyle name="Normal 4 4 2 4 6 2" xfId="6826"/>
    <cellStyle name="Normal 4 4 2 4 6 2 2" xfId="15262"/>
    <cellStyle name="Normal 4 4 2 4 6 2 3" xfId="23703"/>
    <cellStyle name="Normal 4 4 2 4 6 2 4" xfId="32143"/>
    <cellStyle name="Normal 4 4 2 4 6 3" xfId="11044"/>
    <cellStyle name="Normal 4 4 2 4 6 4" xfId="19486"/>
    <cellStyle name="Normal 4 4 2 4 6 5" xfId="27926"/>
    <cellStyle name="Normal 4 4 2 4 7" xfId="4761"/>
    <cellStyle name="Normal 4 4 2 4 7 2" xfId="13197"/>
    <cellStyle name="Normal 4 4 2 4 7 3" xfId="21638"/>
    <cellStyle name="Normal 4 4 2 4 7 4" xfId="30078"/>
    <cellStyle name="Normal 4 4 2 4 8" xfId="8979"/>
    <cellStyle name="Normal 4 4 2 4 9" xfId="17421"/>
    <cellStyle name="Normal 4 4 2 5" xfId="854"/>
    <cellStyle name="Normal 4 4 2 5 2" xfId="3089"/>
    <cellStyle name="Normal 4 4 2 5 2 2" xfId="7312"/>
    <cellStyle name="Normal 4 4 2 5 2 2 2" xfId="15748"/>
    <cellStyle name="Normal 4 4 2 5 2 2 3" xfId="24189"/>
    <cellStyle name="Normal 4 4 2 5 2 2 4" xfId="32629"/>
    <cellStyle name="Normal 4 4 2 5 2 3" xfId="11530"/>
    <cellStyle name="Normal 4 4 2 5 2 4" xfId="19972"/>
    <cellStyle name="Normal 4 4 2 5 2 5" xfId="28412"/>
    <cellStyle name="Normal 4 4 2 5 3" xfId="5167"/>
    <cellStyle name="Normal 4 4 2 5 3 2" xfId="13603"/>
    <cellStyle name="Normal 4 4 2 5 3 3" xfId="22044"/>
    <cellStyle name="Normal 4 4 2 5 3 4" xfId="30484"/>
    <cellStyle name="Normal 4 4 2 5 4" xfId="9385"/>
    <cellStyle name="Normal 4 4 2 5 5" xfId="17827"/>
    <cellStyle name="Normal 4 4 2 5 6" xfId="26267"/>
    <cellStyle name="Normal 4 4 2 6" xfId="1272"/>
    <cellStyle name="Normal 4 4 2 6 2" xfId="3502"/>
    <cellStyle name="Normal 4 4 2 6 2 2" xfId="7725"/>
    <cellStyle name="Normal 4 4 2 6 2 2 2" xfId="16161"/>
    <cellStyle name="Normal 4 4 2 6 2 2 3" xfId="24602"/>
    <cellStyle name="Normal 4 4 2 6 2 2 4" xfId="33042"/>
    <cellStyle name="Normal 4 4 2 6 2 3" xfId="11943"/>
    <cellStyle name="Normal 4 4 2 6 2 4" xfId="20385"/>
    <cellStyle name="Normal 4 4 2 6 2 5" xfId="28825"/>
    <cellStyle name="Normal 4 4 2 6 3" xfId="5580"/>
    <cellStyle name="Normal 4 4 2 6 3 2" xfId="14016"/>
    <cellStyle name="Normal 4 4 2 6 3 3" xfId="22457"/>
    <cellStyle name="Normal 4 4 2 6 3 4" xfId="30897"/>
    <cellStyle name="Normal 4 4 2 6 4" xfId="9798"/>
    <cellStyle name="Normal 4 4 2 6 5" xfId="18240"/>
    <cellStyle name="Normal 4 4 2 6 6" xfId="26680"/>
    <cellStyle name="Normal 4 4 2 7" xfId="1685"/>
    <cellStyle name="Normal 4 4 2 7 2" xfId="3915"/>
    <cellStyle name="Normal 4 4 2 7 2 2" xfId="8138"/>
    <cellStyle name="Normal 4 4 2 7 2 2 2" xfId="16574"/>
    <cellStyle name="Normal 4 4 2 7 2 2 3" xfId="25015"/>
    <cellStyle name="Normal 4 4 2 7 2 2 4" xfId="33455"/>
    <cellStyle name="Normal 4 4 2 7 2 3" xfId="12356"/>
    <cellStyle name="Normal 4 4 2 7 2 4" xfId="20798"/>
    <cellStyle name="Normal 4 4 2 7 2 5" xfId="29238"/>
    <cellStyle name="Normal 4 4 2 7 3" xfId="5993"/>
    <cellStyle name="Normal 4 4 2 7 3 2" xfId="14429"/>
    <cellStyle name="Normal 4 4 2 7 3 3" xfId="22870"/>
    <cellStyle name="Normal 4 4 2 7 3 4" xfId="31310"/>
    <cellStyle name="Normal 4 4 2 7 4" xfId="10211"/>
    <cellStyle name="Normal 4 4 2 7 5" xfId="18653"/>
    <cellStyle name="Normal 4 4 2 7 6" xfId="27093"/>
    <cellStyle name="Normal 4 4 2 8" xfId="2099"/>
    <cellStyle name="Normal 4 4 2 8 2" xfId="4328"/>
    <cellStyle name="Normal 4 4 2 8 2 2" xfId="8551"/>
    <cellStyle name="Normal 4 4 2 8 2 2 2" xfId="16987"/>
    <cellStyle name="Normal 4 4 2 8 2 2 3" xfId="25428"/>
    <cellStyle name="Normal 4 4 2 8 2 2 4" xfId="33868"/>
    <cellStyle name="Normal 4 4 2 8 2 3" xfId="12769"/>
    <cellStyle name="Normal 4 4 2 8 2 4" xfId="21211"/>
    <cellStyle name="Normal 4 4 2 8 2 5" xfId="29651"/>
    <cellStyle name="Normal 4 4 2 8 3" xfId="6406"/>
    <cellStyle name="Normal 4 4 2 8 3 2" xfId="14842"/>
    <cellStyle name="Normal 4 4 2 8 3 3" xfId="23283"/>
    <cellStyle name="Normal 4 4 2 8 3 4" xfId="31723"/>
    <cellStyle name="Normal 4 4 2 8 4" xfId="10624"/>
    <cellStyle name="Normal 4 4 2 8 5" xfId="19066"/>
    <cellStyle name="Normal 4 4 2 8 6" xfId="27506"/>
    <cellStyle name="Normal 4 4 2 9" xfId="2535"/>
    <cellStyle name="Normal 4 4 2 9 2" xfId="6819"/>
    <cellStyle name="Normal 4 4 2 9 2 2" xfId="15255"/>
    <cellStyle name="Normal 4 4 2 9 2 3" xfId="23696"/>
    <cellStyle name="Normal 4 4 2 9 2 4" xfId="32136"/>
    <cellStyle name="Normal 4 4 2 9 3" xfId="11037"/>
    <cellStyle name="Normal 4 4 2 9 4" xfId="19479"/>
    <cellStyle name="Normal 4 4 2 9 5" xfId="27919"/>
    <cellStyle name="Normal 4 4 3" xfId="387"/>
    <cellStyle name="Normal 4 4 3 10" xfId="8980"/>
    <cellStyle name="Normal 4 4 3 11" xfId="17422"/>
    <cellStyle name="Normal 4 4 3 12" xfId="25862"/>
    <cellStyle name="Normal 4 4 3 2" xfId="388"/>
    <cellStyle name="Normal 4 4 3 2 10" xfId="17423"/>
    <cellStyle name="Normal 4 4 3 2 11" xfId="25863"/>
    <cellStyle name="Normal 4 4 3 2 2" xfId="389"/>
    <cellStyle name="Normal 4 4 3 2 2 10" xfId="25864"/>
    <cellStyle name="Normal 4 4 3 2 2 2" xfId="864"/>
    <cellStyle name="Normal 4 4 3 2 2 2 2" xfId="3099"/>
    <cellStyle name="Normal 4 4 3 2 2 2 2 2" xfId="7322"/>
    <cellStyle name="Normal 4 4 3 2 2 2 2 2 2" xfId="15758"/>
    <cellStyle name="Normal 4 4 3 2 2 2 2 2 3" xfId="24199"/>
    <cellStyle name="Normal 4 4 3 2 2 2 2 2 4" xfId="32639"/>
    <cellStyle name="Normal 4 4 3 2 2 2 2 3" xfId="11540"/>
    <cellStyle name="Normal 4 4 3 2 2 2 2 4" xfId="19982"/>
    <cellStyle name="Normal 4 4 3 2 2 2 2 5" xfId="28422"/>
    <cellStyle name="Normal 4 4 3 2 2 2 3" xfId="5177"/>
    <cellStyle name="Normal 4 4 3 2 2 2 3 2" xfId="13613"/>
    <cellStyle name="Normal 4 4 3 2 2 2 3 3" xfId="22054"/>
    <cellStyle name="Normal 4 4 3 2 2 2 3 4" xfId="30494"/>
    <cellStyle name="Normal 4 4 3 2 2 2 4" xfId="9395"/>
    <cellStyle name="Normal 4 4 3 2 2 2 5" xfId="17837"/>
    <cellStyle name="Normal 4 4 3 2 2 2 6" xfId="26277"/>
    <cellStyle name="Normal 4 4 3 2 2 3" xfId="1282"/>
    <cellStyle name="Normal 4 4 3 2 2 3 2" xfId="3512"/>
    <cellStyle name="Normal 4 4 3 2 2 3 2 2" xfId="7735"/>
    <cellStyle name="Normal 4 4 3 2 2 3 2 2 2" xfId="16171"/>
    <cellStyle name="Normal 4 4 3 2 2 3 2 2 3" xfId="24612"/>
    <cellStyle name="Normal 4 4 3 2 2 3 2 2 4" xfId="33052"/>
    <cellStyle name="Normal 4 4 3 2 2 3 2 3" xfId="11953"/>
    <cellStyle name="Normal 4 4 3 2 2 3 2 4" xfId="20395"/>
    <cellStyle name="Normal 4 4 3 2 2 3 2 5" xfId="28835"/>
    <cellStyle name="Normal 4 4 3 2 2 3 3" xfId="5590"/>
    <cellStyle name="Normal 4 4 3 2 2 3 3 2" xfId="14026"/>
    <cellStyle name="Normal 4 4 3 2 2 3 3 3" xfId="22467"/>
    <cellStyle name="Normal 4 4 3 2 2 3 3 4" xfId="30907"/>
    <cellStyle name="Normal 4 4 3 2 2 3 4" xfId="9808"/>
    <cellStyle name="Normal 4 4 3 2 2 3 5" xfId="18250"/>
    <cellStyle name="Normal 4 4 3 2 2 3 6" xfId="26690"/>
    <cellStyle name="Normal 4 4 3 2 2 4" xfId="1695"/>
    <cellStyle name="Normal 4 4 3 2 2 4 2" xfId="3925"/>
    <cellStyle name="Normal 4 4 3 2 2 4 2 2" xfId="8148"/>
    <cellStyle name="Normal 4 4 3 2 2 4 2 2 2" xfId="16584"/>
    <cellStyle name="Normal 4 4 3 2 2 4 2 2 3" xfId="25025"/>
    <cellStyle name="Normal 4 4 3 2 2 4 2 2 4" xfId="33465"/>
    <cellStyle name="Normal 4 4 3 2 2 4 2 3" xfId="12366"/>
    <cellStyle name="Normal 4 4 3 2 2 4 2 4" xfId="20808"/>
    <cellStyle name="Normal 4 4 3 2 2 4 2 5" xfId="29248"/>
    <cellStyle name="Normal 4 4 3 2 2 4 3" xfId="6003"/>
    <cellStyle name="Normal 4 4 3 2 2 4 3 2" xfId="14439"/>
    <cellStyle name="Normal 4 4 3 2 2 4 3 3" xfId="22880"/>
    <cellStyle name="Normal 4 4 3 2 2 4 3 4" xfId="31320"/>
    <cellStyle name="Normal 4 4 3 2 2 4 4" xfId="10221"/>
    <cellStyle name="Normal 4 4 3 2 2 4 5" xfId="18663"/>
    <cellStyle name="Normal 4 4 3 2 2 4 6" xfId="27103"/>
    <cellStyle name="Normal 4 4 3 2 2 5" xfId="2109"/>
    <cellStyle name="Normal 4 4 3 2 2 5 2" xfId="4338"/>
    <cellStyle name="Normal 4 4 3 2 2 5 2 2" xfId="8561"/>
    <cellStyle name="Normal 4 4 3 2 2 5 2 2 2" xfId="16997"/>
    <cellStyle name="Normal 4 4 3 2 2 5 2 2 3" xfId="25438"/>
    <cellStyle name="Normal 4 4 3 2 2 5 2 2 4" xfId="33878"/>
    <cellStyle name="Normal 4 4 3 2 2 5 2 3" xfId="12779"/>
    <cellStyle name="Normal 4 4 3 2 2 5 2 4" xfId="21221"/>
    <cellStyle name="Normal 4 4 3 2 2 5 2 5" xfId="29661"/>
    <cellStyle name="Normal 4 4 3 2 2 5 3" xfId="6416"/>
    <cellStyle name="Normal 4 4 3 2 2 5 3 2" xfId="14852"/>
    <cellStyle name="Normal 4 4 3 2 2 5 3 3" xfId="23293"/>
    <cellStyle name="Normal 4 4 3 2 2 5 3 4" xfId="31733"/>
    <cellStyle name="Normal 4 4 3 2 2 5 4" xfId="10634"/>
    <cellStyle name="Normal 4 4 3 2 2 5 5" xfId="19076"/>
    <cellStyle name="Normal 4 4 3 2 2 5 6" xfId="27516"/>
    <cellStyle name="Normal 4 4 3 2 2 6" xfId="2545"/>
    <cellStyle name="Normal 4 4 3 2 2 6 2" xfId="6829"/>
    <cellStyle name="Normal 4 4 3 2 2 6 2 2" xfId="15265"/>
    <cellStyle name="Normal 4 4 3 2 2 6 2 3" xfId="23706"/>
    <cellStyle name="Normal 4 4 3 2 2 6 2 4" xfId="32146"/>
    <cellStyle name="Normal 4 4 3 2 2 6 3" xfId="11047"/>
    <cellStyle name="Normal 4 4 3 2 2 6 4" xfId="19489"/>
    <cellStyle name="Normal 4 4 3 2 2 6 5" xfId="27929"/>
    <cellStyle name="Normal 4 4 3 2 2 7" xfId="4764"/>
    <cellStyle name="Normal 4 4 3 2 2 7 2" xfId="13200"/>
    <cellStyle name="Normal 4 4 3 2 2 7 3" xfId="21641"/>
    <cellStyle name="Normal 4 4 3 2 2 7 4" xfId="30081"/>
    <cellStyle name="Normal 4 4 3 2 2 8" xfId="8982"/>
    <cellStyle name="Normal 4 4 3 2 2 9" xfId="17424"/>
    <cellStyle name="Normal 4 4 3 2 3" xfId="863"/>
    <cellStyle name="Normal 4 4 3 2 3 2" xfId="3098"/>
    <cellStyle name="Normal 4 4 3 2 3 2 2" xfId="7321"/>
    <cellStyle name="Normal 4 4 3 2 3 2 2 2" xfId="15757"/>
    <cellStyle name="Normal 4 4 3 2 3 2 2 3" xfId="24198"/>
    <cellStyle name="Normal 4 4 3 2 3 2 2 4" xfId="32638"/>
    <cellStyle name="Normal 4 4 3 2 3 2 3" xfId="11539"/>
    <cellStyle name="Normal 4 4 3 2 3 2 4" xfId="19981"/>
    <cellStyle name="Normal 4 4 3 2 3 2 5" xfId="28421"/>
    <cellStyle name="Normal 4 4 3 2 3 3" xfId="5176"/>
    <cellStyle name="Normal 4 4 3 2 3 3 2" xfId="13612"/>
    <cellStyle name="Normal 4 4 3 2 3 3 3" xfId="22053"/>
    <cellStyle name="Normal 4 4 3 2 3 3 4" xfId="30493"/>
    <cellStyle name="Normal 4 4 3 2 3 4" xfId="9394"/>
    <cellStyle name="Normal 4 4 3 2 3 5" xfId="17836"/>
    <cellStyle name="Normal 4 4 3 2 3 6" xfId="26276"/>
    <cellStyle name="Normal 4 4 3 2 4" xfId="1281"/>
    <cellStyle name="Normal 4 4 3 2 4 2" xfId="3511"/>
    <cellStyle name="Normal 4 4 3 2 4 2 2" xfId="7734"/>
    <cellStyle name="Normal 4 4 3 2 4 2 2 2" xfId="16170"/>
    <cellStyle name="Normal 4 4 3 2 4 2 2 3" xfId="24611"/>
    <cellStyle name="Normal 4 4 3 2 4 2 2 4" xfId="33051"/>
    <cellStyle name="Normal 4 4 3 2 4 2 3" xfId="11952"/>
    <cellStyle name="Normal 4 4 3 2 4 2 4" xfId="20394"/>
    <cellStyle name="Normal 4 4 3 2 4 2 5" xfId="28834"/>
    <cellStyle name="Normal 4 4 3 2 4 3" xfId="5589"/>
    <cellStyle name="Normal 4 4 3 2 4 3 2" xfId="14025"/>
    <cellStyle name="Normal 4 4 3 2 4 3 3" xfId="22466"/>
    <cellStyle name="Normal 4 4 3 2 4 3 4" xfId="30906"/>
    <cellStyle name="Normal 4 4 3 2 4 4" xfId="9807"/>
    <cellStyle name="Normal 4 4 3 2 4 5" xfId="18249"/>
    <cellStyle name="Normal 4 4 3 2 4 6" xfId="26689"/>
    <cellStyle name="Normal 4 4 3 2 5" xfId="1694"/>
    <cellStyle name="Normal 4 4 3 2 5 2" xfId="3924"/>
    <cellStyle name="Normal 4 4 3 2 5 2 2" xfId="8147"/>
    <cellStyle name="Normal 4 4 3 2 5 2 2 2" xfId="16583"/>
    <cellStyle name="Normal 4 4 3 2 5 2 2 3" xfId="25024"/>
    <cellStyle name="Normal 4 4 3 2 5 2 2 4" xfId="33464"/>
    <cellStyle name="Normal 4 4 3 2 5 2 3" xfId="12365"/>
    <cellStyle name="Normal 4 4 3 2 5 2 4" xfId="20807"/>
    <cellStyle name="Normal 4 4 3 2 5 2 5" xfId="29247"/>
    <cellStyle name="Normal 4 4 3 2 5 3" xfId="6002"/>
    <cellStyle name="Normal 4 4 3 2 5 3 2" xfId="14438"/>
    <cellStyle name="Normal 4 4 3 2 5 3 3" xfId="22879"/>
    <cellStyle name="Normal 4 4 3 2 5 3 4" xfId="31319"/>
    <cellStyle name="Normal 4 4 3 2 5 4" xfId="10220"/>
    <cellStyle name="Normal 4 4 3 2 5 5" xfId="18662"/>
    <cellStyle name="Normal 4 4 3 2 5 6" xfId="27102"/>
    <cellStyle name="Normal 4 4 3 2 6" xfId="2108"/>
    <cellStyle name="Normal 4 4 3 2 6 2" xfId="4337"/>
    <cellStyle name="Normal 4 4 3 2 6 2 2" xfId="8560"/>
    <cellStyle name="Normal 4 4 3 2 6 2 2 2" xfId="16996"/>
    <cellStyle name="Normal 4 4 3 2 6 2 2 3" xfId="25437"/>
    <cellStyle name="Normal 4 4 3 2 6 2 2 4" xfId="33877"/>
    <cellStyle name="Normal 4 4 3 2 6 2 3" xfId="12778"/>
    <cellStyle name="Normal 4 4 3 2 6 2 4" xfId="21220"/>
    <cellStyle name="Normal 4 4 3 2 6 2 5" xfId="29660"/>
    <cellStyle name="Normal 4 4 3 2 6 3" xfId="6415"/>
    <cellStyle name="Normal 4 4 3 2 6 3 2" xfId="14851"/>
    <cellStyle name="Normal 4 4 3 2 6 3 3" xfId="23292"/>
    <cellStyle name="Normal 4 4 3 2 6 3 4" xfId="31732"/>
    <cellStyle name="Normal 4 4 3 2 6 4" xfId="10633"/>
    <cellStyle name="Normal 4 4 3 2 6 5" xfId="19075"/>
    <cellStyle name="Normal 4 4 3 2 6 6" xfId="27515"/>
    <cellStyle name="Normal 4 4 3 2 7" xfId="2544"/>
    <cellStyle name="Normal 4 4 3 2 7 2" xfId="6828"/>
    <cellStyle name="Normal 4 4 3 2 7 2 2" xfId="15264"/>
    <cellStyle name="Normal 4 4 3 2 7 2 3" xfId="23705"/>
    <cellStyle name="Normal 4 4 3 2 7 2 4" xfId="32145"/>
    <cellStyle name="Normal 4 4 3 2 7 3" xfId="11046"/>
    <cellStyle name="Normal 4 4 3 2 7 4" xfId="19488"/>
    <cellStyle name="Normal 4 4 3 2 7 5" xfId="27928"/>
    <cellStyle name="Normal 4 4 3 2 8" xfId="4763"/>
    <cellStyle name="Normal 4 4 3 2 8 2" xfId="13199"/>
    <cellStyle name="Normal 4 4 3 2 8 3" xfId="21640"/>
    <cellStyle name="Normal 4 4 3 2 8 4" xfId="30080"/>
    <cellStyle name="Normal 4 4 3 2 9" xfId="8981"/>
    <cellStyle name="Normal 4 4 3 3" xfId="390"/>
    <cellStyle name="Normal 4 4 3 3 10" xfId="25865"/>
    <cellStyle name="Normal 4 4 3 3 2" xfId="865"/>
    <cellStyle name="Normal 4 4 3 3 2 2" xfId="3100"/>
    <cellStyle name="Normal 4 4 3 3 2 2 2" xfId="7323"/>
    <cellStyle name="Normal 4 4 3 3 2 2 2 2" xfId="15759"/>
    <cellStyle name="Normal 4 4 3 3 2 2 2 3" xfId="24200"/>
    <cellStyle name="Normal 4 4 3 3 2 2 2 4" xfId="32640"/>
    <cellStyle name="Normal 4 4 3 3 2 2 3" xfId="11541"/>
    <cellStyle name="Normal 4 4 3 3 2 2 4" xfId="19983"/>
    <cellStyle name="Normal 4 4 3 3 2 2 5" xfId="28423"/>
    <cellStyle name="Normal 4 4 3 3 2 3" xfId="5178"/>
    <cellStyle name="Normal 4 4 3 3 2 3 2" xfId="13614"/>
    <cellStyle name="Normal 4 4 3 3 2 3 3" xfId="22055"/>
    <cellStyle name="Normal 4 4 3 3 2 3 4" xfId="30495"/>
    <cellStyle name="Normal 4 4 3 3 2 4" xfId="9396"/>
    <cellStyle name="Normal 4 4 3 3 2 5" xfId="17838"/>
    <cellStyle name="Normal 4 4 3 3 2 6" xfId="26278"/>
    <cellStyle name="Normal 4 4 3 3 3" xfId="1283"/>
    <cellStyle name="Normal 4 4 3 3 3 2" xfId="3513"/>
    <cellStyle name="Normal 4 4 3 3 3 2 2" xfId="7736"/>
    <cellStyle name="Normal 4 4 3 3 3 2 2 2" xfId="16172"/>
    <cellStyle name="Normal 4 4 3 3 3 2 2 3" xfId="24613"/>
    <cellStyle name="Normal 4 4 3 3 3 2 2 4" xfId="33053"/>
    <cellStyle name="Normal 4 4 3 3 3 2 3" xfId="11954"/>
    <cellStyle name="Normal 4 4 3 3 3 2 4" xfId="20396"/>
    <cellStyle name="Normal 4 4 3 3 3 2 5" xfId="28836"/>
    <cellStyle name="Normal 4 4 3 3 3 3" xfId="5591"/>
    <cellStyle name="Normal 4 4 3 3 3 3 2" xfId="14027"/>
    <cellStyle name="Normal 4 4 3 3 3 3 3" xfId="22468"/>
    <cellStyle name="Normal 4 4 3 3 3 3 4" xfId="30908"/>
    <cellStyle name="Normal 4 4 3 3 3 4" xfId="9809"/>
    <cellStyle name="Normal 4 4 3 3 3 5" xfId="18251"/>
    <cellStyle name="Normal 4 4 3 3 3 6" xfId="26691"/>
    <cellStyle name="Normal 4 4 3 3 4" xfId="1696"/>
    <cellStyle name="Normal 4 4 3 3 4 2" xfId="3926"/>
    <cellStyle name="Normal 4 4 3 3 4 2 2" xfId="8149"/>
    <cellStyle name="Normal 4 4 3 3 4 2 2 2" xfId="16585"/>
    <cellStyle name="Normal 4 4 3 3 4 2 2 3" xfId="25026"/>
    <cellStyle name="Normal 4 4 3 3 4 2 2 4" xfId="33466"/>
    <cellStyle name="Normal 4 4 3 3 4 2 3" xfId="12367"/>
    <cellStyle name="Normal 4 4 3 3 4 2 4" xfId="20809"/>
    <cellStyle name="Normal 4 4 3 3 4 2 5" xfId="29249"/>
    <cellStyle name="Normal 4 4 3 3 4 3" xfId="6004"/>
    <cellStyle name="Normal 4 4 3 3 4 3 2" xfId="14440"/>
    <cellStyle name="Normal 4 4 3 3 4 3 3" xfId="22881"/>
    <cellStyle name="Normal 4 4 3 3 4 3 4" xfId="31321"/>
    <cellStyle name="Normal 4 4 3 3 4 4" xfId="10222"/>
    <cellStyle name="Normal 4 4 3 3 4 5" xfId="18664"/>
    <cellStyle name="Normal 4 4 3 3 4 6" xfId="27104"/>
    <cellStyle name="Normal 4 4 3 3 5" xfId="2110"/>
    <cellStyle name="Normal 4 4 3 3 5 2" xfId="4339"/>
    <cellStyle name="Normal 4 4 3 3 5 2 2" xfId="8562"/>
    <cellStyle name="Normal 4 4 3 3 5 2 2 2" xfId="16998"/>
    <cellStyle name="Normal 4 4 3 3 5 2 2 3" xfId="25439"/>
    <cellStyle name="Normal 4 4 3 3 5 2 2 4" xfId="33879"/>
    <cellStyle name="Normal 4 4 3 3 5 2 3" xfId="12780"/>
    <cellStyle name="Normal 4 4 3 3 5 2 4" xfId="21222"/>
    <cellStyle name="Normal 4 4 3 3 5 2 5" xfId="29662"/>
    <cellStyle name="Normal 4 4 3 3 5 3" xfId="6417"/>
    <cellStyle name="Normal 4 4 3 3 5 3 2" xfId="14853"/>
    <cellStyle name="Normal 4 4 3 3 5 3 3" xfId="23294"/>
    <cellStyle name="Normal 4 4 3 3 5 3 4" xfId="31734"/>
    <cellStyle name="Normal 4 4 3 3 5 4" xfId="10635"/>
    <cellStyle name="Normal 4 4 3 3 5 5" xfId="19077"/>
    <cellStyle name="Normal 4 4 3 3 5 6" xfId="27517"/>
    <cellStyle name="Normal 4 4 3 3 6" xfId="2546"/>
    <cellStyle name="Normal 4 4 3 3 6 2" xfId="6830"/>
    <cellStyle name="Normal 4 4 3 3 6 2 2" xfId="15266"/>
    <cellStyle name="Normal 4 4 3 3 6 2 3" xfId="23707"/>
    <cellStyle name="Normal 4 4 3 3 6 2 4" xfId="32147"/>
    <cellStyle name="Normal 4 4 3 3 6 3" xfId="11048"/>
    <cellStyle name="Normal 4 4 3 3 6 4" xfId="19490"/>
    <cellStyle name="Normal 4 4 3 3 6 5" xfId="27930"/>
    <cellStyle name="Normal 4 4 3 3 7" xfId="4765"/>
    <cellStyle name="Normal 4 4 3 3 7 2" xfId="13201"/>
    <cellStyle name="Normal 4 4 3 3 7 3" xfId="21642"/>
    <cellStyle name="Normal 4 4 3 3 7 4" xfId="30082"/>
    <cellStyle name="Normal 4 4 3 3 8" xfId="8983"/>
    <cellStyle name="Normal 4 4 3 3 9" xfId="17425"/>
    <cellStyle name="Normal 4 4 3 4" xfId="862"/>
    <cellStyle name="Normal 4 4 3 4 2" xfId="3097"/>
    <cellStyle name="Normal 4 4 3 4 2 2" xfId="7320"/>
    <cellStyle name="Normal 4 4 3 4 2 2 2" xfId="15756"/>
    <cellStyle name="Normal 4 4 3 4 2 2 3" xfId="24197"/>
    <cellStyle name="Normal 4 4 3 4 2 2 4" xfId="32637"/>
    <cellStyle name="Normal 4 4 3 4 2 3" xfId="11538"/>
    <cellStyle name="Normal 4 4 3 4 2 4" xfId="19980"/>
    <cellStyle name="Normal 4 4 3 4 2 5" xfId="28420"/>
    <cellStyle name="Normal 4 4 3 4 3" xfId="5175"/>
    <cellStyle name="Normal 4 4 3 4 3 2" xfId="13611"/>
    <cellStyle name="Normal 4 4 3 4 3 3" xfId="22052"/>
    <cellStyle name="Normal 4 4 3 4 3 4" xfId="30492"/>
    <cellStyle name="Normal 4 4 3 4 4" xfId="9393"/>
    <cellStyle name="Normal 4 4 3 4 5" xfId="17835"/>
    <cellStyle name="Normal 4 4 3 4 6" xfId="26275"/>
    <cellStyle name="Normal 4 4 3 5" xfId="1280"/>
    <cellStyle name="Normal 4 4 3 5 2" xfId="3510"/>
    <cellStyle name="Normal 4 4 3 5 2 2" xfId="7733"/>
    <cellStyle name="Normal 4 4 3 5 2 2 2" xfId="16169"/>
    <cellStyle name="Normal 4 4 3 5 2 2 3" xfId="24610"/>
    <cellStyle name="Normal 4 4 3 5 2 2 4" xfId="33050"/>
    <cellStyle name="Normal 4 4 3 5 2 3" xfId="11951"/>
    <cellStyle name="Normal 4 4 3 5 2 4" xfId="20393"/>
    <cellStyle name="Normal 4 4 3 5 2 5" xfId="28833"/>
    <cellStyle name="Normal 4 4 3 5 3" xfId="5588"/>
    <cellStyle name="Normal 4 4 3 5 3 2" xfId="14024"/>
    <cellStyle name="Normal 4 4 3 5 3 3" xfId="22465"/>
    <cellStyle name="Normal 4 4 3 5 3 4" xfId="30905"/>
    <cellStyle name="Normal 4 4 3 5 4" xfId="9806"/>
    <cellStyle name="Normal 4 4 3 5 5" xfId="18248"/>
    <cellStyle name="Normal 4 4 3 5 6" xfId="26688"/>
    <cellStyle name="Normal 4 4 3 6" xfId="1693"/>
    <cellStyle name="Normal 4 4 3 6 2" xfId="3923"/>
    <cellStyle name="Normal 4 4 3 6 2 2" xfId="8146"/>
    <cellStyle name="Normal 4 4 3 6 2 2 2" xfId="16582"/>
    <cellStyle name="Normal 4 4 3 6 2 2 3" xfId="25023"/>
    <cellStyle name="Normal 4 4 3 6 2 2 4" xfId="33463"/>
    <cellStyle name="Normal 4 4 3 6 2 3" xfId="12364"/>
    <cellStyle name="Normal 4 4 3 6 2 4" xfId="20806"/>
    <cellStyle name="Normal 4 4 3 6 2 5" xfId="29246"/>
    <cellStyle name="Normal 4 4 3 6 3" xfId="6001"/>
    <cellStyle name="Normal 4 4 3 6 3 2" xfId="14437"/>
    <cellStyle name="Normal 4 4 3 6 3 3" xfId="22878"/>
    <cellStyle name="Normal 4 4 3 6 3 4" xfId="31318"/>
    <cellStyle name="Normal 4 4 3 6 4" xfId="10219"/>
    <cellStyle name="Normal 4 4 3 6 5" xfId="18661"/>
    <cellStyle name="Normal 4 4 3 6 6" xfId="27101"/>
    <cellStyle name="Normal 4 4 3 7" xfId="2107"/>
    <cellStyle name="Normal 4 4 3 7 2" xfId="4336"/>
    <cellStyle name="Normal 4 4 3 7 2 2" xfId="8559"/>
    <cellStyle name="Normal 4 4 3 7 2 2 2" xfId="16995"/>
    <cellStyle name="Normal 4 4 3 7 2 2 3" xfId="25436"/>
    <cellStyle name="Normal 4 4 3 7 2 2 4" xfId="33876"/>
    <cellStyle name="Normal 4 4 3 7 2 3" xfId="12777"/>
    <cellStyle name="Normal 4 4 3 7 2 4" xfId="21219"/>
    <cellStyle name="Normal 4 4 3 7 2 5" xfId="29659"/>
    <cellStyle name="Normal 4 4 3 7 3" xfId="6414"/>
    <cellStyle name="Normal 4 4 3 7 3 2" xfId="14850"/>
    <cellStyle name="Normal 4 4 3 7 3 3" xfId="23291"/>
    <cellStyle name="Normal 4 4 3 7 3 4" xfId="31731"/>
    <cellStyle name="Normal 4 4 3 7 4" xfId="10632"/>
    <cellStyle name="Normal 4 4 3 7 5" xfId="19074"/>
    <cellStyle name="Normal 4 4 3 7 6" xfId="27514"/>
    <cellStyle name="Normal 4 4 3 8" xfId="2543"/>
    <cellStyle name="Normal 4 4 3 8 2" xfId="6827"/>
    <cellStyle name="Normal 4 4 3 8 2 2" xfId="15263"/>
    <cellStyle name="Normal 4 4 3 8 2 3" xfId="23704"/>
    <cellStyle name="Normal 4 4 3 8 2 4" xfId="32144"/>
    <cellStyle name="Normal 4 4 3 8 3" xfId="11045"/>
    <cellStyle name="Normal 4 4 3 8 4" xfId="19487"/>
    <cellStyle name="Normal 4 4 3 8 5" xfId="27927"/>
    <cellStyle name="Normal 4 4 3 9" xfId="4762"/>
    <cellStyle name="Normal 4 4 3 9 2" xfId="13198"/>
    <cellStyle name="Normal 4 4 3 9 3" xfId="21639"/>
    <cellStyle name="Normal 4 4 3 9 4" xfId="30079"/>
    <cellStyle name="Normal 4 4 4" xfId="391"/>
    <cellStyle name="Normal 4 4 4 10" xfId="17426"/>
    <cellStyle name="Normal 4 4 4 11" xfId="25866"/>
    <cellStyle name="Normal 4 4 4 2" xfId="392"/>
    <cellStyle name="Normal 4 4 4 2 10" xfId="25867"/>
    <cellStyle name="Normal 4 4 4 2 2" xfId="867"/>
    <cellStyle name="Normal 4 4 4 2 2 2" xfId="3102"/>
    <cellStyle name="Normal 4 4 4 2 2 2 2" xfId="7325"/>
    <cellStyle name="Normal 4 4 4 2 2 2 2 2" xfId="15761"/>
    <cellStyle name="Normal 4 4 4 2 2 2 2 3" xfId="24202"/>
    <cellStyle name="Normal 4 4 4 2 2 2 2 4" xfId="32642"/>
    <cellStyle name="Normal 4 4 4 2 2 2 3" xfId="11543"/>
    <cellStyle name="Normal 4 4 4 2 2 2 4" xfId="19985"/>
    <cellStyle name="Normal 4 4 4 2 2 2 5" xfId="28425"/>
    <cellStyle name="Normal 4 4 4 2 2 3" xfId="5180"/>
    <cellStyle name="Normal 4 4 4 2 2 3 2" xfId="13616"/>
    <cellStyle name="Normal 4 4 4 2 2 3 3" xfId="22057"/>
    <cellStyle name="Normal 4 4 4 2 2 3 4" xfId="30497"/>
    <cellStyle name="Normal 4 4 4 2 2 4" xfId="9398"/>
    <cellStyle name="Normal 4 4 4 2 2 5" xfId="17840"/>
    <cellStyle name="Normal 4 4 4 2 2 6" xfId="26280"/>
    <cellStyle name="Normal 4 4 4 2 3" xfId="1285"/>
    <cellStyle name="Normal 4 4 4 2 3 2" xfId="3515"/>
    <cellStyle name="Normal 4 4 4 2 3 2 2" xfId="7738"/>
    <cellStyle name="Normal 4 4 4 2 3 2 2 2" xfId="16174"/>
    <cellStyle name="Normal 4 4 4 2 3 2 2 3" xfId="24615"/>
    <cellStyle name="Normal 4 4 4 2 3 2 2 4" xfId="33055"/>
    <cellStyle name="Normal 4 4 4 2 3 2 3" xfId="11956"/>
    <cellStyle name="Normal 4 4 4 2 3 2 4" xfId="20398"/>
    <cellStyle name="Normal 4 4 4 2 3 2 5" xfId="28838"/>
    <cellStyle name="Normal 4 4 4 2 3 3" xfId="5593"/>
    <cellStyle name="Normal 4 4 4 2 3 3 2" xfId="14029"/>
    <cellStyle name="Normal 4 4 4 2 3 3 3" xfId="22470"/>
    <cellStyle name="Normal 4 4 4 2 3 3 4" xfId="30910"/>
    <cellStyle name="Normal 4 4 4 2 3 4" xfId="9811"/>
    <cellStyle name="Normal 4 4 4 2 3 5" xfId="18253"/>
    <cellStyle name="Normal 4 4 4 2 3 6" xfId="26693"/>
    <cellStyle name="Normal 4 4 4 2 4" xfId="1698"/>
    <cellStyle name="Normal 4 4 4 2 4 2" xfId="3928"/>
    <cellStyle name="Normal 4 4 4 2 4 2 2" xfId="8151"/>
    <cellStyle name="Normal 4 4 4 2 4 2 2 2" xfId="16587"/>
    <cellStyle name="Normal 4 4 4 2 4 2 2 3" xfId="25028"/>
    <cellStyle name="Normal 4 4 4 2 4 2 2 4" xfId="33468"/>
    <cellStyle name="Normal 4 4 4 2 4 2 3" xfId="12369"/>
    <cellStyle name="Normal 4 4 4 2 4 2 4" xfId="20811"/>
    <cellStyle name="Normal 4 4 4 2 4 2 5" xfId="29251"/>
    <cellStyle name="Normal 4 4 4 2 4 3" xfId="6006"/>
    <cellStyle name="Normal 4 4 4 2 4 3 2" xfId="14442"/>
    <cellStyle name="Normal 4 4 4 2 4 3 3" xfId="22883"/>
    <cellStyle name="Normal 4 4 4 2 4 3 4" xfId="31323"/>
    <cellStyle name="Normal 4 4 4 2 4 4" xfId="10224"/>
    <cellStyle name="Normal 4 4 4 2 4 5" xfId="18666"/>
    <cellStyle name="Normal 4 4 4 2 4 6" xfId="27106"/>
    <cellStyle name="Normal 4 4 4 2 5" xfId="2112"/>
    <cellStyle name="Normal 4 4 4 2 5 2" xfId="4341"/>
    <cellStyle name="Normal 4 4 4 2 5 2 2" xfId="8564"/>
    <cellStyle name="Normal 4 4 4 2 5 2 2 2" xfId="17000"/>
    <cellStyle name="Normal 4 4 4 2 5 2 2 3" xfId="25441"/>
    <cellStyle name="Normal 4 4 4 2 5 2 2 4" xfId="33881"/>
    <cellStyle name="Normal 4 4 4 2 5 2 3" xfId="12782"/>
    <cellStyle name="Normal 4 4 4 2 5 2 4" xfId="21224"/>
    <cellStyle name="Normal 4 4 4 2 5 2 5" xfId="29664"/>
    <cellStyle name="Normal 4 4 4 2 5 3" xfId="6419"/>
    <cellStyle name="Normal 4 4 4 2 5 3 2" xfId="14855"/>
    <cellStyle name="Normal 4 4 4 2 5 3 3" xfId="23296"/>
    <cellStyle name="Normal 4 4 4 2 5 3 4" xfId="31736"/>
    <cellStyle name="Normal 4 4 4 2 5 4" xfId="10637"/>
    <cellStyle name="Normal 4 4 4 2 5 5" xfId="19079"/>
    <cellStyle name="Normal 4 4 4 2 5 6" xfId="27519"/>
    <cellStyle name="Normal 4 4 4 2 6" xfId="2548"/>
    <cellStyle name="Normal 4 4 4 2 6 2" xfId="6832"/>
    <cellStyle name="Normal 4 4 4 2 6 2 2" xfId="15268"/>
    <cellStyle name="Normal 4 4 4 2 6 2 3" xfId="23709"/>
    <cellStyle name="Normal 4 4 4 2 6 2 4" xfId="32149"/>
    <cellStyle name="Normal 4 4 4 2 6 3" xfId="11050"/>
    <cellStyle name="Normal 4 4 4 2 6 4" xfId="19492"/>
    <cellStyle name="Normal 4 4 4 2 6 5" xfId="27932"/>
    <cellStyle name="Normal 4 4 4 2 7" xfId="4767"/>
    <cellStyle name="Normal 4 4 4 2 7 2" xfId="13203"/>
    <cellStyle name="Normal 4 4 4 2 7 3" xfId="21644"/>
    <cellStyle name="Normal 4 4 4 2 7 4" xfId="30084"/>
    <cellStyle name="Normal 4 4 4 2 8" xfId="8985"/>
    <cellStyle name="Normal 4 4 4 2 9" xfId="17427"/>
    <cellStyle name="Normal 4 4 4 3" xfId="866"/>
    <cellStyle name="Normal 4 4 4 3 2" xfId="3101"/>
    <cellStyle name="Normal 4 4 4 3 2 2" xfId="7324"/>
    <cellStyle name="Normal 4 4 4 3 2 2 2" xfId="15760"/>
    <cellStyle name="Normal 4 4 4 3 2 2 3" xfId="24201"/>
    <cellStyle name="Normal 4 4 4 3 2 2 4" xfId="32641"/>
    <cellStyle name="Normal 4 4 4 3 2 3" xfId="11542"/>
    <cellStyle name="Normal 4 4 4 3 2 4" xfId="19984"/>
    <cellStyle name="Normal 4 4 4 3 2 5" xfId="28424"/>
    <cellStyle name="Normal 4 4 4 3 3" xfId="5179"/>
    <cellStyle name="Normal 4 4 4 3 3 2" xfId="13615"/>
    <cellStyle name="Normal 4 4 4 3 3 3" xfId="22056"/>
    <cellStyle name="Normal 4 4 4 3 3 4" xfId="30496"/>
    <cellStyle name="Normal 4 4 4 3 4" xfId="9397"/>
    <cellStyle name="Normal 4 4 4 3 5" xfId="17839"/>
    <cellStyle name="Normal 4 4 4 3 6" xfId="26279"/>
    <cellStyle name="Normal 4 4 4 4" xfId="1284"/>
    <cellStyle name="Normal 4 4 4 4 2" xfId="3514"/>
    <cellStyle name="Normal 4 4 4 4 2 2" xfId="7737"/>
    <cellStyle name="Normal 4 4 4 4 2 2 2" xfId="16173"/>
    <cellStyle name="Normal 4 4 4 4 2 2 3" xfId="24614"/>
    <cellStyle name="Normal 4 4 4 4 2 2 4" xfId="33054"/>
    <cellStyle name="Normal 4 4 4 4 2 3" xfId="11955"/>
    <cellStyle name="Normal 4 4 4 4 2 4" xfId="20397"/>
    <cellStyle name="Normal 4 4 4 4 2 5" xfId="28837"/>
    <cellStyle name="Normal 4 4 4 4 3" xfId="5592"/>
    <cellStyle name="Normal 4 4 4 4 3 2" xfId="14028"/>
    <cellStyle name="Normal 4 4 4 4 3 3" xfId="22469"/>
    <cellStyle name="Normal 4 4 4 4 3 4" xfId="30909"/>
    <cellStyle name="Normal 4 4 4 4 4" xfId="9810"/>
    <cellStyle name="Normal 4 4 4 4 5" xfId="18252"/>
    <cellStyle name="Normal 4 4 4 4 6" xfId="26692"/>
    <cellStyle name="Normal 4 4 4 5" xfId="1697"/>
    <cellStyle name="Normal 4 4 4 5 2" xfId="3927"/>
    <cellStyle name="Normal 4 4 4 5 2 2" xfId="8150"/>
    <cellStyle name="Normal 4 4 4 5 2 2 2" xfId="16586"/>
    <cellStyle name="Normal 4 4 4 5 2 2 3" xfId="25027"/>
    <cellStyle name="Normal 4 4 4 5 2 2 4" xfId="33467"/>
    <cellStyle name="Normal 4 4 4 5 2 3" xfId="12368"/>
    <cellStyle name="Normal 4 4 4 5 2 4" xfId="20810"/>
    <cellStyle name="Normal 4 4 4 5 2 5" xfId="29250"/>
    <cellStyle name="Normal 4 4 4 5 3" xfId="6005"/>
    <cellStyle name="Normal 4 4 4 5 3 2" xfId="14441"/>
    <cellStyle name="Normal 4 4 4 5 3 3" xfId="22882"/>
    <cellStyle name="Normal 4 4 4 5 3 4" xfId="31322"/>
    <cellStyle name="Normal 4 4 4 5 4" xfId="10223"/>
    <cellStyle name="Normal 4 4 4 5 5" xfId="18665"/>
    <cellStyle name="Normal 4 4 4 5 6" xfId="27105"/>
    <cellStyle name="Normal 4 4 4 6" xfId="2111"/>
    <cellStyle name="Normal 4 4 4 6 2" xfId="4340"/>
    <cellStyle name="Normal 4 4 4 6 2 2" xfId="8563"/>
    <cellStyle name="Normal 4 4 4 6 2 2 2" xfId="16999"/>
    <cellStyle name="Normal 4 4 4 6 2 2 3" xfId="25440"/>
    <cellStyle name="Normal 4 4 4 6 2 2 4" xfId="33880"/>
    <cellStyle name="Normal 4 4 4 6 2 3" xfId="12781"/>
    <cellStyle name="Normal 4 4 4 6 2 4" xfId="21223"/>
    <cellStyle name="Normal 4 4 4 6 2 5" xfId="29663"/>
    <cellStyle name="Normal 4 4 4 6 3" xfId="6418"/>
    <cellStyle name="Normal 4 4 4 6 3 2" xfId="14854"/>
    <cellStyle name="Normal 4 4 4 6 3 3" xfId="23295"/>
    <cellStyle name="Normal 4 4 4 6 3 4" xfId="31735"/>
    <cellStyle name="Normal 4 4 4 6 4" xfId="10636"/>
    <cellStyle name="Normal 4 4 4 6 5" xfId="19078"/>
    <cellStyle name="Normal 4 4 4 6 6" xfId="27518"/>
    <cellStyle name="Normal 4 4 4 7" xfId="2547"/>
    <cellStyle name="Normal 4 4 4 7 2" xfId="6831"/>
    <cellStyle name="Normal 4 4 4 7 2 2" xfId="15267"/>
    <cellStyle name="Normal 4 4 4 7 2 3" xfId="23708"/>
    <cellStyle name="Normal 4 4 4 7 2 4" xfId="32148"/>
    <cellStyle name="Normal 4 4 4 7 3" xfId="11049"/>
    <cellStyle name="Normal 4 4 4 7 4" xfId="19491"/>
    <cellStyle name="Normal 4 4 4 7 5" xfId="27931"/>
    <cellStyle name="Normal 4 4 4 8" xfId="4766"/>
    <cellStyle name="Normal 4 4 4 8 2" xfId="13202"/>
    <cellStyle name="Normal 4 4 4 8 3" xfId="21643"/>
    <cellStyle name="Normal 4 4 4 8 4" xfId="30083"/>
    <cellStyle name="Normal 4 4 4 9" xfId="8984"/>
    <cellStyle name="Normal 4 4 5" xfId="393"/>
    <cellStyle name="Normal 4 4 5 10" xfId="25868"/>
    <cellStyle name="Normal 4 4 5 2" xfId="868"/>
    <cellStyle name="Normal 4 4 5 2 2" xfId="3103"/>
    <cellStyle name="Normal 4 4 5 2 2 2" xfId="7326"/>
    <cellStyle name="Normal 4 4 5 2 2 2 2" xfId="15762"/>
    <cellStyle name="Normal 4 4 5 2 2 2 3" xfId="24203"/>
    <cellStyle name="Normal 4 4 5 2 2 2 4" xfId="32643"/>
    <cellStyle name="Normal 4 4 5 2 2 3" xfId="11544"/>
    <cellStyle name="Normal 4 4 5 2 2 4" xfId="19986"/>
    <cellStyle name="Normal 4 4 5 2 2 5" xfId="28426"/>
    <cellStyle name="Normal 4 4 5 2 3" xfId="5181"/>
    <cellStyle name="Normal 4 4 5 2 3 2" xfId="13617"/>
    <cellStyle name="Normal 4 4 5 2 3 3" xfId="22058"/>
    <cellStyle name="Normal 4 4 5 2 3 4" xfId="30498"/>
    <cellStyle name="Normal 4 4 5 2 4" xfId="9399"/>
    <cellStyle name="Normal 4 4 5 2 5" xfId="17841"/>
    <cellStyle name="Normal 4 4 5 2 6" xfId="26281"/>
    <cellStyle name="Normal 4 4 5 3" xfId="1286"/>
    <cellStyle name="Normal 4 4 5 3 2" xfId="3516"/>
    <cellStyle name="Normal 4 4 5 3 2 2" xfId="7739"/>
    <cellStyle name="Normal 4 4 5 3 2 2 2" xfId="16175"/>
    <cellStyle name="Normal 4 4 5 3 2 2 3" xfId="24616"/>
    <cellStyle name="Normal 4 4 5 3 2 2 4" xfId="33056"/>
    <cellStyle name="Normal 4 4 5 3 2 3" xfId="11957"/>
    <cellStyle name="Normal 4 4 5 3 2 4" xfId="20399"/>
    <cellStyle name="Normal 4 4 5 3 2 5" xfId="28839"/>
    <cellStyle name="Normal 4 4 5 3 3" xfId="5594"/>
    <cellStyle name="Normal 4 4 5 3 3 2" xfId="14030"/>
    <cellStyle name="Normal 4 4 5 3 3 3" xfId="22471"/>
    <cellStyle name="Normal 4 4 5 3 3 4" xfId="30911"/>
    <cellStyle name="Normal 4 4 5 3 4" xfId="9812"/>
    <cellStyle name="Normal 4 4 5 3 5" xfId="18254"/>
    <cellStyle name="Normal 4 4 5 3 6" xfId="26694"/>
    <cellStyle name="Normal 4 4 5 4" xfId="1699"/>
    <cellStyle name="Normal 4 4 5 4 2" xfId="3929"/>
    <cellStyle name="Normal 4 4 5 4 2 2" xfId="8152"/>
    <cellStyle name="Normal 4 4 5 4 2 2 2" xfId="16588"/>
    <cellStyle name="Normal 4 4 5 4 2 2 3" xfId="25029"/>
    <cellStyle name="Normal 4 4 5 4 2 2 4" xfId="33469"/>
    <cellStyle name="Normal 4 4 5 4 2 3" xfId="12370"/>
    <cellStyle name="Normal 4 4 5 4 2 4" xfId="20812"/>
    <cellStyle name="Normal 4 4 5 4 2 5" xfId="29252"/>
    <cellStyle name="Normal 4 4 5 4 3" xfId="6007"/>
    <cellStyle name="Normal 4 4 5 4 3 2" xfId="14443"/>
    <cellStyle name="Normal 4 4 5 4 3 3" xfId="22884"/>
    <cellStyle name="Normal 4 4 5 4 3 4" xfId="31324"/>
    <cellStyle name="Normal 4 4 5 4 4" xfId="10225"/>
    <cellStyle name="Normal 4 4 5 4 5" xfId="18667"/>
    <cellStyle name="Normal 4 4 5 4 6" xfId="27107"/>
    <cellStyle name="Normal 4 4 5 5" xfId="2113"/>
    <cellStyle name="Normal 4 4 5 5 2" xfId="4342"/>
    <cellStyle name="Normal 4 4 5 5 2 2" xfId="8565"/>
    <cellStyle name="Normal 4 4 5 5 2 2 2" xfId="17001"/>
    <cellStyle name="Normal 4 4 5 5 2 2 3" xfId="25442"/>
    <cellStyle name="Normal 4 4 5 5 2 2 4" xfId="33882"/>
    <cellStyle name="Normal 4 4 5 5 2 3" xfId="12783"/>
    <cellStyle name="Normal 4 4 5 5 2 4" xfId="21225"/>
    <cellStyle name="Normal 4 4 5 5 2 5" xfId="29665"/>
    <cellStyle name="Normal 4 4 5 5 3" xfId="6420"/>
    <cellStyle name="Normal 4 4 5 5 3 2" xfId="14856"/>
    <cellStyle name="Normal 4 4 5 5 3 3" xfId="23297"/>
    <cellStyle name="Normal 4 4 5 5 3 4" xfId="31737"/>
    <cellStyle name="Normal 4 4 5 5 4" xfId="10638"/>
    <cellStyle name="Normal 4 4 5 5 5" xfId="19080"/>
    <cellStyle name="Normal 4 4 5 5 6" xfId="27520"/>
    <cellStyle name="Normal 4 4 5 6" xfId="2549"/>
    <cellStyle name="Normal 4 4 5 6 2" xfId="6833"/>
    <cellStyle name="Normal 4 4 5 6 2 2" xfId="15269"/>
    <cellStyle name="Normal 4 4 5 6 2 3" xfId="23710"/>
    <cellStyle name="Normal 4 4 5 6 2 4" xfId="32150"/>
    <cellStyle name="Normal 4 4 5 6 3" xfId="11051"/>
    <cellStyle name="Normal 4 4 5 6 4" xfId="19493"/>
    <cellStyle name="Normal 4 4 5 6 5" xfId="27933"/>
    <cellStyle name="Normal 4 4 5 7" xfId="4768"/>
    <cellStyle name="Normal 4 4 5 7 2" xfId="13204"/>
    <cellStyle name="Normal 4 4 5 7 3" xfId="21645"/>
    <cellStyle name="Normal 4 4 5 7 4" xfId="30085"/>
    <cellStyle name="Normal 4 4 5 8" xfId="8986"/>
    <cellStyle name="Normal 4 4 5 9" xfId="17428"/>
    <cellStyle name="Normal 4 4 6" xfId="853"/>
    <cellStyle name="Normal 4 4 6 2" xfId="3088"/>
    <cellStyle name="Normal 4 4 6 2 2" xfId="7311"/>
    <cellStyle name="Normal 4 4 6 2 2 2" xfId="15747"/>
    <cellStyle name="Normal 4 4 6 2 2 3" xfId="24188"/>
    <cellStyle name="Normal 4 4 6 2 2 4" xfId="32628"/>
    <cellStyle name="Normal 4 4 6 2 3" xfId="11529"/>
    <cellStyle name="Normal 4 4 6 2 4" xfId="19971"/>
    <cellStyle name="Normal 4 4 6 2 5" xfId="28411"/>
    <cellStyle name="Normal 4 4 6 3" xfId="5166"/>
    <cellStyle name="Normal 4 4 6 3 2" xfId="13602"/>
    <cellStyle name="Normal 4 4 6 3 3" xfId="22043"/>
    <cellStyle name="Normal 4 4 6 3 4" xfId="30483"/>
    <cellStyle name="Normal 4 4 6 4" xfId="9384"/>
    <cellStyle name="Normal 4 4 6 5" xfId="17826"/>
    <cellStyle name="Normal 4 4 6 6" xfId="26266"/>
    <cellStyle name="Normal 4 4 7" xfId="1271"/>
    <cellStyle name="Normal 4 4 7 2" xfId="3501"/>
    <cellStyle name="Normal 4 4 7 2 2" xfId="7724"/>
    <cellStyle name="Normal 4 4 7 2 2 2" xfId="16160"/>
    <cellStyle name="Normal 4 4 7 2 2 3" xfId="24601"/>
    <cellStyle name="Normal 4 4 7 2 2 4" xfId="33041"/>
    <cellStyle name="Normal 4 4 7 2 3" xfId="11942"/>
    <cellStyle name="Normal 4 4 7 2 4" xfId="20384"/>
    <cellStyle name="Normal 4 4 7 2 5" xfId="28824"/>
    <cellStyle name="Normal 4 4 7 3" xfId="5579"/>
    <cellStyle name="Normal 4 4 7 3 2" xfId="14015"/>
    <cellStyle name="Normal 4 4 7 3 3" xfId="22456"/>
    <cellStyle name="Normal 4 4 7 3 4" xfId="30896"/>
    <cellStyle name="Normal 4 4 7 4" xfId="9797"/>
    <cellStyle name="Normal 4 4 7 5" xfId="18239"/>
    <cellStyle name="Normal 4 4 7 6" xfId="26679"/>
    <cellStyle name="Normal 4 4 8" xfId="1684"/>
    <cellStyle name="Normal 4 4 8 2" xfId="3914"/>
    <cellStyle name="Normal 4 4 8 2 2" xfId="8137"/>
    <cellStyle name="Normal 4 4 8 2 2 2" xfId="16573"/>
    <cellStyle name="Normal 4 4 8 2 2 3" xfId="25014"/>
    <cellStyle name="Normal 4 4 8 2 2 4" xfId="33454"/>
    <cellStyle name="Normal 4 4 8 2 3" xfId="12355"/>
    <cellStyle name="Normal 4 4 8 2 4" xfId="20797"/>
    <cellStyle name="Normal 4 4 8 2 5" xfId="29237"/>
    <cellStyle name="Normal 4 4 8 3" xfId="5992"/>
    <cellStyle name="Normal 4 4 8 3 2" xfId="14428"/>
    <cellStyle name="Normal 4 4 8 3 3" xfId="22869"/>
    <cellStyle name="Normal 4 4 8 3 4" xfId="31309"/>
    <cellStyle name="Normal 4 4 8 4" xfId="10210"/>
    <cellStyle name="Normal 4 4 8 5" xfId="18652"/>
    <cellStyle name="Normal 4 4 8 6" xfId="27092"/>
    <cellStyle name="Normal 4 4 9" xfId="2098"/>
    <cellStyle name="Normal 4 4 9 2" xfId="4327"/>
    <cellStyle name="Normal 4 4 9 2 2" xfId="8550"/>
    <cellStyle name="Normal 4 4 9 2 2 2" xfId="16986"/>
    <cellStyle name="Normal 4 4 9 2 2 3" xfId="25427"/>
    <cellStyle name="Normal 4 4 9 2 2 4" xfId="33867"/>
    <cellStyle name="Normal 4 4 9 2 3" xfId="12768"/>
    <cellStyle name="Normal 4 4 9 2 4" xfId="21210"/>
    <cellStyle name="Normal 4 4 9 2 5" xfId="29650"/>
    <cellStyle name="Normal 4 4 9 3" xfId="6405"/>
    <cellStyle name="Normal 4 4 9 3 2" xfId="14841"/>
    <cellStyle name="Normal 4 4 9 3 3" xfId="23282"/>
    <cellStyle name="Normal 4 4 9 3 4" xfId="31722"/>
    <cellStyle name="Normal 4 4 9 4" xfId="10623"/>
    <cellStyle name="Normal 4 4 9 5" xfId="19065"/>
    <cellStyle name="Normal 4 4 9 6" xfId="27505"/>
    <cellStyle name="Normal 4 5" xfId="394"/>
    <cellStyle name="Normal 4 6" xfId="395"/>
    <cellStyle name="Normal 4 6 10" xfId="4769"/>
    <cellStyle name="Normal 4 6 10 2" xfId="13205"/>
    <cellStyle name="Normal 4 6 10 3" xfId="21646"/>
    <cellStyle name="Normal 4 6 10 4" xfId="30086"/>
    <cellStyle name="Normal 4 6 11" xfId="8987"/>
    <cellStyle name="Normal 4 6 12" xfId="17429"/>
    <cellStyle name="Normal 4 6 13" xfId="25869"/>
    <cellStyle name="Normal 4 6 2" xfId="396"/>
    <cellStyle name="Normal 4 6 2 10" xfId="8988"/>
    <cellStyle name="Normal 4 6 2 11" xfId="17430"/>
    <cellStyle name="Normal 4 6 2 12" xfId="25870"/>
    <cellStyle name="Normal 4 6 2 2" xfId="397"/>
    <cellStyle name="Normal 4 6 2 2 10" xfId="17431"/>
    <cellStyle name="Normal 4 6 2 2 11" xfId="25871"/>
    <cellStyle name="Normal 4 6 2 2 2" xfId="398"/>
    <cellStyle name="Normal 4 6 2 2 2 10" xfId="25872"/>
    <cellStyle name="Normal 4 6 2 2 2 2" xfId="872"/>
    <cellStyle name="Normal 4 6 2 2 2 2 2" xfId="3107"/>
    <cellStyle name="Normal 4 6 2 2 2 2 2 2" xfId="7330"/>
    <cellStyle name="Normal 4 6 2 2 2 2 2 2 2" xfId="15766"/>
    <cellStyle name="Normal 4 6 2 2 2 2 2 2 3" xfId="24207"/>
    <cellStyle name="Normal 4 6 2 2 2 2 2 2 4" xfId="32647"/>
    <cellStyle name="Normal 4 6 2 2 2 2 2 3" xfId="11548"/>
    <cellStyle name="Normal 4 6 2 2 2 2 2 4" xfId="19990"/>
    <cellStyle name="Normal 4 6 2 2 2 2 2 5" xfId="28430"/>
    <cellStyle name="Normal 4 6 2 2 2 2 3" xfId="5185"/>
    <cellStyle name="Normal 4 6 2 2 2 2 3 2" xfId="13621"/>
    <cellStyle name="Normal 4 6 2 2 2 2 3 3" xfId="22062"/>
    <cellStyle name="Normal 4 6 2 2 2 2 3 4" xfId="30502"/>
    <cellStyle name="Normal 4 6 2 2 2 2 4" xfId="9403"/>
    <cellStyle name="Normal 4 6 2 2 2 2 5" xfId="17845"/>
    <cellStyle name="Normal 4 6 2 2 2 2 6" xfId="26285"/>
    <cellStyle name="Normal 4 6 2 2 2 3" xfId="1290"/>
    <cellStyle name="Normal 4 6 2 2 2 3 2" xfId="3520"/>
    <cellStyle name="Normal 4 6 2 2 2 3 2 2" xfId="7743"/>
    <cellStyle name="Normal 4 6 2 2 2 3 2 2 2" xfId="16179"/>
    <cellStyle name="Normal 4 6 2 2 2 3 2 2 3" xfId="24620"/>
    <cellStyle name="Normal 4 6 2 2 2 3 2 2 4" xfId="33060"/>
    <cellStyle name="Normal 4 6 2 2 2 3 2 3" xfId="11961"/>
    <cellStyle name="Normal 4 6 2 2 2 3 2 4" xfId="20403"/>
    <cellStyle name="Normal 4 6 2 2 2 3 2 5" xfId="28843"/>
    <cellStyle name="Normal 4 6 2 2 2 3 3" xfId="5598"/>
    <cellStyle name="Normal 4 6 2 2 2 3 3 2" xfId="14034"/>
    <cellStyle name="Normal 4 6 2 2 2 3 3 3" xfId="22475"/>
    <cellStyle name="Normal 4 6 2 2 2 3 3 4" xfId="30915"/>
    <cellStyle name="Normal 4 6 2 2 2 3 4" xfId="9816"/>
    <cellStyle name="Normal 4 6 2 2 2 3 5" xfId="18258"/>
    <cellStyle name="Normal 4 6 2 2 2 3 6" xfId="26698"/>
    <cellStyle name="Normal 4 6 2 2 2 4" xfId="1703"/>
    <cellStyle name="Normal 4 6 2 2 2 4 2" xfId="3933"/>
    <cellStyle name="Normal 4 6 2 2 2 4 2 2" xfId="8156"/>
    <cellStyle name="Normal 4 6 2 2 2 4 2 2 2" xfId="16592"/>
    <cellStyle name="Normal 4 6 2 2 2 4 2 2 3" xfId="25033"/>
    <cellStyle name="Normal 4 6 2 2 2 4 2 2 4" xfId="33473"/>
    <cellStyle name="Normal 4 6 2 2 2 4 2 3" xfId="12374"/>
    <cellStyle name="Normal 4 6 2 2 2 4 2 4" xfId="20816"/>
    <cellStyle name="Normal 4 6 2 2 2 4 2 5" xfId="29256"/>
    <cellStyle name="Normal 4 6 2 2 2 4 3" xfId="6011"/>
    <cellStyle name="Normal 4 6 2 2 2 4 3 2" xfId="14447"/>
    <cellStyle name="Normal 4 6 2 2 2 4 3 3" xfId="22888"/>
    <cellStyle name="Normal 4 6 2 2 2 4 3 4" xfId="31328"/>
    <cellStyle name="Normal 4 6 2 2 2 4 4" xfId="10229"/>
    <cellStyle name="Normal 4 6 2 2 2 4 5" xfId="18671"/>
    <cellStyle name="Normal 4 6 2 2 2 4 6" xfId="27111"/>
    <cellStyle name="Normal 4 6 2 2 2 5" xfId="2117"/>
    <cellStyle name="Normal 4 6 2 2 2 5 2" xfId="4346"/>
    <cellStyle name="Normal 4 6 2 2 2 5 2 2" xfId="8569"/>
    <cellStyle name="Normal 4 6 2 2 2 5 2 2 2" xfId="17005"/>
    <cellStyle name="Normal 4 6 2 2 2 5 2 2 3" xfId="25446"/>
    <cellStyle name="Normal 4 6 2 2 2 5 2 2 4" xfId="33886"/>
    <cellStyle name="Normal 4 6 2 2 2 5 2 3" xfId="12787"/>
    <cellStyle name="Normal 4 6 2 2 2 5 2 4" xfId="21229"/>
    <cellStyle name="Normal 4 6 2 2 2 5 2 5" xfId="29669"/>
    <cellStyle name="Normal 4 6 2 2 2 5 3" xfId="6424"/>
    <cellStyle name="Normal 4 6 2 2 2 5 3 2" xfId="14860"/>
    <cellStyle name="Normal 4 6 2 2 2 5 3 3" xfId="23301"/>
    <cellStyle name="Normal 4 6 2 2 2 5 3 4" xfId="31741"/>
    <cellStyle name="Normal 4 6 2 2 2 5 4" xfId="10642"/>
    <cellStyle name="Normal 4 6 2 2 2 5 5" xfId="19084"/>
    <cellStyle name="Normal 4 6 2 2 2 5 6" xfId="27524"/>
    <cellStyle name="Normal 4 6 2 2 2 6" xfId="2553"/>
    <cellStyle name="Normal 4 6 2 2 2 6 2" xfId="6837"/>
    <cellStyle name="Normal 4 6 2 2 2 6 2 2" xfId="15273"/>
    <cellStyle name="Normal 4 6 2 2 2 6 2 3" xfId="23714"/>
    <cellStyle name="Normal 4 6 2 2 2 6 2 4" xfId="32154"/>
    <cellStyle name="Normal 4 6 2 2 2 6 3" xfId="11055"/>
    <cellStyle name="Normal 4 6 2 2 2 6 4" xfId="19497"/>
    <cellStyle name="Normal 4 6 2 2 2 6 5" xfId="27937"/>
    <cellStyle name="Normal 4 6 2 2 2 7" xfId="4772"/>
    <cellStyle name="Normal 4 6 2 2 2 7 2" xfId="13208"/>
    <cellStyle name="Normal 4 6 2 2 2 7 3" xfId="21649"/>
    <cellStyle name="Normal 4 6 2 2 2 7 4" xfId="30089"/>
    <cellStyle name="Normal 4 6 2 2 2 8" xfId="8990"/>
    <cellStyle name="Normal 4 6 2 2 2 9" xfId="17432"/>
    <cellStyle name="Normal 4 6 2 2 3" xfId="871"/>
    <cellStyle name="Normal 4 6 2 2 3 2" xfId="3106"/>
    <cellStyle name="Normal 4 6 2 2 3 2 2" xfId="7329"/>
    <cellStyle name="Normal 4 6 2 2 3 2 2 2" xfId="15765"/>
    <cellStyle name="Normal 4 6 2 2 3 2 2 3" xfId="24206"/>
    <cellStyle name="Normal 4 6 2 2 3 2 2 4" xfId="32646"/>
    <cellStyle name="Normal 4 6 2 2 3 2 3" xfId="11547"/>
    <cellStyle name="Normal 4 6 2 2 3 2 4" xfId="19989"/>
    <cellStyle name="Normal 4 6 2 2 3 2 5" xfId="28429"/>
    <cellStyle name="Normal 4 6 2 2 3 3" xfId="5184"/>
    <cellStyle name="Normal 4 6 2 2 3 3 2" xfId="13620"/>
    <cellStyle name="Normal 4 6 2 2 3 3 3" xfId="22061"/>
    <cellStyle name="Normal 4 6 2 2 3 3 4" xfId="30501"/>
    <cellStyle name="Normal 4 6 2 2 3 4" xfId="9402"/>
    <cellStyle name="Normal 4 6 2 2 3 5" xfId="17844"/>
    <cellStyle name="Normal 4 6 2 2 3 6" xfId="26284"/>
    <cellStyle name="Normal 4 6 2 2 4" xfId="1289"/>
    <cellStyle name="Normal 4 6 2 2 4 2" xfId="3519"/>
    <cellStyle name="Normal 4 6 2 2 4 2 2" xfId="7742"/>
    <cellStyle name="Normal 4 6 2 2 4 2 2 2" xfId="16178"/>
    <cellStyle name="Normal 4 6 2 2 4 2 2 3" xfId="24619"/>
    <cellStyle name="Normal 4 6 2 2 4 2 2 4" xfId="33059"/>
    <cellStyle name="Normal 4 6 2 2 4 2 3" xfId="11960"/>
    <cellStyle name="Normal 4 6 2 2 4 2 4" xfId="20402"/>
    <cellStyle name="Normal 4 6 2 2 4 2 5" xfId="28842"/>
    <cellStyle name="Normal 4 6 2 2 4 3" xfId="5597"/>
    <cellStyle name="Normal 4 6 2 2 4 3 2" xfId="14033"/>
    <cellStyle name="Normal 4 6 2 2 4 3 3" xfId="22474"/>
    <cellStyle name="Normal 4 6 2 2 4 3 4" xfId="30914"/>
    <cellStyle name="Normal 4 6 2 2 4 4" xfId="9815"/>
    <cellStyle name="Normal 4 6 2 2 4 5" xfId="18257"/>
    <cellStyle name="Normal 4 6 2 2 4 6" xfId="26697"/>
    <cellStyle name="Normal 4 6 2 2 5" xfId="1702"/>
    <cellStyle name="Normal 4 6 2 2 5 2" xfId="3932"/>
    <cellStyle name="Normal 4 6 2 2 5 2 2" xfId="8155"/>
    <cellStyle name="Normal 4 6 2 2 5 2 2 2" xfId="16591"/>
    <cellStyle name="Normal 4 6 2 2 5 2 2 3" xfId="25032"/>
    <cellStyle name="Normal 4 6 2 2 5 2 2 4" xfId="33472"/>
    <cellStyle name="Normal 4 6 2 2 5 2 3" xfId="12373"/>
    <cellStyle name="Normal 4 6 2 2 5 2 4" xfId="20815"/>
    <cellStyle name="Normal 4 6 2 2 5 2 5" xfId="29255"/>
    <cellStyle name="Normal 4 6 2 2 5 3" xfId="6010"/>
    <cellStyle name="Normal 4 6 2 2 5 3 2" xfId="14446"/>
    <cellStyle name="Normal 4 6 2 2 5 3 3" xfId="22887"/>
    <cellStyle name="Normal 4 6 2 2 5 3 4" xfId="31327"/>
    <cellStyle name="Normal 4 6 2 2 5 4" xfId="10228"/>
    <cellStyle name="Normal 4 6 2 2 5 5" xfId="18670"/>
    <cellStyle name="Normal 4 6 2 2 5 6" xfId="27110"/>
    <cellStyle name="Normal 4 6 2 2 6" xfId="2116"/>
    <cellStyle name="Normal 4 6 2 2 6 2" xfId="4345"/>
    <cellStyle name="Normal 4 6 2 2 6 2 2" xfId="8568"/>
    <cellStyle name="Normal 4 6 2 2 6 2 2 2" xfId="17004"/>
    <cellStyle name="Normal 4 6 2 2 6 2 2 3" xfId="25445"/>
    <cellStyle name="Normal 4 6 2 2 6 2 2 4" xfId="33885"/>
    <cellStyle name="Normal 4 6 2 2 6 2 3" xfId="12786"/>
    <cellStyle name="Normal 4 6 2 2 6 2 4" xfId="21228"/>
    <cellStyle name="Normal 4 6 2 2 6 2 5" xfId="29668"/>
    <cellStyle name="Normal 4 6 2 2 6 3" xfId="6423"/>
    <cellStyle name="Normal 4 6 2 2 6 3 2" xfId="14859"/>
    <cellStyle name="Normal 4 6 2 2 6 3 3" xfId="23300"/>
    <cellStyle name="Normal 4 6 2 2 6 3 4" xfId="31740"/>
    <cellStyle name="Normal 4 6 2 2 6 4" xfId="10641"/>
    <cellStyle name="Normal 4 6 2 2 6 5" xfId="19083"/>
    <cellStyle name="Normal 4 6 2 2 6 6" xfId="27523"/>
    <cellStyle name="Normal 4 6 2 2 7" xfId="2552"/>
    <cellStyle name="Normal 4 6 2 2 7 2" xfId="6836"/>
    <cellStyle name="Normal 4 6 2 2 7 2 2" xfId="15272"/>
    <cellStyle name="Normal 4 6 2 2 7 2 3" xfId="23713"/>
    <cellStyle name="Normal 4 6 2 2 7 2 4" xfId="32153"/>
    <cellStyle name="Normal 4 6 2 2 7 3" xfId="11054"/>
    <cellStyle name="Normal 4 6 2 2 7 4" xfId="19496"/>
    <cellStyle name="Normal 4 6 2 2 7 5" xfId="27936"/>
    <cellStyle name="Normal 4 6 2 2 8" xfId="4771"/>
    <cellStyle name="Normal 4 6 2 2 8 2" xfId="13207"/>
    <cellStyle name="Normal 4 6 2 2 8 3" xfId="21648"/>
    <cellStyle name="Normal 4 6 2 2 8 4" xfId="30088"/>
    <cellStyle name="Normal 4 6 2 2 9" xfId="8989"/>
    <cellStyle name="Normal 4 6 2 3" xfId="399"/>
    <cellStyle name="Normal 4 6 2 3 10" xfId="25873"/>
    <cellStyle name="Normal 4 6 2 3 2" xfId="873"/>
    <cellStyle name="Normal 4 6 2 3 2 2" xfId="3108"/>
    <cellStyle name="Normal 4 6 2 3 2 2 2" xfId="7331"/>
    <cellStyle name="Normal 4 6 2 3 2 2 2 2" xfId="15767"/>
    <cellStyle name="Normal 4 6 2 3 2 2 2 3" xfId="24208"/>
    <cellStyle name="Normal 4 6 2 3 2 2 2 4" xfId="32648"/>
    <cellStyle name="Normal 4 6 2 3 2 2 3" xfId="11549"/>
    <cellStyle name="Normal 4 6 2 3 2 2 4" xfId="19991"/>
    <cellStyle name="Normal 4 6 2 3 2 2 5" xfId="28431"/>
    <cellStyle name="Normal 4 6 2 3 2 3" xfId="5186"/>
    <cellStyle name="Normal 4 6 2 3 2 3 2" xfId="13622"/>
    <cellStyle name="Normal 4 6 2 3 2 3 3" xfId="22063"/>
    <cellStyle name="Normal 4 6 2 3 2 3 4" xfId="30503"/>
    <cellStyle name="Normal 4 6 2 3 2 4" xfId="9404"/>
    <cellStyle name="Normal 4 6 2 3 2 5" xfId="17846"/>
    <cellStyle name="Normal 4 6 2 3 2 6" xfId="26286"/>
    <cellStyle name="Normal 4 6 2 3 3" xfId="1291"/>
    <cellStyle name="Normal 4 6 2 3 3 2" xfId="3521"/>
    <cellStyle name="Normal 4 6 2 3 3 2 2" xfId="7744"/>
    <cellStyle name="Normal 4 6 2 3 3 2 2 2" xfId="16180"/>
    <cellStyle name="Normal 4 6 2 3 3 2 2 3" xfId="24621"/>
    <cellStyle name="Normal 4 6 2 3 3 2 2 4" xfId="33061"/>
    <cellStyle name="Normal 4 6 2 3 3 2 3" xfId="11962"/>
    <cellStyle name="Normal 4 6 2 3 3 2 4" xfId="20404"/>
    <cellStyle name="Normal 4 6 2 3 3 2 5" xfId="28844"/>
    <cellStyle name="Normal 4 6 2 3 3 3" xfId="5599"/>
    <cellStyle name="Normal 4 6 2 3 3 3 2" xfId="14035"/>
    <cellStyle name="Normal 4 6 2 3 3 3 3" xfId="22476"/>
    <cellStyle name="Normal 4 6 2 3 3 3 4" xfId="30916"/>
    <cellStyle name="Normal 4 6 2 3 3 4" xfId="9817"/>
    <cellStyle name="Normal 4 6 2 3 3 5" xfId="18259"/>
    <cellStyle name="Normal 4 6 2 3 3 6" xfId="26699"/>
    <cellStyle name="Normal 4 6 2 3 4" xfId="1704"/>
    <cellStyle name="Normal 4 6 2 3 4 2" xfId="3934"/>
    <cellStyle name="Normal 4 6 2 3 4 2 2" xfId="8157"/>
    <cellStyle name="Normal 4 6 2 3 4 2 2 2" xfId="16593"/>
    <cellStyle name="Normal 4 6 2 3 4 2 2 3" xfId="25034"/>
    <cellStyle name="Normal 4 6 2 3 4 2 2 4" xfId="33474"/>
    <cellStyle name="Normal 4 6 2 3 4 2 3" xfId="12375"/>
    <cellStyle name="Normal 4 6 2 3 4 2 4" xfId="20817"/>
    <cellStyle name="Normal 4 6 2 3 4 2 5" xfId="29257"/>
    <cellStyle name="Normal 4 6 2 3 4 3" xfId="6012"/>
    <cellStyle name="Normal 4 6 2 3 4 3 2" xfId="14448"/>
    <cellStyle name="Normal 4 6 2 3 4 3 3" xfId="22889"/>
    <cellStyle name="Normal 4 6 2 3 4 3 4" xfId="31329"/>
    <cellStyle name="Normal 4 6 2 3 4 4" xfId="10230"/>
    <cellStyle name="Normal 4 6 2 3 4 5" xfId="18672"/>
    <cellStyle name="Normal 4 6 2 3 4 6" xfId="27112"/>
    <cellStyle name="Normal 4 6 2 3 5" xfId="2118"/>
    <cellStyle name="Normal 4 6 2 3 5 2" xfId="4347"/>
    <cellStyle name="Normal 4 6 2 3 5 2 2" xfId="8570"/>
    <cellStyle name="Normal 4 6 2 3 5 2 2 2" xfId="17006"/>
    <cellStyle name="Normal 4 6 2 3 5 2 2 3" xfId="25447"/>
    <cellStyle name="Normal 4 6 2 3 5 2 2 4" xfId="33887"/>
    <cellStyle name="Normal 4 6 2 3 5 2 3" xfId="12788"/>
    <cellStyle name="Normal 4 6 2 3 5 2 4" xfId="21230"/>
    <cellStyle name="Normal 4 6 2 3 5 2 5" xfId="29670"/>
    <cellStyle name="Normal 4 6 2 3 5 3" xfId="6425"/>
    <cellStyle name="Normal 4 6 2 3 5 3 2" xfId="14861"/>
    <cellStyle name="Normal 4 6 2 3 5 3 3" xfId="23302"/>
    <cellStyle name="Normal 4 6 2 3 5 3 4" xfId="31742"/>
    <cellStyle name="Normal 4 6 2 3 5 4" xfId="10643"/>
    <cellStyle name="Normal 4 6 2 3 5 5" xfId="19085"/>
    <cellStyle name="Normal 4 6 2 3 5 6" xfId="27525"/>
    <cellStyle name="Normal 4 6 2 3 6" xfId="2554"/>
    <cellStyle name="Normal 4 6 2 3 6 2" xfId="6838"/>
    <cellStyle name="Normal 4 6 2 3 6 2 2" xfId="15274"/>
    <cellStyle name="Normal 4 6 2 3 6 2 3" xfId="23715"/>
    <cellStyle name="Normal 4 6 2 3 6 2 4" xfId="32155"/>
    <cellStyle name="Normal 4 6 2 3 6 3" xfId="11056"/>
    <cellStyle name="Normal 4 6 2 3 6 4" xfId="19498"/>
    <cellStyle name="Normal 4 6 2 3 6 5" xfId="27938"/>
    <cellStyle name="Normal 4 6 2 3 7" xfId="4773"/>
    <cellStyle name="Normal 4 6 2 3 7 2" xfId="13209"/>
    <cellStyle name="Normal 4 6 2 3 7 3" xfId="21650"/>
    <cellStyle name="Normal 4 6 2 3 7 4" xfId="30090"/>
    <cellStyle name="Normal 4 6 2 3 8" xfId="8991"/>
    <cellStyle name="Normal 4 6 2 3 9" xfId="17433"/>
    <cellStyle name="Normal 4 6 2 4" xfId="870"/>
    <cellStyle name="Normal 4 6 2 4 2" xfId="3105"/>
    <cellStyle name="Normal 4 6 2 4 2 2" xfId="7328"/>
    <cellStyle name="Normal 4 6 2 4 2 2 2" xfId="15764"/>
    <cellStyle name="Normal 4 6 2 4 2 2 3" xfId="24205"/>
    <cellStyle name="Normal 4 6 2 4 2 2 4" xfId="32645"/>
    <cellStyle name="Normal 4 6 2 4 2 3" xfId="11546"/>
    <cellStyle name="Normal 4 6 2 4 2 4" xfId="19988"/>
    <cellStyle name="Normal 4 6 2 4 2 5" xfId="28428"/>
    <cellStyle name="Normal 4 6 2 4 3" xfId="5183"/>
    <cellStyle name="Normal 4 6 2 4 3 2" xfId="13619"/>
    <cellStyle name="Normal 4 6 2 4 3 3" xfId="22060"/>
    <cellStyle name="Normal 4 6 2 4 3 4" xfId="30500"/>
    <cellStyle name="Normal 4 6 2 4 4" xfId="9401"/>
    <cellStyle name="Normal 4 6 2 4 5" xfId="17843"/>
    <cellStyle name="Normal 4 6 2 4 6" xfId="26283"/>
    <cellStyle name="Normal 4 6 2 5" xfId="1288"/>
    <cellStyle name="Normal 4 6 2 5 2" xfId="3518"/>
    <cellStyle name="Normal 4 6 2 5 2 2" xfId="7741"/>
    <cellStyle name="Normal 4 6 2 5 2 2 2" xfId="16177"/>
    <cellStyle name="Normal 4 6 2 5 2 2 3" xfId="24618"/>
    <cellStyle name="Normal 4 6 2 5 2 2 4" xfId="33058"/>
    <cellStyle name="Normal 4 6 2 5 2 3" xfId="11959"/>
    <cellStyle name="Normal 4 6 2 5 2 4" xfId="20401"/>
    <cellStyle name="Normal 4 6 2 5 2 5" xfId="28841"/>
    <cellStyle name="Normal 4 6 2 5 3" xfId="5596"/>
    <cellStyle name="Normal 4 6 2 5 3 2" xfId="14032"/>
    <cellStyle name="Normal 4 6 2 5 3 3" xfId="22473"/>
    <cellStyle name="Normal 4 6 2 5 3 4" xfId="30913"/>
    <cellStyle name="Normal 4 6 2 5 4" xfId="9814"/>
    <cellStyle name="Normal 4 6 2 5 5" xfId="18256"/>
    <cellStyle name="Normal 4 6 2 5 6" xfId="26696"/>
    <cellStyle name="Normal 4 6 2 6" xfId="1701"/>
    <cellStyle name="Normal 4 6 2 6 2" xfId="3931"/>
    <cellStyle name="Normal 4 6 2 6 2 2" xfId="8154"/>
    <cellStyle name="Normal 4 6 2 6 2 2 2" xfId="16590"/>
    <cellStyle name="Normal 4 6 2 6 2 2 3" xfId="25031"/>
    <cellStyle name="Normal 4 6 2 6 2 2 4" xfId="33471"/>
    <cellStyle name="Normal 4 6 2 6 2 3" xfId="12372"/>
    <cellStyle name="Normal 4 6 2 6 2 4" xfId="20814"/>
    <cellStyle name="Normal 4 6 2 6 2 5" xfId="29254"/>
    <cellStyle name="Normal 4 6 2 6 3" xfId="6009"/>
    <cellStyle name="Normal 4 6 2 6 3 2" xfId="14445"/>
    <cellStyle name="Normal 4 6 2 6 3 3" xfId="22886"/>
    <cellStyle name="Normal 4 6 2 6 3 4" xfId="31326"/>
    <cellStyle name="Normal 4 6 2 6 4" xfId="10227"/>
    <cellStyle name="Normal 4 6 2 6 5" xfId="18669"/>
    <cellStyle name="Normal 4 6 2 6 6" xfId="27109"/>
    <cellStyle name="Normal 4 6 2 7" xfId="2115"/>
    <cellStyle name="Normal 4 6 2 7 2" xfId="4344"/>
    <cellStyle name="Normal 4 6 2 7 2 2" xfId="8567"/>
    <cellStyle name="Normal 4 6 2 7 2 2 2" xfId="17003"/>
    <cellStyle name="Normal 4 6 2 7 2 2 3" xfId="25444"/>
    <cellStyle name="Normal 4 6 2 7 2 2 4" xfId="33884"/>
    <cellStyle name="Normal 4 6 2 7 2 3" xfId="12785"/>
    <cellStyle name="Normal 4 6 2 7 2 4" xfId="21227"/>
    <cellStyle name="Normal 4 6 2 7 2 5" xfId="29667"/>
    <cellStyle name="Normal 4 6 2 7 3" xfId="6422"/>
    <cellStyle name="Normal 4 6 2 7 3 2" xfId="14858"/>
    <cellStyle name="Normal 4 6 2 7 3 3" xfId="23299"/>
    <cellStyle name="Normal 4 6 2 7 3 4" xfId="31739"/>
    <cellStyle name="Normal 4 6 2 7 4" xfId="10640"/>
    <cellStyle name="Normal 4 6 2 7 5" xfId="19082"/>
    <cellStyle name="Normal 4 6 2 7 6" xfId="27522"/>
    <cellStyle name="Normal 4 6 2 8" xfId="2551"/>
    <cellStyle name="Normal 4 6 2 8 2" xfId="6835"/>
    <cellStyle name="Normal 4 6 2 8 2 2" xfId="15271"/>
    <cellStyle name="Normal 4 6 2 8 2 3" xfId="23712"/>
    <cellStyle name="Normal 4 6 2 8 2 4" xfId="32152"/>
    <cellStyle name="Normal 4 6 2 8 3" xfId="11053"/>
    <cellStyle name="Normal 4 6 2 8 4" xfId="19495"/>
    <cellStyle name="Normal 4 6 2 8 5" xfId="27935"/>
    <cellStyle name="Normal 4 6 2 9" xfId="4770"/>
    <cellStyle name="Normal 4 6 2 9 2" xfId="13206"/>
    <cellStyle name="Normal 4 6 2 9 3" xfId="21647"/>
    <cellStyle name="Normal 4 6 2 9 4" xfId="30087"/>
    <cellStyle name="Normal 4 6 3" xfId="400"/>
    <cellStyle name="Normal 4 6 3 10" xfId="17434"/>
    <cellStyle name="Normal 4 6 3 11" xfId="25874"/>
    <cellStyle name="Normal 4 6 3 2" xfId="401"/>
    <cellStyle name="Normal 4 6 3 2 10" xfId="25875"/>
    <cellStyle name="Normal 4 6 3 2 2" xfId="875"/>
    <cellStyle name="Normal 4 6 3 2 2 2" xfId="3110"/>
    <cellStyle name="Normal 4 6 3 2 2 2 2" xfId="7333"/>
    <cellStyle name="Normal 4 6 3 2 2 2 2 2" xfId="15769"/>
    <cellStyle name="Normal 4 6 3 2 2 2 2 3" xfId="24210"/>
    <cellStyle name="Normal 4 6 3 2 2 2 2 4" xfId="32650"/>
    <cellStyle name="Normal 4 6 3 2 2 2 3" xfId="11551"/>
    <cellStyle name="Normal 4 6 3 2 2 2 4" xfId="19993"/>
    <cellStyle name="Normal 4 6 3 2 2 2 5" xfId="28433"/>
    <cellStyle name="Normal 4 6 3 2 2 3" xfId="5188"/>
    <cellStyle name="Normal 4 6 3 2 2 3 2" xfId="13624"/>
    <cellStyle name="Normal 4 6 3 2 2 3 3" xfId="22065"/>
    <cellStyle name="Normal 4 6 3 2 2 3 4" xfId="30505"/>
    <cellStyle name="Normal 4 6 3 2 2 4" xfId="9406"/>
    <cellStyle name="Normal 4 6 3 2 2 5" xfId="17848"/>
    <cellStyle name="Normal 4 6 3 2 2 6" xfId="26288"/>
    <cellStyle name="Normal 4 6 3 2 3" xfId="1293"/>
    <cellStyle name="Normal 4 6 3 2 3 2" xfId="3523"/>
    <cellStyle name="Normal 4 6 3 2 3 2 2" xfId="7746"/>
    <cellStyle name="Normal 4 6 3 2 3 2 2 2" xfId="16182"/>
    <cellStyle name="Normal 4 6 3 2 3 2 2 3" xfId="24623"/>
    <cellStyle name="Normal 4 6 3 2 3 2 2 4" xfId="33063"/>
    <cellStyle name="Normal 4 6 3 2 3 2 3" xfId="11964"/>
    <cellStyle name="Normal 4 6 3 2 3 2 4" xfId="20406"/>
    <cellStyle name="Normal 4 6 3 2 3 2 5" xfId="28846"/>
    <cellStyle name="Normal 4 6 3 2 3 3" xfId="5601"/>
    <cellStyle name="Normal 4 6 3 2 3 3 2" xfId="14037"/>
    <cellStyle name="Normal 4 6 3 2 3 3 3" xfId="22478"/>
    <cellStyle name="Normal 4 6 3 2 3 3 4" xfId="30918"/>
    <cellStyle name="Normal 4 6 3 2 3 4" xfId="9819"/>
    <cellStyle name="Normal 4 6 3 2 3 5" xfId="18261"/>
    <cellStyle name="Normal 4 6 3 2 3 6" xfId="26701"/>
    <cellStyle name="Normal 4 6 3 2 4" xfId="1706"/>
    <cellStyle name="Normal 4 6 3 2 4 2" xfId="3936"/>
    <cellStyle name="Normal 4 6 3 2 4 2 2" xfId="8159"/>
    <cellStyle name="Normal 4 6 3 2 4 2 2 2" xfId="16595"/>
    <cellStyle name="Normal 4 6 3 2 4 2 2 3" xfId="25036"/>
    <cellStyle name="Normal 4 6 3 2 4 2 2 4" xfId="33476"/>
    <cellStyle name="Normal 4 6 3 2 4 2 3" xfId="12377"/>
    <cellStyle name="Normal 4 6 3 2 4 2 4" xfId="20819"/>
    <cellStyle name="Normal 4 6 3 2 4 2 5" xfId="29259"/>
    <cellStyle name="Normal 4 6 3 2 4 3" xfId="6014"/>
    <cellStyle name="Normal 4 6 3 2 4 3 2" xfId="14450"/>
    <cellStyle name="Normal 4 6 3 2 4 3 3" xfId="22891"/>
    <cellStyle name="Normal 4 6 3 2 4 3 4" xfId="31331"/>
    <cellStyle name="Normal 4 6 3 2 4 4" xfId="10232"/>
    <cellStyle name="Normal 4 6 3 2 4 5" xfId="18674"/>
    <cellStyle name="Normal 4 6 3 2 4 6" xfId="27114"/>
    <cellStyle name="Normal 4 6 3 2 5" xfId="2120"/>
    <cellStyle name="Normal 4 6 3 2 5 2" xfId="4349"/>
    <cellStyle name="Normal 4 6 3 2 5 2 2" xfId="8572"/>
    <cellStyle name="Normal 4 6 3 2 5 2 2 2" xfId="17008"/>
    <cellStyle name="Normal 4 6 3 2 5 2 2 3" xfId="25449"/>
    <cellStyle name="Normal 4 6 3 2 5 2 2 4" xfId="33889"/>
    <cellStyle name="Normal 4 6 3 2 5 2 3" xfId="12790"/>
    <cellStyle name="Normal 4 6 3 2 5 2 4" xfId="21232"/>
    <cellStyle name="Normal 4 6 3 2 5 2 5" xfId="29672"/>
    <cellStyle name="Normal 4 6 3 2 5 3" xfId="6427"/>
    <cellStyle name="Normal 4 6 3 2 5 3 2" xfId="14863"/>
    <cellStyle name="Normal 4 6 3 2 5 3 3" xfId="23304"/>
    <cellStyle name="Normal 4 6 3 2 5 3 4" xfId="31744"/>
    <cellStyle name="Normal 4 6 3 2 5 4" xfId="10645"/>
    <cellStyle name="Normal 4 6 3 2 5 5" xfId="19087"/>
    <cellStyle name="Normal 4 6 3 2 5 6" xfId="27527"/>
    <cellStyle name="Normal 4 6 3 2 6" xfId="2556"/>
    <cellStyle name="Normal 4 6 3 2 6 2" xfId="6840"/>
    <cellStyle name="Normal 4 6 3 2 6 2 2" xfId="15276"/>
    <cellStyle name="Normal 4 6 3 2 6 2 3" xfId="23717"/>
    <cellStyle name="Normal 4 6 3 2 6 2 4" xfId="32157"/>
    <cellStyle name="Normal 4 6 3 2 6 3" xfId="11058"/>
    <cellStyle name="Normal 4 6 3 2 6 4" xfId="19500"/>
    <cellStyle name="Normal 4 6 3 2 6 5" xfId="27940"/>
    <cellStyle name="Normal 4 6 3 2 7" xfId="4775"/>
    <cellStyle name="Normal 4 6 3 2 7 2" xfId="13211"/>
    <cellStyle name="Normal 4 6 3 2 7 3" xfId="21652"/>
    <cellStyle name="Normal 4 6 3 2 7 4" xfId="30092"/>
    <cellStyle name="Normal 4 6 3 2 8" xfId="8993"/>
    <cellStyle name="Normal 4 6 3 2 9" xfId="17435"/>
    <cellStyle name="Normal 4 6 3 3" xfId="874"/>
    <cellStyle name="Normal 4 6 3 3 2" xfId="3109"/>
    <cellStyle name="Normal 4 6 3 3 2 2" xfId="7332"/>
    <cellStyle name="Normal 4 6 3 3 2 2 2" xfId="15768"/>
    <cellStyle name="Normal 4 6 3 3 2 2 3" xfId="24209"/>
    <cellStyle name="Normal 4 6 3 3 2 2 4" xfId="32649"/>
    <cellStyle name="Normal 4 6 3 3 2 3" xfId="11550"/>
    <cellStyle name="Normal 4 6 3 3 2 4" xfId="19992"/>
    <cellStyle name="Normal 4 6 3 3 2 5" xfId="28432"/>
    <cellStyle name="Normal 4 6 3 3 3" xfId="5187"/>
    <cellStyle name="Normal 4 6 3 3 3 2" xfId="13623"/>
    <cellStyle name="Normal 4 6 3 3 3 3" xfId="22064"/>
    <cellStyle name="Normal 4 6 3 3 3 4" xfId="30504"/>
    <cellStyle name="Normal 4 6 3 3 4" xfId="9405"/>
    <cellStyle name="Normal 4 6 3 3 5" xfId="17847"/>
    <cellStyle name="Normal 4 6 3 3 6" xfId="26287"/>
    <cellStyle name="Normal 4 6 3 4" xfId="1292"/>
    <cellStyle name="Normal 4 6 3 4 2" xfId="3522"/>
    <cellStyle name="Normal 4 6 3 4 2 2" xfId="7745"/>
    <cellStyle name="Normal 4 6 3 4 2 2 2" xfId="16181"/>
    <cellStyle name="Normal 4 6 3 4 2 2 3" xfId="24622"/>
    <cellStyle name="Normal 4 6 3 4 2 2 4" xfId="33062"/>
    <cellStyle name="Normal 4 6 3 4 2 3" xfId="11963"/>
    <cellStyle name="Normal 4 6 3 4 2 4" xfId="20405"/>
    <cellStyle name="Normal 4 6 3 4 2 5" xfId="28845"/>
    <cellStyle name="Normal 4 6 3 4 3" xfId="5600"/>
    <cellStyle name="Normal 4 6 3 4 3 2" xfId="14036"/>
    <cellStyle name="Normal 4 6 3 4 3 3" xfId="22477"/>
    <cellStyle name="Normal 4 6 3 4 3 4" xfId="30917"/>
    <cellStyle name="Normal 4 6 3 4 4" xfId="9818"/>
    <cellStyle name="Normal 4 6 3 4 5" xfId="18260"/>
    <cellStyle name="Normal 4 6 3 4 6" xfId="26700"/>
    <cellStyle name="Normal 4 6 3 5" xfId="1705"/>
    <cellStyle name="Normal 4 6 3 5 2" xfId="3935"/>
    <cellStyle name="Normal 4 6 3 5 2 2" xfId="8158"/>
    <cellStyle name="Normal 4 6 3 5 2 2 2" xfId="16594"/>
    <cellStyle name="Normal 4 6 3 5 2 2 3" xfId="25035"/>
    <cellStyle name="Normal 4 6 3 5 2 2 4" xfId="33475"/>
    <cellStyle name="Normal 4 6 3 5 2 3" xfId="12376"/>
    <cellStyle name="Normal 4 6 3 5 2 4" xfId="20818"/>
    <cellStyle name="Normal 4 6 3 5 2 5" xfId="29258"/>
    <cellStyle name="Normal 4 6 3 5 3" xfId="6013"/>
    <cellStyle name="Normal 4 6 3 5 3 2" xfId="14449"/>
    <cellStyle name="Normal 4 6 3 5 3 3" xfId="22890"/>
    <cellStyle name="Normal 4 6 3 5 3 4" xfId="31330"/>
    <cellStyle name="Normal 4 6 3 5 4" xfId="10231"/>
    <cellStyle name="Normal 4 6 3 5 5" xfId="18673"/>
    <cellStyle name="Normal 4 6 3 5 6" xfId="27113"/>
    <cellStyle name="Normal 4 6 3 6" xfId="2119"/>
    <cellStyle name="Normal 4 6 3 6 2" xfId="4348"/>
    <cellStyle name="Normal 4 6 3 6 2 2" xfId="8571"/>
    <cellStyle name="Normal 4 6 3 6 2 2 2" xfId="17007"/>
    <cellStyle name="Normal 4 6 3 6 2 2 3" xfId="25448"/>
    <cellStyle name="Normal 4 6 3 6 2 2 4" xfId="33888"/>
    <cellStyle name="Normal 4 6 3 6 2 3" xfId="12789"/>
    <cellStyle name="Normal 4 6 3 6 2 4" xfId="21231"/>
    <cellStyle name="Normal 4 6 3 6 2 5" xfId="29671"/>
    <cellStyle name="Normal 4 6 3 6 3" xfId="6426"/>
    <cellStyle name="Normal 4 6 3 6 3 2" xfId="14862"/>
    <cellStyle name="Normal 4 6 3 6 3 3" xfId="23303"/>
    <cellStyle name="Normal 4 6 3 6 3 4" xfId="31743"/>
    <cellStyle name="Normal 4 6 3 6 4" xfId="10644"/>
    <cellStyle name="Normal 4 6 3 6 5" xfId="19086"/>
    <cellStyle name="Normal 4 6 3 6 6" xfId="27526"/>
    <cellStyle name="Normal 4 6 3 7" xfId="2555"/>
    <cellStyle name="Normal 4 6 3 7 2" xfId="6839"/>
    <cellStyle name="Normal 4 6 3 7 2 2" xfId="15275"/>
    <cellStyle name="Normal 4 6 3 7 2 3" xfId="23716"/>
    <cellStyle name="Normal 4 6 3 7 2 4" xfId="32156"/>
    <cellStyle name="Normal 4 6 3 7 3" xfId="11057"/>
    <cellStyle name="Normal 4 6 3 7 4" xfId="19499"/>
    <cellStyle name="Normal 4 6 3 7 5" xfId="27939"/>
    <cellStyle name="Normal 4 6 3 8" xfId="4774"/>
    <cellStyle name="Normal 4 6 3 8 2" xfId="13210"/>
    <cellStyle name="Normal 4 6 3 8 3" xfId="21651"/>
    <cellStyle name="Normal 4 6 3 8 4" xfId="30091"/>
    <cellStyle name="Normal 4 6 3 9" xfId="8992"/>
    <cellStyle name="Normal 4 6 4" xfId="402"/>
    <cellStyle name="Normal 4 6 4 10" xfId="25876"/>
    <cellStyle name="Normal 4 6 4 2" xfId="876"/>
    <cellStyle name="Normal 4 6 4 2 2" xfId="3111"/>
    <cellStyle name="Normal 4 6 4 2 2 2" xfId="7334"/>
    <cellStyle name="Normal 4 6 4 2 2 2 2" xfId="15770"/>
    <cellStyle name="Normal 4 6 4 2 2 2 3" xfId="24211"/>
    <cellStyle name="Normal 4 6 4 2 2 2 4" xfId="32651"/>
    <cellStyle name="Normal 4 6 4 2 2 3" xfId="11552"/>
    <cellStyle name="Normal 4 6 4 2 2 4" xfId="19994"/>
    <cellStyle name="Normal 4 6 4 2 2 5" xfId="28434"/>
    <cellStyle name="Normal 4 6 4 2 3" xfId="5189"/>
    <cellStyle name="Normal 4 6 4 2 3 2" xfId="13625"/>
    <cellStyle name="Normal 4 6 4 2 3 3" xfId="22066"/>
    <cellStyle name="Normal 4 6 4 2 3 4" xfId="30506"/>
    <cellStyle name="Normal 4 6 4 2 4" xfId="9407"/>
    <cellStyle name="Normal 4 6 4 2 5" xfId="17849"/>
    <cellStyle name="Normal 4 6 4 2 6" xfId="26289"/>
    <cellStyle name="Normal 4 6 4 3" xfId="1294"/>
    <cellStyle name="Normal 4 6 4 3 2" xfId="3524"/>
    <cellStyle name="Normal 4 6 4 3 2 2" xfId="7747"/>
    <cellStyle name="Normal 4 6 4 3 2 2 2" xfId="16183"/>
    <cellStyle name="Normal 4 6 4 3 2 2 3" xfId="24624"/>
    <cellStyle name="Normal 4 6 4 3 2 2 4" xfId="33064"/>
    <cellStyle name="Normal 4 6 4 3 2 3" xfId="11965"/>
    <cellStyle name="Normal 4 6 4 3 2 4" xfId="20407"/>
    <cellStyle name="Normal 4 6 4 3 2 5" xfId="28847"/>
    <cellStyle name="Normal 4 6 4 3 3" xfId="5602"/>
    <cellStyle name="Normal 4 6 4 3 3 2" xfId="14038"/>
    <cellStyle name="Normal 4 6 4 3 3 3" xfId="22479"/>
    <cellStyle name="Normal 4 6 4 3 3 4" xfId="30919"/>
    <cellStyle name="Normal 4 6 4 3 4" xfId="9820"/>
    <cellStyle name="Normal 4 6 4 3 5" xfId="18262"/>
    <cellStyle name="Normal 4 6 4 3 6" xfId="26702"/>
    <cellStyle name="Normal 4 6 4 4" xfId="1707"/>
    <cellStyle name="Normal 4 6 4 4 2" xfId="3937"/>
    <cellStyle name="Normal 4 6 4 4 2 2" xfId="8160"/>
    <cellStyle name="Normal 4 6 4 4 2 2 2" xfId="16596"/>
    <cellStyle name="Normal 4 6 4 4 2 2 3" xfId="25037"/>
    <cellStyle name="Normal 4 6 4 4 2 2 4" xfId="33477"/>
    <cellStyle name="Normal 4 6 4 4 2 3" xfId="12378"/>
    <cellStyle name="Normal 4 6 4 4 2 4" xfId="20820"/>
    <cellStyle name="Normal 4 6 4 4 2 5" xfId="29260"/>
    <cellStyle name="Normal 4 6 4 4 3" xfId="6015"/>
    <cellStyle name="Normal 4 6 4 4 3 2" xfId="14451"/>
    <cellStyle name="Normal 4 6 4 4 3 3" xfId="22892"/>
    <cellStyle name="Normal 4 6 4 4 3 4" xfId="31332"/>
    <cellStyle name="Normal 4 6 4 4 4" xfId="10233"/>
    <cellStyle name="Normal 4 6 4 4 5" xfId="18675"/>
    <cellStyle name="Normal 4 6 4 4 6" xfId="27115"/>
    <cellStyle name="Normal 4 6 4 5" xfId="2121"/>
    <cellStyle name="Normal 4 6 4 5 2" xfId="4350"/>
    <cellStyle name="Normal 4 6 4 5 2 2" xfId="8573"/>
    <cellStyle name="Normal 4 6 4 5 2 2 2" xfId="17009"/>
    <cellStyle name="Normal 4 6 4 5 2 2 3" xfId="25450"/>
    <cellStyle name="Normal 4 6 4 5 2 2 4" xfId="33890"/>
    <cellStyle name="Normal 4 6 4 5 2 3" xfId="12791"/>
    <cellStyle name="Normal 4 6 4 5 2 4" xfId="21233"/>
    <cellStyle name="Normal 4 6 4 5 2 5" xfId="29673"/>
    <cellStyle name="Normal 4 6 4 5 3" xfId="6428"/>
    <cellStyle name="Normal 4 6 4 5 3 2" xfId="14864"/>
    <cellStyle name="Normal 4 6 4 5 3 3" xfId="23305"/>
    <cellStyle name="Normal 4 6 4 5 3 4" xfId="31745"/>
    <cellStyle name="Normal 4 6 4 5 4" xfId="10646"/>
    <cellStyle name="Normal 4 6 4 5 5" xfId="19088"/>
    <cellStyle name="Normal 4 6 4 5 6" xfId="27528"/>
    <cellStyle name="Normal 4 6 4 6" xfId="2557"/>
    <cellStyle name="Normal 4 6 4 6 2" xfId="6841"/>
    <cellStyle name="Normal 4 6 4 6 2 2" xfId="15277"/>
    <cellStyle name="Normal 4 6 4 6 2 3" xfId="23718"/>
    <cellStyle name="Normal 4 6 4 6 2 4" xfId="32158"/>
    <cellStyle name="Normal 4 6 4 6 3" xfId="11059"/>
    <cellStyle name="Normal 4 6 4 6 4" xfId="19501"/>
    <cellStyle name="Normal 4 6 4 6 5" xfId="27941"/>
    <cellStyle name="Normal 4 6 4 7" xfId="4776"/>
    <cellStyle name="Normal 4 6 4 7 2" xfId="13212"/>
    <cellStyle name="Normal 4 6 4 7 3" xfId="21653"/>
    <cellStyle name="Normal 4 6 4 7 4" xfId="30093"/>
    <cellStyle name="Normal 4 6 4 8" xfId="8994"/>
    <cellStyle name="Normal 4 6 4 9" xfId="17436"/>
    <cellStyle name="Normal 4 6 5" xfId="869"/>
    <cellStyle name="Normal 4 6 5 2" xfId="3104"/>
    <cellStyle name="Normal 4 6 5 2 2" xfId="7327"/>
    <cellStyle name="Normal 4 6 5 2 2 2" xfId="15763"/>
    <cellStyle name="Normal 4 6 5 2 2 3" xfId="24204"/>
    <cellStyle name="Normal 4 6 5 2 2 4" xfId="32644"/>
    <cellStyle name="Normal 4 6 5 2 3" xfId="11545"/>
    <cellStyle name="Normal 4 6 5 2 4" xfId="19987"/>
    <cellStyle name="Normal 4 6 5 2 5" xfId="28427"/>
    <cellStyle name="Normal 4 6 5 3" xfId="5182"/>
    <cellStyle name="Normal 4 6 5 3 2" xfId="13618"/>
    <cellStyle name="Normal 4 6 5 3 3" xfId="22059"/>
    <cellStyle name="Normal 4 6 5 3 4" xfId="30499"/>
    <cellStyle name="Normal 4 6 5 4" xfId="9400"/>
    <cellStyle name="Normal 4 6 5 5" xfId="17842"/>
    <cellStyle name="Normal 4 6 5 6" xfId="26282"/>
    <cellStyle name="Normal 4 6 6" xfId="1287"/>
    <cellStyle name="Normal 4 6 6 2" xfId="3517"/>
    <cellStyle name="Normal 4 6 6 2 2" xfId="7740"/>
    <cellStyle name="Normal 4 6 6 2 2 2" xfId="16176"/>
    <cellStyle name="Normal 4 6 6 2 2 3" xfId="24617"/>
    <cellStyle name="Normal 4 6 6 2 2 4" xfId="33057"/>
    <cellStyle name="Normal 4 6 6 2 3" xfId="11958"/>
    <cellStyle name="Normal 4 6 6 2 4" xfId="20400"/>
    <cellStyle name="Normal 4 6 6 2 5" xfId="28840"/>
    <cellStyle name="Normal 4 6 6 3" xfId="5595"/>
    <cellStyle name="Normal 4 6 6 3 2" xfId="14031"/>
    <cellStyle name="Normal 4 6 6 3 3" xfId="22472"/>
    <cellStyle name="Normal 4 6 6 3 4" xfId="30912"/>
    <cellStyle name="Normal 4 6 6 4" xfId="9813"/>
    <cellStyle name="Normal 4 6 6 5" xfId="18255"/>
    <cellStyle name="Normal 4 6 6 6" xfId="26695"/>
    <cellStyle name="Normal 4 6 7" xfId="1700"/>
    <cellStyle name="Normal 4 6 7 2" xfId="3930"/>
    <cellStyle name="Normal 4 6 7 2 2" xfId="8153"/>
    <cellStyle name="Normal 4 6 7 2 2 2" xfId="16589"/>
    <cellStyle name="Normal 4 6 7 2 2 3" xfId="25030"/>
    <cellStyle name="Normal 4 6 7 2 2 4" xfId="33470"/>
    <cellStyle name="Normal 4 6 7 2 3" xfId="12371"/>
    <cellStyle name="Normal 4 6 7 2 4" xfId="20813"/>
    <cellStyle name="Normal 4 6 7 2 5" xfId="29253"/>
    <cellStyle name="Normal 4 6 7 3" xfId="6008"/>
    <cellStyle name="Normal 4 6 7 3 2" xfId="14444"/>
    <cellStyle name="Normal 4 6 7 3 3" xfId="22885"/>
    <cellStyle name="Normal 4 6 7 3 4" xfId="31325"/>
    <cellStyle name="Normal 4 6 7 4" xfId="10226"/>
    <cellStyle name="Normal 4 6 7 5" xfId="18668"/>
    <cellStyle name="Normal 4 6 7 6" xfId="27108"/>
    <cellStyle name="Normal 4 6 8" xfId="2114"/>
    <cellStyle name="Normal 4 6 8 2" xfId="4343"/>
    <cellStyle name="Normal 4 6 8 2 2" xfId="8566"/>
    <cellStyle name="Normal 4 6 8 2 2 2" xfId="17002"/>
    <cellStyle name="Normal 4 6 8 2 2 3" xfId="25443"/>
    <cellStyle name="Normal 4 6 8 2 2 4" xfId="33883"/>
    <cellStyle name="Normal 4 6 8 2 3" xfId="12784"/>
    <cellStyle name="Normal 4 6 8 2 4" xfId="21226"/>
    <cellStyle name="Normal 4 6 8 2 5" xfId="29666"/>
    <cellStyle name="Normal 4 6 8 3" xfId="6421"/>
    <cellStyle name="Normal 4 6 8 3 2" xfId="14857"/>
    <cellStyle name="Normal 4 6 8 3 3" xfId="23298"/>
    <cellStyle name="Normal 4 6 8 3 4" xfId="31738"/>
    <cellStyle name="Normal 4 6 8 4" xfId="10639"/>
    <cellStyle name="Normal 4 6 8 5" xfId="19081"/>
    <cellStyle name="Normal 4 6 8 6" xfId="27521"/>
    <cellStyle name="Normal 4 6 9" xfId="2550"/>
    <cellStyle name="Normal 4 6 9 2" xfId="6834"/>
    <cellStyle name="Normal 4 6 9 2 2" xfId="15270"/>
    <cellStyle name="Normal 4 6 9 2 3" xfId="23711"/>
    <cellStyle name="Normal 4 6 9 2 4" xfId="32151"/>
    <cellStyle name="Normal 4 6 9 3" xfId="11052"/>
    <cellStyle name="Normal 4 6 9 4" xfId="19494"/>
    <cellStyle name="Normal 4 6 9 5" xfId="27934"/>
    <cellStyle name="Normal 4 7" xfId="403"/>
    <cellStyle name="Normal 4 7 10" xfId="17437"/>
    <cellStyle name="Normal 4 7 11" xfId="25877"/>
    <cellStyle name="Normal 4 7 2" xfId="404"/>
    <cellStyle name="Normal 4 7 2 10" xfId="25878"/>
    <cellStyle name="Normal 4 7 2 2" xfId="878"/>
    <cellStyle name="Normal 4 7 2 2 2" xfId="3113"/>
    <cellStyle name="Normal 4 7 2 2 2 2" xfId="7336"/>
    <cellStyle name="Normal 4 7 2 2 2 2 2" xfId="15772"/>
    <cellStyle name="Normal 4 7 2 2 2 2 3" xfId="24213"/>
    <cellStyle name="Normal 4 7 2 2 2 2 4" xfId="32653"/>
    <cellStyle name="Normal 4 7 2 2 2 3" xfId="11554"/>
    <cellStyle name="Normal 4 7 2 2 2 4" xfId="19996"/>
    <cellStyle name="Normal 4 7 2 2 2 5" xfId="28436"/>
    <cellStyle name="Normal 4 7 2 2 3" xfId="5191"/>
    <cellStyle name="Normal 4 7 2 2 3 2" xfId="13627"/>
    <cellStyle name="Normal 4 7 2 2 3 3" xfId="22068"/>
    <cellStyle name="Normal 4 7 2 2 3 4" xfId="30508"/>
    <cellStyle name="Normal 4 7 2 2 4" xfId="9409"/>
    <cellStyle name="Normal 4 7 2 2 5" xfId="17851"/>
    <cellStyle name="Normal 4 7 2 2 6" xfId="26291"/>
    <cellStyle name="Normal 4 7 2 3" xfId="1296"/>
    <cellStyle name="Normal 4 7 2 3 2" xfId="3526"/>
    <cellStyle name="Normal 4 7 2 3 2 2" xfId="7749"/>
    <cellStyle name="Normal 4 7 2 3 2 2 2" xfId="16185"/>
    <cellStyle name="Normal 4 7 2 3 2 2 3" xfId="24626"/>
    <cellStyle name="Normal 4 7 2 3 2 2 4" xfId="33066"/>
    <cellStyle name="Normal 4 7 2 3 2 3" xfId="11967"/>
    <cellStyle name="Normal 4 7 2 3 2 4" xfId="20409"/>
    <cellStyle name="Normal 4 7 2 3 2 5" xfId="28849"/>
    <cellStyle name="Normal 4 7 2 3 3" xfId="5604"/>
    <cellStyle name="Normal 4 7 2 3 3 2" xfId="14040"/>
    <cellStyle name="Normal 4 7 2 3 3 3" xfId="22481"/>
    <cellStyle name="Normal 4 7 2 3 3 4" xfId="30921"/>
    <cellStyle name="Normal 4 7 2 3 4" xfId="9822"/>
    <cellStyle name="Normal 4 7 2 3 5" xfId="18264"/>
    <cellStyle name="Normal 4 7 2 3 6" xfId="26704"/>
    <cellStyle name="Normal 4 7 2 4" xfId="1709"/>
    <cellStyle name="Normal 4 7 2 4 2" xfId="3939"/>
    <cellStyle name="Normal 4 7 2 4 2 2" xfId="8162"/>
    <cellStyle name="Normal 4 7 2 4 2 2 2" xfId="16598"/>
    <cellStyle name="Normal 4 7 2 4 2 2 3" xfId="25039"/>
    <cellStyle name="Normal 4 7 2 4 2 2 4" xfId="33479"/>
    <cellStyle name="Normal 4 7 2 4 2 3" xfId="12380"/>
    <cellStyle name="Normal 4 7 2 4 2 4" xfId="20822"/>
    <cellStyle name="Normal 4 7 2 4 2 5" xfId="29262"/>
    <cellStyle name="Normal 4 7 2 4 3" xfId="6017"/>
    <cellStyle name="Normal 4 7 2 4 3 2" xfId="14453"/>
    <cellStyle name="Normal 4 7 2 4 3 3" xfId="22894"/>
    <cellStyle name="Normal 4 7 2 4 3 4" xfId="31334"/>
    <cellStyle name="Normal 4 7 2 4 4" xfId="10235"/>
    <cellStyle name="Normal 4 7 2 4 5" xfId="18677"/>
    <cellStyle name="Normal 4 7 2 4 6" xfId="27117"/>
    <cellStyle name="Normal 4 7 2 5" xfId="2123"/>
    <cellStyle name="Normal 4 7 2 5 2" xfId="4352"/>
    <cellStyle name="Normal 4 7 2 5 2 2" xfId="8575"/>
    <cellStyle name="Normal 4 7 2 5 2 2 2" xfId="17011"/>
    <cellStyle name="Normal 4 7 2 5 2 2 3" xfId="25452"/>
    <cellStyle name="Normal 4 7 2 5 2 2 4" xfId="33892"/>
    <cellStyle name="Normal 4 7 2 5 2 3" xfId="12793"/>
    <cellStyle name="Normal 4 7 2 5 2 4" xfId="21235"/>
    <cellStyle name="Normal 4 7 2 5 2 5" xfId="29675"/>
    <cellStyle name="Normal 4 7 2 5 3" xfId="6430"/>
    <cellStyle name="Normal 4 7 2 5 3 2" xfId="14866"/>
    <cellStyle name="Normal 4 7 2 5 3 3" xfId="23307"/>
    <cellStyle name="Normal 4 7 2 5 3 4" xfId="31747"/>
    <cellStyle name="Normal 4 7 2 5 4" xfId="10648"/>
    <cellStyle name="Normal 4 7 2 5 5" xfId="19090"/>
    <cellStyle name="Normal 4 7 2 5 6" xfId="27530"/>
    <cellStyle name="Normal 4 7 2 6" xfId="2559"/>
    <cellStyle name="Normal 4 7 2 6 2" xfId="6843"/>
    <cellStyle name="Normal 4 7 2 6 2 2" xfId="15279"/>
    <cellStyle name="Normal 4 7 2 6 2 3" xfId="23720"/>
    <cellStyle name="Normal 4 7 2 6 2 4" xfId="32160"/>
    <cellStyle name="Normal 4 7 2 6 3" xfId="11061"/>
    <cellStyle name="Normal 4 7 2 6 4" xfId="19503"/>
    <cellStyle name="Normal 4 7 2 6 5" xfId="27943"/>
    <cellStyle name="Normal 4 7 2 7" xfId="4778"/>
    <cellStyle name="Normal 4 7 2 7 2" xfId="13214"/>
    <cellStyle name="Normal 4 7 2 7 3" xfId="21655"/>
    <cellStyle name="Normal 4 7 2 7 4" xfId="30095"/>
    <cellStyle name="Normal 4 7 2 8" xfId="8996"/>
    <cellStyle name="Normal 4 7 2 9" xfId="17438"/>
    <cellStyle name="Normal 4 7 3" xfId="877"/>
    <cellStyle name="Normal 4 7 3 2" xfId="3112"/>
    <cellStyle name="Normal 4 7 3 2 2" xfId="7335"/>
    <cellStyle name="Normal 4 7 3 2 2 2" xfId="15771"/>
    <cellStyle name="Normal 4 7 3 2 2 3" xfId="24212"/>
    <cellStyle name="Normal 4 7 3 2 2 4" xfId="32652"/>
    <cellStyle name="Normal 4 7 3 2 3" xfId="11553"/>
    <cellStyle name="Normal 4 7 3 2 4" xfId="19995"/>
    <cellStyle name="Normal 4 7 3 2 5" xfId="28435"/>
    <cellStyle name="Normal 4 7 3 3" xfId="5190"/>
    <cellStyle name="Normal 4 7 3 3 2" xfId="13626"/>
    <cellStyle name="Normal 4 7 3 3 3" xfId="22067"/>
    <cellStyle name="Normal 4 7 3 3 4" xfId="30507"/>
    <cellStyle name="Normal 4 7 3 4" xfId="9408"/>
    <cellStyle name="Normal 4 7 3 5" xfId="17850"/>
    <cellStyle name="Normal 4 7 3 6" xfId="26290"/>
    <cellStyle name="Normal 4 7 4" xfId="1295"/>
    <cellStyle name="Normal 4 7 4 2" xfId="3525"/>
    <cellStyle name="Normal 4 7 4 2 2" xfId="7748"/>
    <cellStyle name="Normal 4 7 4 2 2 2" xfId="16184"/>
    <cellStyle name="Normal 4 7 4 2 2 3" xfId="24625"/>
    <cellStyle name="Normal 4 7 4 2 2 4" xfId="33065"/>
    <cellStyle name="Normal 4 7 4 2 3" xfId="11966"/>
    <cellStyle name="Normal 4 7 4 2 4" xfId="20408"/>
    <cellStyle name="Normal 4 7 4 2 5" xfId="28848"/>
    <cellStyle name="Normal 4 7 4 3" xfId="5603"/>
    <cellStyle name="Normal 4 7 4 3 2" xfId="14039"/>
    <cellStyle name="Normal 4 7 4 3 3" xfId="22480"/>
    <cellStyle name="Normal 4 7 4 3 4" xfId="30920"/>
    <cellStyle name="Normal 4 7 4 4" xfId="9821"/>
    <cellStyle name="Normal 4 7 4 5" xfId="18263"/>
    <cellStyle name="Normal 4 7 4 6" xfId="26703"/>
    <cellStyle name="Normal 4 7 5" xfId="1708"/>
    <cellStyle name="Normal 4 7 5 2" xfId="3938"/>
    <cellStyle name="Normal 4 7 5 2 2" xfId="8161"/>
    <cellStyle name="Normal 4 7 5 2 2 2" xfId="16597"/>
    <cellStyle name="Normal 4 7 5 2 2 3" xfId="25038"/>
    <cellStyle name="Normal 4 7 5 2 2 4" xfId="33478"/>
    <cellStyle name="Normal 4 7 5 2 3" xfId="12379"/>
    <cellStyle name="Normal 4 7 5 2 4" xfId="20821"/>
    <cellStyle name="Normal 4 7 5 2 5" xfId="29261"/>
    <cellStyle name="Normal 4 7 5 3" xfId="6016"/>
    <cellStyle name="Normal 4 7 5 3 2" xfId="14452"/>
    <cellStyle name="Normal 4 7 5 3 3" xfId="22893"/>
    <cellStyle name="Normal 4 7 5 3 4" xfId="31333"/>
    <cellStyle name="Normal 4 7 5 4" xfId="10234"/>
    <cellStyle name="Normal 4 7 5 5" xfId="18676"/>
    <cellStyle name="Normal 4 7 5 6" xfId="27116"/>
    <cellStyle name="Normal 4 7 6" xfId="2122"/>
    <cellStyle name="Normal 4 7 6 2" xfId="4351"/>
    <cellStyle name="Normal 4 7 6 2 2" xfId="8574"/>
    <cellStyle name="Normal 4 7 6 2 2 2" xfId="17010"/>
    <cellStyle name="Normal 4 7 6 2 2 3" xfId="25451"/>
    <cellStyle name="Normal 4 7 6 2 2 4" xfId="33891"/>
    <cellStyle name="Normal 4 7 6 2 3" xfId="12792"/>
    <cellStyle name="Normal 4 7 6 2 4" xfId="21234"/>
    <cellStyle name="Normal 4 7 6 2 5" xfId="29674"/>
    <cellStyle name="Normal 4 7 6 3" xfId="6429"/>
    <cellStyle name="Normal 4 7 6 3 2" xfId="14865"/>
    <cellStyle name="Normal 4 7 6 3 3" xfId="23306"/>
    <cellStyle name="Normal 4 7 6 3 4" xfId="31746"/>
    <cellStyle name="Normal 4 7 6 4" xfId="10647"/>
    <cellStyle name="Normal 4 7 6 5" xfId="19089"/>
    <cellStyle name="Normal 4 7 6 6" xfId="27529"/>
    <cellStyle name="Normal 4 7 7" xfId="2558"/>
    <cellStyle name="Normal 4 7 7 2" xfId="6842"/>
    <cellStyle name="Normal 4 7 7 2 2" xfId="15278"/>
    <cellStyle name="Normal 4 7 7 2 3" xfId="23719"/>
    <cellStyle name="Normal 4 7 7 2 4" xfId="32159"/>
    <cellStyle name="Normal 4 7 7 3" xfId="11060"/>
    <cellStyle name="Normal 4 7 7 4" xfId="19502"/>
    <cellStyle name="Normal 4 7 7 5" xfId="27942"/>
    <cellStyle name="Normal 4 7 8" xfId="4777"/>
    <cellStyle name="Normal 4 7 8 2" xfId="13213"/>
    <cellStyle name="Normal 4 7 8 3" xfId="21654"/>
    <cellStyle name="Normal 4 7 8 4" xfId="30094"/>
    <cellStyle name="Normal 4 7 9" xfId="8995"/>
    <cellStyle name="Normal 4 8" xfId="405"/>
    <cellStyle name="Normal 4 8 10" xfId="25879"/>
    <cellStyle name="Normal 4 8 2" xfId="879"/>
    <cellStyle name="Normal 4 8 2 2" xfId="3114"/>
    <cellStyle name="Normal 4 8 2 2 2" xfId="7337"/>
    <cellStyle name="Normal 4 8 2 2 2 2" xfId="15773"/>
    <cellStyle name="Normal 4 8 2 2 2 3" xfId="24214"/>
    <cellStyle name="Normal 4 8 2 2 2 4" xfId="32654"/>
    <cellStyle name="Normal 4 8 2 2 3" xfId="11555"/>
    <cellStyle name="Normal 4 8 2 2 4" xfId="19997"/>
    <cellStyle name="Normal 4 8 2 2 5" xfId="28437"/>
    <cellStyle name="Normal 4 8 2 3" xfId="5192"/>
    <cellStyle name="Normal 4 8 2 3 2" xfId="13628"/>
    <cellStyle name="Normal 4 8 2 3 3" xfId="22069"/>
    <cellStyle name="Normal 4 8 2 3 4" xfId="30509"/>
    <cellStyle name="Normal 4 8 2 4" xfId="9410"/>
    <cellStyle name="Normal 4 8 2 5" xfId="17852"/>
    <cellStyle name="Normal 4 8 2 6" xfId="26292"/>
    <cellStyle name="Normal 4 8 3" xfId="1297"/>
    <cellStyle name="Normal 4 8 3 2" xfId="3527"/>
    <cellStyle name="Normal 4 8 3 2 2" xfId="7750"/>
    <cellStyle name="Normal 4 8 3 2 2 2" xfId="16186"/>
    <cellStyle name="Normal 4 8 3 2 2 3" xfId="24627"/>
    <cellStyle name="Normal 4 8 3 2 2 4" xfId="33067"/>
    <cellStyle name="Normal 4 8 3 2 3" xfId="11968"/>
    <cellStyle name="Normal 4 8 3 2 4" xfId="20410"/>
    <cellStyle name="Normal 4 8 3 2 5" xfId="28850"/>
    <cellStyle name="Normal 4 8 3 3" xfId="5605"/>
    <cellStyle name="Normal 4 8 3 3 2" xfId="14041"/>
    <cellStyle name="Normal 4 8 3 3 3" xfId="22482"/>
    <cellStyle name="Normal 4 8 3 3 4" xfId="30922"/>
    <cellStyle name="Normal 4 8 3 4" xfId="9823"/>
    <cellStyle name="Normal 4 8 3 5" xfId="18265"/>
    <cellStyle name="Normal 4 8 3 6" xfId="26705"/>
    <cellStyle name="Normal 4 8 4" xfId="1710"/>
    <cellStyle name="Normal 4 8 4 2" xfId="3940"/>
    <cellStyle name="Normal 4 8 4 2 2" xfId="8163"/>
    <cellStyle name="Normal 4 8 4 2 2 2" xfId="16599"/>
    <cellStyle name="Normal 4 8 4 2 2 3" xfId="25040"/>
    <cellStyle name="Normal 4 8 4 2 2 4" xfId="33480"/>
    <cellStyle name="Normal 4 8 4 2 3" xfId="12381"/>
    <cellStyle name="Normal 4 8 4 2 4" xfId="20823"/>
    <cellStyle name="Normal 4 8 4 2 5" xfId="29263"/>
    <cellStyle name="Normal 4 8 4 3" xfId="6018"/>
    <cellStyle name="Normal 4 8 4 3 2" xfId="14454"/>
    <cellStyle name="Normal 4 8 4 3 3" xfId="22895"/>
    <cellStyle name="Normal 4 8 4 3 4" xfId="31335"/>
    <cellStyle name="Normal 4 8 4 4" xfId="10236"/>
    <cellStyle name="Normal 4 8 4 5" xfId="18678"/>
    <cellStyle name="Normal 4 8 4 6" xfId="27118"/>
    <cellStyle name="Normal 4 8 5" xfId="2124"/>
    <cellStyle name="Normal 4 8 5 2" xfId="4353"/>
    <cellStyle name="Normal 4 8 5 2 2" xfId="8576"/>
    <cellStyle name="Normal 4 8 5 2 2 2" xfId="17012"/>
    <cellStyle name="Normal 4 8 5 2 2 3" xfId="25453"/>
    <cellStyle name="Normal 4 8 5 2 2 4" xfId="33893"/>
    <cellStyle name="Normal 4 8 5 2 3" xfId="12794"/>
    <cellStyle name="Normal 4 8 5 2 4" xfId="21236"/>
    <cellStyle name="Normal 4 8 5 2 5" xfId="29676"/>
    <cellStyle name="Normal 4 8 5 3" xfId="6431"/>
    <cellStyle name="Normal 4 8 5 3 2" xfId="14867"/>
    <cellStyle name="Normal 4 8 5 3 3" xfId="23308"/>
    <cellStyle name="Normal 4 8 5 3 4" xfId="31748"/>
    <cellStyle name="Normal 4 8 5 4" xfId="10649"/>
    <cellStyle name="Normal 4 8 5 5" xfId="19091"/>
    <cellStyle name="Normal 4 8 5 6" xfId="27531"/>
    <cellStyle name="Normal 4 8 6" xfId="2560"/>
    <cellStyle name="Normal 4 8 6 2" xfId="6844"/>
    <cellStyle name="Normal 4 8 6 2 2" xfId="15280"/>
    <cellStyle name="Normal 4 8 6 2 3" xfId="23721"/>
    <cellStyle name="Normal 4 8 6 2 4" xfId="32161"/>
    <cellStyle name="Normal 4 8 6 3" xfId="11062"/>
    <cellStyle name="Normal 4 8 6 4" xfId="19504"/>
    <cellStyle name="Normal 4 8 6 5" xfId="27944"/>
    <cellStyle name="Normal 4 8 7" xfId="4779"/>
    <cellStyle name="Normal 4 8 7 2" xfId="13215"/>
    <cellStyle name="Normal 4 8 7 3" xfId="21656"/>
    <cellStyle name="Normal 4 8 7 4" xfId="30096"/>
    <cellStyle name="Normal 4 8 8" xfId="8997"/>
    <cellStyle name="Normal 4 8 9" xfId="17439"/>
    <cellStyle name="Normal 4 9" xfId="4716"/>
    <cellStyle name="Normal 4 9 2" xfId="13152"/>
    <cellStyle name="Normal 4 9 3" xfId="21593"/>
    <cellStyle name="Normal 4 9 4" xfId="30033"/>
    <cellStyle name="Normal 5" xfId="406"/>
    <cellStyle name="Normal 5 10" xfId="1711"/>
    <cellStyle name="Normal 5 10 2" xfId="3941"/>
    <cellStyle name="Normal 5 10 2 2" xfId="8164"/>
    <cellStyle name="Normal 5 10 2 2 2" xfId="16600"/>
    <cellStyle name="Normal 5 10 2 2 3" xfId="25041"/>
    <cellStyle name="Normal 5 10 2 2 4" xfId="33481"/>
    <cellStyle name="Normal 5 10 2 3" xfId="12382"/>
    <cellStyle name="Normal 5 10 2 4" xfId="20824"/>
    <cellStyle name="Normal 5 10 2 5" xfId="29264"/>
    <cellStyle name="Normal 5 10 3" xfId="6019"/>
    <cellStyle name="Normal 5 10 3 2" xfId="14455"/>
    <cellStyle name="Normal 5 10 3 3" xfId="22896"/>
    <cellStyle name="Normal 5 10 3 4" xfId="31336"/>
    <cellStyle name="Normal 5 10 4" xfId="10237"/>
    <cellStyle name="Normal 5 10 5" xfId="18679"/>
    <cellStyle name="Normal 5 10 6" xfId="27119"/>
    <cellStyle name="Normal 5 11" xfId="2125"/>
    <cellStyle name="Normal 5 11 2" xfId="4354"/>
    <cellStyle name="Normal 5 11 2 2" xfId="8577"/>
    <cellStyle name="Normal 5 11 2 2 2" xfId="17013"/>
    <cellStyle name="Normal 5 11 2 2 3" xfId="25454"/>
    <cellStyle name="Normal 5 11 2 2 4" xfId="33894"/>
    <cellStyle name="Normal 5 11 2 3" xfId="12795"/>
    <cellStyle name="Normal 5 11 2 4" xfId="21237"/>
    <cellStyle name="Normal 5 11 2 5" xfId="29677"/>
    <cellStyle name="Normal 5 11 3" xfId="6432"/>
    <cellStyle name="Normal 5 11 3 2" xfId="14868"/>
    <cellStyle name="Normal 5 11 3 3" xfId="23309"/>
    <cellStyle name="Normal 5 11 3 4" xfId="31749"/>
    <cellStyle name="Normal 5 11 4" xfId="10650"/>
    <cellStyle name="Normal 5 11 5" xfId="19092"/>
    <cellStyle name="Normal 5 11 6" xfId="27532"/>
    <cellStyle name="Normal 5 12" xfId="2561"/>
    <cellStyle name="Normal 5 12 2" xfId="6845"/>
    <cellStyle name="Normal 5 12 2 2" xfId="15281"/>
    <cellStyle name="Normal 5 12 2 3" xfId="23722"/>
    <cellStyle name="Normal 5 12 2 4" xfId="32162"/>
    <cellStyle name="Normal 5 12 3" xfId="11063"/>
    <cellStyle name="Normal 5 12 4" xfId="19505"/>
    <cellStyle name="Normal 5 12 5" xfId="27945"/>
    <cellStyle name="Normal 5 13" xfId="4780"/>
    <cellStyle name="Normal 5 13 2" xfId="13216"/>
    <cellStyle name="Normal 5 13 3" xfId="21657"/>
    <cellStyle name="Normal 5 13 4" xfId="30097"/>
    <cellStyle name="Normal 5 14" xfId="8998"/>
    <cellStyle name="Normal 5 15" xfId="17440"/>
    <cellStyle name="Normal 5 16" xfId="25880"/>
    <cellStyle name="Normal 5 2" xfId="407"/>
    <cellStyle name="Normal 5 2 10" xfId="2126"/>
    <cellStyle name="Normal 5 2 10 2" xfId="4355"/>
    <cellStyle name="Normal 5 2 10 2 2" xfId="8578"/>
    <cellStyle name="Normal 5 2 10 2 2 2" xfId="17014"/>
    <cellStyle name="Normal 5 2 10 2 2 3" xfId="25455"/>
    <cellStyle name="Normal 5 2 10 2 2 4" xfId="33895"/>
    <cellStyle name="Normal 5 2 10 2 3" xfId="12796"/>
    <cellStyle name="Normal 5 2 10 2 4" xfId="21238"/>
    <cellStyle name="Normal 5 2 10 2 5" xfId="29678"/>
    <cellStyle name="Normal 5 2 10 3" xfId="6433"/>
    <cellStyle name="Normal 5 2 10 3 2" xfId="14869"/>
    <cellStyle name="Normal 5 2 10 3 3" xfId="23310"/>
    <cellStyle name="Normal 5 2 10 3 4" xfId="31750"/>
    <cellStyle name="Normal 5 2 10 4" xfId="10651"/>
    <cellStyle name="Normal 5 2 10 5" xfId="19093"/>
    <cellStyle name="Normal 5 2 10 6" xfId="27533"/>
    <cellStyle name="Normal 5 2 11" xfId="2562"/>
    <cellStyle name="Normal 5 2 11 2" xfId="6846"/>
    <cellStyle name="Normal 5 2 11 2 2" xfId="15282"/>
    <cellStyle name="Normal 5 2 11 2 3" xfId="23723"/>
    <cellStyle name="Normal 5 2 11 2 4" xfId="32163"/>
    <cellStyle name="Normal 5 2 11 3" xfId="11064"/>
    <cellStyle name="Normal 5 2 11 4" xfId="19506"/>
    <cellStyle name="Normal 5 2 11 5" xfId="27946"/>
    <cellStyle name="Normal 5 2 12" xfId="4781"/>
    <cellStyle name="Normal 5 2 12 2" xfId="13217"/>
    <cellStyle name="Normal 5 2 12 3" xfId="21658"/>
    <cellStyle name="Normal 5 2 12 4" xfId="30098"/>
    <cellStyle name="Normal 5 2 13" xfId="8999"/>
    <cellStyle name="Normal 5 2 14" xfId="17441"/>
    <cellStyle name="Normal 5 2 15" xfId="25881"/>
    <cellStyle name="Normal 5 2 2" xfId="408"/>
    <cellStyle name="Normal 5 2 2 10" xfId="2563"/>
    <cellStyle name="Normal 5 2 2 10 2" xfId="6847"/>
    <cellStyle name="Normal 5 2 2 10 2 2" xfId="15283"/>
    <cellStyle name="Normal 5 2 2 10 2 3" xfId="23724"/>
    <cellStyle name="Normal 5 2 2 10 2 4" xfId="32164"/>
    <cellStyle name="Normal 5 2 2 10 3" xfId="11065"/>
    <cellStyle name="Normal 5 2 2 10 4" xfId="19507"/>
    <cellStyle name="Normal 5 2 2 10 5" xfId="27947"/>
    <cellStyle name="Normal 5 2 2 11" xfId="4782"/>
    <cellStyle name="Normal 5 2 2 11 2" xfId="13218"/>
    <cellStyle name="Normal 5 2 2 11 3" xfId="21659"/>
    <cellStyle name="Normal 5 2 2 11 4" xfId="30099"/>
    <cellStyle name="Normal 5 2 2 12" xfId="9000"/>
    <cellStyle name="Normal 5 2 2 13" xfId="17442"/>
    <cellStyle name="Normal 5 2 2 14" xfId="25882"/>
    <cellStyle name="Normal 5 2 2 2" xfId="409"/>
    <cellStyle name="Normal 5 2 2 2 10" xfId="4783"/>
    <cellStyle name="Normal 5 2 2 2 10 2" xfId="13219"/>
    <cellStyle name="Normal 5 2 2 2 10 3" xfId="21660"/>
    <cellStyle name="Normal 5 2 2 2 10 4" xfId="30100"/>
    <cellStyle name="Normal 5 2 2 2 11" xfId="9001"/>
    <cellStyle name="Normal 5 2 2 2 12" xfId="17443"/>
    <cellStyle name="Normal 5 2 2 2 13" xfId="25883"/>
    <cellStyle name="Normal 5 2 2 2 2" xfId="410"/>
    <cellStyle name="Normal 5 2 2 2 2 10" xfId="9002"/>
    <cellStyle name="Normal 5 2 2 2 2 11" xfId="17444"/>
    <cellStyle name="Normal 5 2 2 2 2 12" xfId="25884"/>
    <cellStyle name="Normal 5 2 2 2 2 2" xfId="411"/>
    <cellStyle name="Normal 5 2 2 2 2 2 10" xfId="17445"/>
    <cellStyle name="Normal 5 2 2 2 2 2 11" xfId="25885"/>
    <cellStyle name="Normal 5 2 2 2 2 2 2" xfId="412"/>
    <cellStyle name="Normal 5 2 2 2 2 2 2 10" xfId="25886"/>
    <cellStyle name="Normal 5 2 2 2 2 2 2 2" xfId="886"/>
    <cellStyle name="Normal 5 2 2 2 2 2 2 2 2" xfId="3121"/>
    <cellStyle name="Normal 5 2 2 2 2 2 2 2 2 2" xfId="7344"/>
    <cellStyle name="Normal 5 2 2 2 2 2 2 2 2 2 2" xfId="15780"/>
    <cellStyle name="Normal 5 2 2 2 2 2 2 2 2 2 3" xfId="24221"/>
    <cellStyle name="Normal 5 2 2 2 2 2 2 2 2 2 4" xfId="32661"/>
    <cellStyle name="Normal 5 2 2 2 2 2 2 2 2 3" xfId="11562"/>
    <cellStyle name="Normal 5 2 2 2 2 2 2 2 2 4" xfId="20004"/>
    <cellStyle name="Normal 5 2 2 2 2 2 2 2 2 5" xfId="28444"/>
    <cellStyle name="Normal 5 2 2 2 2 2 2 2 3" xfId="5199"/>
    <cellStyle name="Normal 5 2 2 2 2 2 2 2 3 2" xfId="13635"/>
    <cellStyle name="Normal 5 2 2 2 2 2 2 2 3 3" xfId="22076"/>
    <cellStyle name="Normal 5 2 2 2 2 2 2 2 3 4" xfId="30516"/>
    <cellStyle name="Normal 5 2 2 2 2 2 2 2 4" xfId="9417"/>
    <cellStyle name="Normal 5 2 2 2 2 2 2 2 5" xfId="17859"/>
    <cellStyle name="Normal 5 2 2 2 2 2 2 2 6" xfId="26299"/>
    <cellStyle name="Normal 5 2 2 2 2 2 2 3" xfId="1304"/>
    <cellStyle name="Normal 5 2 2 2 2 2 2 3 2" xfId="3534"/>
    <cellStyle name="Normal 5 2 2 2 2 2 2 3 2 2" xfId="7757"/>
    <cellStyle name="Normal 5 2 2 2 2 2 2 3 2 2 2" xfId="16193"/>
    <cellStyle name="Normal 5 2 2 2 2 2 2 3 2 2 3" xfId="24634"/>
    <cellStyle name="Normal 5 2 2 2 2 2 2 3 2 2 4" xfId="33074"/>
    <cellStyle name="Normal 5 2 2 2 2 2 2 3 2 3" xfId="11975"/>
    <cellStyle name="Normal 5 2 2 2 2 2 2 3 2 4" xfId="20417"/>
    <cellStyle name="Normal 5 2 2 2 2 2 2 3 2 5" xfId="28857"/>
    <cellStyle name="Normal 5 2 2 2 2 2 2 3 3" xfId="5612"/>
    <cellStyle name="Normal 5 2 2 2 2 2 2 3 3 2" xfId="14048"/>
    <cellStyle name="Normal 5 2 2 2 2 2 2 3 3 3" xfId="22489"/>
    <cellStyle name="Normal 5 2 2 2 2 2 2 3 3 4" xfId="30929"/>
    <cellStyle name="Normal 5 2 2 2 2 2 2 3 4" xfId="9830"/>
    <cellStyle name="Normal 5 2 2 2 2 2 2 3 5" xfId="18272"/>
    <cellStyle name="Normal 5 2 2 2 2 2 2 3 6" xfId="26712"/>
    <cellStyle name="Normal 5 2 2 2 2 2 2 4" xfId="1717"/>
    <cellStyle name="Normal 5 2 2 2 2 2 2 4 2" xfId="3947"/>
    <cellStyle name="Normal 5 2 2 2 2 2 2 4 2 2" xfId="8170"/>
    <cellStyle name="Normal 5 2 2 2 2 2 2 4 2 2 2" xfId="16606"/>
    <cellStyle name="Normal 5 2 2 2 2 2 2 4 2 2 3" xfId="25047"/>
    <cellStyle name="Normal 5 2 2 2 2 2 2 4 2 2 4" xfId="33487"/>
    <cellStyle name="Normal 5 2 2 2 2 2 2 4 2 3" xfId="12388"/>
    <cellStyle name="Normal 5 2 2 2 2 2 2 4 2 4" xfId="20830"/>
    <cellStyle name="Normal 5 2 2 2 2 2 2 4 2 5" xfId="29270"/>
    <cellStyle name="Normal 5 2 2 2 2 2 2 4 3" xfId="6025"/>
    <cellStyle name="Normal 5 2 2 2 2 2 2 4 3 2" xfId="14461"/>
    <cellStyle name="Normal 5 2 2 2 2 2 2 4 3 3" xfId="22902"/>
    <cellStyle name="Normal 5 2 2 2 2 2 2 4 3 4" xfId="31342"/>
    <cellStyle name="Normal 5 2 2 2 2 2 2 4 4" xfId="10243"/>
    <cellStyle name="Normal 5 2 2 2 2 2 2 4 5" xfId="18685"/>
    <cellStyle name="Normal 5 2 2 2 2 2 2 4 6" xfId="27125"/>
    <cellStyle name="Normal 5 2 2 2 2 2 2 5" xfId="2131"/>
    <cellStyle name="Normal 5 2 2 2 2 2 2 5 2" xfId="4360"/>
    <cellStyle name="Normal 5 2 2 2 2 2 2 5 2 2" xfId="8583"/>
    <cellStyle name="Normal 5 2 2 2 2 2 2 5 2 2 2" xfId="17019"/>
    <cellStyle name="Normal 5 2 2 2 2 2 2 5 2 2 3" xfId="25460"/>
    <cellStyle name="Normal 5 2 2 2 2 2 2 5 2 2 4" xfId="33900"/>
    <cellStyle name="Normal 5 2 2 2 2 2 2 5 2 3" xfId="12801"/>
    <cellStyle name="Normal 5 2 2 2 2 2 2 5 2 4" xfId="21243"/>
    <cellStyle name="Normal 5 2 2 2 2 2 2 5 2 5" xfId="29683"/>
    <cellStyle name="Normal 5 2 2 2 2 2 2 5 3" xfId="6438"/>
    <cellStyle name="Normal 5 2 2 2 2 2 2 5 3 2" xfId="14874"/>
    <cellStyle name="Normal 5 2 2 2 2 2 2 5 3 3" xfId="23315"/>
    <cellStyle name="Normal 5 2 2 2 2 2 2 5 3 4" xfId="31755"/>
    <cellStyle name="Normal 5 2 2 2 2 2 2 5 4" xfId="10656"/>
    <cellStyle name="Normal 5 2 2 2 2 2 2 5 5" xfId="19098"/>
    <cellStyle name="Normal 5 2 2 2 2 2 2 5 6" xfId="27538"/>
    <cellStyle name="Normal 5 2 2 2 2 2 2 6" xfId="2567"/>
    <cellStyle name="Normal 5 2 2 2 2 2 2 6 2" xfId="6851"/>
    <cellStyle name="Normal 5 2 2 2 2 2 2 6 2 2" xfId="15287"/>
    <cellStyle name="Normal 5 2 2 2 2 2 2 6 2 3" xfId="23728"/>
    <cellStyle name="Normal 5 2 2 2 2 2 2 6 2 4" xfId="32168"/>
    <cellStyle name="Normal 5 2 2 2 2 2 2 6 3" xfId="11069"/>
    <cellStyle name="Normal 5 2 2 2 2 2 2 6 4" xfId="19511"/>
    <cellStyle name="Normal 5 2 2 2 2 2 2 6 5" xfId="27951"/>
    <cellStyle name="Normal 5 2 2 2 2 2 2 7" xfId="4786"/>
    <cellStyle name="Normal 5 2 2 2 2 2 2 7 2" xfId="13222"/>
    <cellStyle name="Normal 5 2 2 2 2 2 2 7 3" xfId="21663"/>
    <cellStyle name="Normal 5 2 2 2 2 2 2 7 4" xfId="30103"/>
    <cellStyle name="Normal 5 2 2 2 2 2 2 8" xfId="9004"/>
    <cellStyle name="Normal 5 2 2 2 2 2 2 9" xfId="17446"/>
    <cellStyle name="Normal 5 2 2 2 2 2 3" xfId="885"/>
    <cellStyle name="Normal 5 2 2 2 2 2 3 2" xfId="3120"/>
    <cellStyle name="Normal 5 2 2 2 2 2 3 2 2" xfId="7343"/>
    <cellStyle name="Normal 5 2 2 2 2 2 3 2 2 2" xfId="15779"/>
    <cellStyle name="Normal 5 2 2 2 2 2 3 2 2 3" xfId="24220"/>
    <cellStyle name="Normal 5 2 2 2 2 2 3 2 2 4" xfId="32660"/>
    <cellStyle name="Normal 5 2 2 2 2 2 3 2 3" xfId="11561"/>
    <cellStyle name="Normal 5 2 2 2 2 2 3 2 4" xfId="20003"/>
    <cellStyle name="Normal 5 2 2 2 2 2 3 2 5" xfId="28443"/>
    <cellStyle name="Normal 5 2 2 2 2 2 3 3" xfId="5198"/>
    <cellStyle name="Normal 5 2 2 2 2 2 3 3 2" xfId="13634"/>
    <cellStyle name="Normal 5 2 2 2 2 2 3 3 3" xfId="22075"/>
    <cellStyle name="Normal 5 2 2 2 2 2 3 3 4" xfId="30515"/>
    <cellStyle name="Normal 5 2 2 2 2 2 3 4" xfId="9416"/>
    <cellStyle name="Normal 5 2 2 2 2 2 3 5" xfId="17858"/>
    <cellStyle name="Normal 5 2 2 2 2 2 3 6" xfId="26298"/>
    <cellStyle name="Normal 5 2 2 2 2 2 4" xfId="1303"/>
    <cellStyle name="Normal 5 2 2 2 2 2 4 2" xfId="3533"/>
    <cellStyle name="Normal 5 2 2 2 2 2 4 2 2" xfId="7756"/>
    <cellStyle name="Normal 5 2 2 2 2 2 4 2 2 2" xfId="16192"/>
    <cellStyle name="Normal 5 2 2 2 2 2 4 2 2 3" xfId="24633"/>
    <cellStyle name="Normal 5 2 2 2 2 2 4 2 2 4" xfId="33073"/>
    <cellStyle name="Normal 5 2 2 2 2 2 4 2 3" xfId="11974"/>
    <cellStyle name="Normal 5 2 2 2 2 2 4 2 4" xfId="20416"/>
    <cellStyle name="Normal 5 2 2 2 2 2 4 2 5" xfId="28856"/>
    <cellStyle name="Normal 5 2 2 2 2 2 4 3" xfId="5611"/>
    <cellStyle name="Normal 5 2 2 2 2 2 4 3 2" xfId="14047"/>
    <cellStyle name="Normal 5 2 2 2 2 2 4 3 3" xfId="22488"/>
    <cellStyle name="Normal 5 2 2 2 2 2 4 3 4" xfId="30928"/>
    <cellStyle name="Normal 5 2 2 2 2 2 4 4" xfId="9829"/>
    <cellStyle name="Normal 5 2 2 2 2 2 4 5" xfId="18271"/>
    <cellStyle name="Normal 5 2 2 2 2 2 4 6" xfId="26711"/>
    <cellStyle name="Normal 5 2 2 2 2 2 5" xfId="1716"/>
    <cellStyle name="Normal 5 2 2 2 2 2 5 2" xfId="3946"/>
    <cellStyle name="Normal 5 2 2 2 2 2 5 2 2" xfId="8169"/>
    <cellStyle name="Normal 5 2 2 2 2 2 5 2 2 2" xfId="16605"/>
    <cellStyle name="Normal 5 2 2 2 2 2 5 2 2 3" xfId="25046"/>
    <cellStyle name="Normal 5 2 2 2 2 2 5 2 2 4" xfId="33486"/>
    <cellStyle name="Normal 5 2 2 2 2 2 5 2 3" xfId="12387"/>
    <cellStyle name="Normal 5 2 2 2 2 2 5 2 4" xfId="20829"/>
    <cellStyle name="Normal 5 2 2 2 2 2 5 2 5" xfId="29269"/>
    <cellStyle name="Normal 5 2 2 2 2 2 5 3" xfId="6024"/>
    <cellStyle name="Normal 5 2 2 2 2 2 5 3 2" xfId="14460"/>
    <cellStyle name="Normal 5 2 2 2 2 2 5 3 3" xfId="22901"/>
    <cellStyle name="Normal 5 2 2 2 2 2 5 3 4" xfId="31341"/>
    <cellStyle name="Normal 5 2 2 2 2 2 5 4" xfId="10242"/>
    <cellStyle name="Normal 5 2 2 2 2 2 5 5" xfId="18684"/>
    <cellStyle name="Normal 5 2 2 2 2 2 5 6" xfId="27124"/>
    <cellStyle name="Normal 5 2 2 2 2 2 6" xfId="2130"/>
    <cellStyle name="Normal 5 2 2 2 2 2 6 2" xfId="4359"/>
    <cellStyle name="Normal 5 2 2 2 2 2 6 2 2" xfId="8582"/>
    <cellStyle name="Normal 5 2 2 2 2 2 6 2 2 2" xfId="17018"/>
    <cellStyle name="Normal 5 2 2 2 2 2 6 2 2 3" xfId="25459"/>
    <cellStyle name="Normal 5 2 2 2 2 2 6 2 2 4" xfId="33899"/>
    <cellStyle name="Normal 5 2 2 2 2 2 6 2 3" xfId="12800"/>
    <cellStyle name="Normal 5 2 2 2 2 2 6 2 4" xfId="21242"/>
    <cellStyle name="Normal 5 2 2 2 2 2 6 2 5" xfId="29682"/>
    <cellStyle name="Normal 5 2 2 2 2 2 6 3" xfId="6437"/>
    <cellStyle name="Normal 5 2 2 2 2 2 6 3 2" xfId="14873"/>
    <cellStyle name="Normal 5 2 2 2 2 2 6 3 3" xfId="23314"/>
    <cellStyle name="Normal 5 2 2 2 2 2 6 3 4" xfId="31754"/>
    <cellStyle name="Normal 5 2 2 2 2 2 6 4" xfId="10655"/>
    <cellStyle name="Normal 5 2 2 2 2 2 6 5" xfId="19097"/>
    <cellStyle name="Normal 5 2 2 2 2 2 6 6" xfId="27537"/>
    <cellStyle name="Normal 5 2 2 2 2 2 7" xfId="2566"/>
    <cellStyle name="Normal 5 2 2 2 2 2 7 2" xfId="6850"/>
    <cellStyle name="Normal 5 2 2 2 2 2 7 2 2" xfId="15286"/>
    <cellStyle name="Normal 5 2 2 2 2 2 7 2 3" xfId="23727"/>
    <cellStyle name="Normal 5 2 2 2 2 2 7 2 4" xfId="32167"/>
    <cellStyle name="Normal 5 2 2 2 2 2 7 3" xfId="11068"/>
    <cellStyle name="Normal 5 2 2 2 2 2 7 4" xfId="19510"/>
    <cellStyle name="Normal 5 2 2 2 2 2 7 5" xfId="27950"/>
    <cellStyle name="Normal 5 2 2 2 2 2 8" xfId="4785"/>
    <cellStyle name="Normal 5 2 2 2 2 2 8 2" xfId="13221"/>
    <cellStyle name="Normal 5 2 2 2 2 2 8 3" xfId="21662"/>
    <cellStyle name="Normal 5 2 2 2 2 2 8 4" xfId="30102"/>
    <cellStyle name="Normal 5 2 2 2 2 2 9" xfId="9003"/>
    <cellStyle name="Normal 5 2 2 2 2 3" xfId="413"/>
    <cellStyle name="Normal 5 2 2 2 2 3 10" xfId="25887"/>
    <cellStyle name="Normal 5 2 2 2 2 3 2" xfId="887"/>
    <cellStyle name="Normal 5 2 2 2 2 3 2 2" xfId="3122"/>
    <cellStyle name="Normal 5 2 2 2 2 3 2 2 2" xfId="7345"/>
    <cellStyle name="Normal 5 2 2 2 2 3 2 2 2 2" xfId="15781"/>
    <cellStyle name="Normal 5 2 2 2 2 3 2 2 2 3" xfId="24222"/>
    <cellStyle name="Normal 5 2 2 2 2 3 2 2 2 4" xfId="32662"/>
    <cellStyle name="Normal 5 2 2 2 2 3 2 2 3" xfId="11563"/>
    <cellStyle name="Normal 5 2 2 2 2 3 2 2 4" xfId="20005"/>
    <cellStyle name="Normal 5 2 2 2 2 3 2 2 5" xfId="28445"/>
    <cellStyle name="Normal 5 2 2 2 2 3 2 3" xfId="5200"/>
    <cellStyle name="Normal 5 2 2 2 2 3 2 3 2" xfId="13636"/>
    <cellStyle name="Normal 5 2 2 2 2 3 2 3 3" xfId="22077"/>
    <cellStyle name="Normal 5 2 2 2 2 3 2 3 4" xfId="30517"/>
    <cellStyle name="Normal 5 2 2 2 2 3 2 4" xfId="9418"/>
    <cellStyle name="Normal 5 2 2 2 2 3 2 5" xfId="17860"/>
    <cellStyle name="Normal 5 2 2 2 2 3 2 6" xfId="26300"/>
    <cellStyle name="Normal 5 2 2 2 2 3 3" xfId="1305"/>
    <cellStyle name="Normal 5 2 2 2 2 3 3 2" xfId="3535"/>
    <cellStyle name="Normal 5 2 2 2 2 3 3 2 2" xfId="7758"/>
    <cellStyle name="Normal 5 2 2 2 2 3 3 2 2 2" xfId="16194"/>
    <cellStyle name="Normal 5 2 2 2 2 3 3 2 2 3" xfId="24635"/>
    <cellStyle name="Normal 5 2 2 2 2 3 3 2 2 4" xfId="33075"/>
    <cellStyle name="Normal 5 2 2 2 2 3 3 2 3" xfId="11976"/>
    <cellStyle name="Normal 5 2 2 2 2 3 3 2 4" xfId="20418"/>
    <cellStyle name="Normal 5 2 2 2 2 3 3 2 5" xfId="28858"/>
    <cellStyle name="Normal 5 2 2 2 2 3 3 3" xfId="5613"/>
    <cellStyle name="Normal 5 2 2 2 2 3 3 3 2" xfId="14049"/>
    <cellStyle name="Normal 5 2 2 2 2 3 3 3 3" xfId="22490"/>
    <cellStyle name="Normal 5 2 2 2 2 3 3 3 4" xfId="30930"/>
    <cellStyle name="Normal 5 2 2 2 2 3 3 4" xfId="9831"/>
    <cellStyle name="Normal 5 2 2 2 2 3 3 5" xfId="18273"/>
    <cellStyle name="Normal 5 2 2 2 2 3 3 6" xfId="26713"/>
    <cellStyle name="Normal 5 2 2 2 2 3 4" xfId="1718"/>
    <cellStyle name="Normal 5 2 2 2 2 3 4 2" xfId="3948"/>
    <cellStyle name="Normal 5 2 2 2 2 3 4 2 2" xfId="8171"/>
    <cellStyle name="Normal 5 2 2 2 2 3 4 2 2 2" xfId="16607"/>
    <cellStyle name="Normal 5 2 2 2 2 3 4 2 2 3" xfId="25048"/>
    <cellStyle name="Normal 5 2 2 2 2 3 4 2 2 4" xfId="33488"/>
    <cellStyle name="Normal 5 2 2 2 2 3 4 2 3" xfId="12389"/>
    <cellStyle name="Normal 5 2 2 2 2 3 4 2 4" xfId="20831"/>
    <cellStyle name="Normal 5 2 2 2 2 3 4 2 5" xfId="29271"/>
    <cellStyle name="Normal 5 2 2 2 2 3 4 3" xfId="6026"/>
    <cellStyle name="Normal 5 2 2 2 2 3 4 3 2" xfId="14462"/>
    <cellStyle name="Normal 5 2 2 2 2 3 4 3 3" xfId="22903"/>
    <cellStyle name="Normal 5 2 2 2 2 3 4 3 4" xfId="31343"/>
    <cellStyle name="Normal 5 2 2 2 2 3 4 4" xfId="10244"/>
    <cellStyle name="Normal 5 2 2 2 2 3 4 5" xfId="18686"/>
    <cellStyle name="Normal 5 2 2 2 2 3 4 6" xfId="27126"/>
    <cellStyle name="Normal 5 2 2 2 2 3 5" xfId="2132"/>
    <cellStyle name="Normal 5 2 2 2 2 3 5 2" xfId="4361"/>
    <cellStyle name="Normal 5 2 2 2 2 3 5 2 2" xfId="8584"/>
    <cellStyle name="Normal 5 2 2 2 2 3 5 2 2 2" xfId="17020"/>
    <cellStyle name="Normal 5 2 2 2 2 3 5 2 2 3" xfId="25461"/>
    <cellStyle name="Normal 5 2 2 2 2 3 5 2 2 4" xfId="33901"/>
    <cellStyle name="Normal 5 2 2 2 2 3 5 2 3" xfId="12802"/>
    <cellStyle name="Normal 5 2 2 2 2 3 5 2 4" xfId="21244"/>
    <cellStyle name="Normal 5 2 2 2 2 3 5 2 5" xfId="29684"/>
    <cellStyle name="Normal 5 2 2 2 2 3 5 3" xfId="6439"/>
    <cellStyle name="Normal 5 2 2 2 2 3 5 3 2" xfId="14875"/>
    <cellStyle name="Normal 5 2 2 2 2 3 5 3 3" xfId="23316"/>
    <cellStyle name="Normal 5 2 2 2 2 3 5 3 4" xfId="31756"/>
    <cellStyle name="Normal 5 2 2 2 2 3 5 4" xfId="10657"/>
    <cellStyle name="Normal 5 2 2 2 2 3 5 5" xfId="19099"/>
    <cellStyle name="Normal 5 2 2 2 2 3 5 6" xfId="27539"/>
    <cellStyle name="Normal 5 2 2 2 2 3 6" xfId="2568"/>
    <cellStyle name="Normal 5 2 2 2 2 3 6 2" xfId="6852"/>
    <cellStyle name="Normal 5 2 2 2 2 3 6 2 2" xfId="15288"/>
    <cellStyle name="Normal 5 2 2 2 2 3 6 2 3" xfId="23729"/>
    <cellStyle name="Normal 5 2 2 2 2 3 6 2 4" xfId="32169"/>
    <cellStyle name="Normal 5 2 2 2 2 3 6 3" xfId="11070"/>
    <cellStyle name="Normal 5 2 2 2 2 3 6 4" xfId="19512"/>
    <cellStyle name="Normal 5 2 2 2 2 3 6 5" xfId="27952"/>
    <cellStyle name="Normal 5 2 2 2 2 3 7" xfId="4787"/>
    <cellStyle name="Normal 5 2 2 2 2 3 7 2" xfId="13223"/>
    <cellStyle name="Normal 5 2 2 2 2 3 7 3" xfId="21664"/>
    <cellStyle name="Normal 5 2 2 2 2 3 7 4" xfId="30104"/>
    <cellStyle name="Normal 5 2 2 2 2 3 8" xfId="9005"/>
    <cellStyle name="Normal 5 2 2 2 2 3 9" xfId="17447"/>
    <cellStyle name="Normal 5 2 2 2 2 4" xfId="884"/>
    <cellStyle name="Normal 5 2 2 2 2 4 2" xfId="3119"/>
    <cellStyle name="Normal 5 2 2 2 2 4 2 2" xfId="7342"/>
    <cellStyle name="Normal 5 2 2 2 2 4 2 2 2" xfId="15778"/>
    <cellStyle name="Normal 5 2 2 2 2 4 2 2 3" xfId="24219"/>
    <cellStyle name="Normal 5 2 2 2 2 4 2 2 4" xfId="32659"/>
    <cellStyle name="Normal 5 2 2 2 2 4 2 3" xfId="11560"/>
    <cellStyle name="Normal 5 2 2 2 2 4 2 4" xfId="20002"/>
    <cellStyle name="Normal 5 2 2 2 2 4 2 5" xfId="28442"/>
    <cellStyle name="Normal 5 2 2 2 2 4 3" xfId="5197"/>
    <cellStyle name="Normal 5 2 2 2 2 4 3 2" xfId="13633"/>
    <cellStyle name="Normal 5 2 2 2 2 4 3 3" xfId="22074"/>
    <cellStyle name="Normal 5 2 2 2 2 4 3 4" xfId="30514"/>
    <cellStyle name="Normal 5 2 2 2 2 4 4" xfId="9415"/>
    <cellStyle name="Normal 5 2 2 2 2 4 5" xfId="17857"/>
    <cellStyle name="Normal 5 2 2 2 2 4 6" xfId="26297"/>
    <cellStyle name="Normal 5 2 2 2 2 5" xfId="1302"/>
    <cellStyle name="Normal 5 2 2 2 2 5 2" xfId="3532"/>
    <cellStyle name="Normal 5 2 2 2 2 5 2 2" xfId="7755"/>
    <cellStyle name="Normal 5 2 2 2 2 5 2 2 2" xfId="16191"/>
    <cellStyle name="Normal 5 2 2 2 2 5 2 2 3" xfId="24632"/>
    <cellStyle name="Normal 5 2 2 2 2 5 2 2 4" xfId="33072"/>
    <cellStyle name="Normal 5 2 2 2 2 5 2 3" xfId="11973"/>
    <cellStyle name="Normal 5 2 2 2 2 5 2 4" xfId="20415"/>
    <cellStyle name="Normal 5 2 2 2 2 5 2 5" xfId="28855"/>
    <cellStyle name="Normal 5 2 2 2 2 5 3" xfId="5610"/>
    <cellStyle name="Normal 5 2 2 2 2 5 3 2" xfId="14046"/>
    <cellStyle name="Normal 5 2 2 2 2 5 3 3" xfId="22487"/>
    <cellStyle name="Normal 5 2 2 2 2 5 3 4" xfId="30927"/>
    <cellStyle name="Normal 5 2 2 2 2 5 4" xfId="9828"/>
    <cellStyle name="Normal 5 2 2 2 2 5 5" xfId="18270"/>
    <cellStyle name="Normal 5 2 2 2 2 5 6" xfId="26710"/>
    <cellStyle name="Normal 5 2 2 2 2 6" xfId="1715"/>
    <cellStyle name="Normal 5 2 2 2 2 6 2" xfId="3945"/>
    <cellStyle name="Normal 5 2 2 2 2 6 2 2" xfId="8168"/>
    <cellStyle name="Normal 5 2 2 2 2 6 2 2 2" xfId="16604"/>
    <cellStyle name="Normal 5 2 2 2 2 6 2 2 3" xfId="25045"/>
    <cellStyle name="Normal 5 2 2 2 2 6 2 2 4" xfId="33485"/>
    <cellStyle name="Normal 5 2 2 2 2 6 2 3" xfId="12386"/>
    <cellStyle name="Normal 5 2 2 2 2 6 2 4" xfId="20828"/>
    <cellStyle name="Normal 5 2 2 2 2 6 2 5" xfId="29268"/>
    <cellStyle name="Normal 5 2 2 2 2 6 3" xfId="6023"/>
    <cellStyle name="Normal 5 2 2 2 2 6 3 2" xfId="14459"/>
    <cellStyle name="Normal 5 2 2 2 2 6 3 3" xfId="22900"/>
    <cellStyle name="Normal 5 2 2 2 2 6 3 4" xfId="31340"/>
    <cellStyle name="Normal 5 2 2 2 2 6 4" xfId="10241"/>
    <cellStyle name="Normal 5 2 2 2 2 6 5" xfId="18683"/>
    <cellStyle name="Normal 5 2 2 2 2 6 6" xfId="27123"/>
    <cellStyle name="Normal 5 2 2 2 2 7" xfId="2129"/>
    <cellStyle name="Normal 5 2 2 2 2 7 2" xfId="4358"/>
    <cellStyle name="Normal 5 2 2 2 2 7 2 2" xfId="8581"/>
    <cellStyle name="Normal 5 2 2 2 2 7 2 2 2" xfId="17017"/>
    <cellStyle name="Normal 5 2 2 2 2 7 2 2 3" xfId="25458"/>
    <cellStyle name="Normal 5 2 2 2 2 7 2 2 4" xfId="33898"/>
    <cellStyle name="Normal 5 2 2 2 2 7 2 3" xfId="12799"/>
    <cellStyle name="Normal 5 2 2 2 2 7 2 4" xfId="21241"/>
    <cellStyle name="Normal 5 2 2 2 2 7 2 5" xfId="29681"/>
    <cellStyle name="Normal 5 2 2 2 2 7 3" xfId="6436"/>
    <cellStyle name="Normal 5 2 2 2 2 7 3 2" xfId="14872"/>
    <cellStyle name="Normal 5 2 2 2 2 7 3 3" xfId="23313"/>
    <cellStyle name="Normal 5 2 2 2 2 7 3 4" xfId="31753"/>
    <cellStyle name="Normal 5 2 2 2 2 7 4" xfId="10654"/>
    <cellStyle name="Normal 5 2 2 2 2 7 5" xfId="19096"/>
    <cellStyle name="Normal 5 2 2 2 2 7 6" xfId="27536"/>
    <cellStyle name="Normal 5 2 2 2 2 8" xfId="2565"/>
    <cellStyle name="Normal 5 2 2 2 2 8 2" xfId="6849"/>
    <cellStyle name="Normal 5 2 2 2 2 8 2 2" xfId="15285"/>
    <cellStyle name="Normal 5 2 2 2 2 8 2 3" xfId="23726"/>
    <cellStyle name="Normal 5 2 2 2 2 8 2 4" xfId="32166"/>
    <cellStyle name="Normal 5 2 2 2 2 8 3" xfId="11067"/>
    <cellStyle name="Normal 5 2 2 2 2 8 4" xfId="19509"/>
    <cellStyle name="Normal 5 2 2 2 2 8 5" xfId="27949"/>
    <cellStyle name="Normal 5 2 2 2 2 9" xfId="4784"/>
    <cellStyle name="Normal 5 2 2 2 2 9 2" xfId="13220"/>
    <cellStyle name="Normal 5 2 2 2 2 9 3" xfId="21661"/>
    <cellStyle name="Normal 5 2 2 2 2 9 4" xfId="30101"/>
    <cellStyle name="Normal 5 2 2 2 3" xfId="414"/>
    <cellStyle name="Normal 5 2 2 2 3 10" xfId="17448"/>
    <cellStyle name="Normal 5 2 2 2 3 11" xfId="25888"/>
    <cellStyle name="Normal 5 2 2 2 3 2" xfId="415"/>
    <cellStyle name="Normal 5 2 2 2 3 2 10" xfId="25889"/>
    <cellStyle name="Normal 5 2 2 2 3 2 2" xfId="889"/>
    <cellStyle name="Normal 5 2 2 2 3 2 2 2" xfId="3124"/>
    <cellStyle name="Normal 5 2 2 2 3 2 2 2 2" xfId="7347"/>
    <cellStyle name="Normal 5 2 2 2 3 2 2 2 2 2" xfId="15783"/>
    <cellStyle name="Normal 5 2 2 2 3 2 2 2 2 3" xfId="24224"/>
    <cellStyle name="Normal 5 2 2 2 3 2 2 2 2 4" xfId="32664"/>
    <cellStyle name="Normal 5 2 2 2 3 2 2 2 3" xfId="11565"/>
    <cellStyle name="Normal 5 2 2 2 3 2 2 2 4" xfId="20007"/>
    <cellStyle name="Normal 5 2 2 2 3 2 2 2 5" xfId="28447"/>
    <cellStyle name="Normal 5 2 2 2 3 2 2 3" xfId="5202"/>
    <cellStyle name="Normal 5 2 2 2 3 2 2 3 2" xfId="13638"/>
    <cellStyle name="Normal 5 2 2 2 3 2 2 3 3" xfId="22079"/>
    <cellStyle name="Normal 5 2 2 2 3 2 2 3 4" xfId="30519"/>
    <cellStyle name="Normal 5 2 2 2 3 2 2 4" xfId="9420"/>
    <cellStyle name="Normal 5 2 2 2 3 2 2 5" xfId="17862"/>
    <cellStyle name="Normal 5 2 2 2 3 2 2 6" xfId="26302"/>
    <cellStyle name="Normal 5 2 2 2 3 2 3" xfId="1307"/>
    <cellStyle name="Normal 5 2 2 2 3 2 3 2" xfId="3537"/>
    <cellStyle name="Normal 5 2 2 2 3 2 3 2 2" xfId="7760"/>
    <cellStyle name="Normal 5 2 2 2 3 2 3 2 2 2" xfId="16196"/>
    <cellStyle name="Normal 5 2 2 2 3 2 3 2 2 3" xfId="24637"/>
    <cellStyle name="Normal 5 2 2 2 3 2 3 2 2 4" xfId="33077"/>
    <cellStyle name="Normal 5 2 2 2 3 2 3 2 3" xfId="11978"/>
    <cellStyle name="Normal 5 2 2 2 3 2 3 2 4" xfId="20420"/>
    <cellStyle name="Normal 5 2 2 2 3 2 3 2 5" xfId="28860"/>
    <cellStyle name="Normal 5 2 2 2 3 2 3 3" xfId="5615"/>
    <cellStyle name="Normal 5 2 2 2 3 2 3 3 2" xfId="14051"/>
    <cellStyle name="Normal 5 2 2 2 3 2 3 3 3" xfId="22492"/>
    <cellStyle name="Normal 5 2 2 2 3 2 3 3 4" xfId="30932"/>
    <cellStyle name="Normal 5 2 2 2 3 2 3 4" xfId="9833"/>
    <cellStyle name="Normal 5 2 2 2 3 2 3 5" xfId="18275"/>
    <cellStyle name="Normal 5 2 2 2 3 2 3 6" xfId="26715"/>
    <cellStyle name="Normal 5 2 2 2 3 2 4" xfId="1720"/>
    <cellStyle name="Normal 5 2 2 2 3 2 4 2" xfId="3950"/>
    <cellStyle name="Normal 5 2 2 2 3 2 4 2 2" xfId="8173"/>
    <cellStyle name="Normal 5 2 2 2 3 2 4 2 2 2" xfId="16609"/>
    <cellStyle name="Normal 5 2 2 2 3 2 4 2 2 3" xfId="25050"/>
    <cellStyle name="Normal 5 2 2 2 3 2 4 2 2 4" xfId="33490"/>
    <cellStyle name="Normal 5 2 2 2 3 2 4 2 3" xfId="12391"/>
    <cellStyle name="Normal 5 2 2 2 3 2 4 2 4" xfId="20833"/>
    <cellStyle name="Normal 5 2 2 2 3 2 4 2 5" xfId="29273"/>
    <cellStyle name="Normal 5 2 2 2 3 2 4 3" xfId="6028"/>
    <cellStyle name="Normal 5 2 2 2 3 2 4 3 2" xfId="14464"/>
    <cellStyle name="Normal 5 2 2 2 3 2 4 3 3" xfId="22905"/>
    <cellStyle name="Normal 5 2 2 2 3 2 4 3 4" xfId="31345"/>
    <cellStyle name="Normal 5 2 2 2 3 2 4 4" xfId="10246"/>
    <cellStyle name="Normal 5 2 2 2 3 2 4 5" xfId="18688"/>
    <cellStyle name="Normal 5 2 2 2 3 2 4 6" xfId="27128"/>
    <cellStyle name="Normal 5 2 2 2 3 2 5" xfId="2134"/>
    <cellStyle name="Normal 5 2 2 2 3 2 5 2" xfId="4363"/>
    <cellStyle name="Normal 5 2 2 2 3 2 5 2 2" xfId="8586"/>
    <cellStyle name="Normal 5 2 2 2 3 2 5 2 2 2" xfId="17022"/>
    <cellStyle name="Normal 5 2 2 2 3 2 5 2 2 3" xfId="25463"/>
    <cellStyle name="Normal 5 2 2 2 3 2 5 2 2 4" xfId="33903"/>
    <cellStyle name="Normal 5 2 2 2 3 2 5 2 3" xfId="12804"/>
    <cellStyle name="Normal 5 2 2 2 3 2 5 2 4" xfId="21246"/>
    <cellStyle name="Normal 5 2 2 2 3 2 5 2 5" xfId="29686"/>
    <cellStyle name="Normal 5 2 2 2 3 2 5 3" xfId="6441"/>
    <cellStyle name="Normal 5 2 2 2 3 2 5 3 2" xfId="14877"/>
    <cellStyle name="Normal 5 2 2 2 3 2 5 3 3" xfId="23318"/>
    <cellStyle name="Normal 5 2 2 2 3 2 5 3 4" xfId="31758"/>
    <cellStyle name="Normal 5 2 2 2 3 2 5 4" xfId="10659"/>
    <cellStyle name="Normal 5 2 2 2 3 2 5 5" xfId="19101"/>
    <cellStyle name="Normal 5 2 2 2 3 2 5 6" xfId="27541"/>
    <cellStyle name="Normal 5 2 2 2 3 2 6" xfId="2570"/>
    <cellStyle name="Normal 5 2 2 2 3 2 6 2" xfId="6854"/>
    <cellStyle name="Normal 5 2 2 2 3 2 6 2 2" xfId="15290"/>
    <cellStyle name="Normal 5 2 2 2 3 2 6 2 3" xfId="23731"/>
    <cellStyle name="Normal 5 2 2 2 3 2 6 2 4" xfId="32171"/>
    <cellStyle name="Normal 5 2 2 2 3 2 6 3" xfId="11072"/>
    <cellStyle name="Normal 5 2 2 2 3 2 6 4" xfId="19514"/>
    <cellStyle name="Normal 5 2 2 2 3 2 6 5" xfId="27954"/>
    <cellStyle name="Normal 5 2 2 2 3 2 7" xfId="4789"/>
    <cellStyle name="Normal 5 2 2 2 3 2 7 2" xfId="13225"/>
    <cellStyle name="Normal 5 2 2 2 3 2 7 3" xfId="21666"/>
    <cellStyle name="Normal 5 2 2 2 3 2 7 4" xfId="30106"/>
    <cellStyle name="Normal 5 2 2 2 3 2 8" xfId="9007"/>
    <cellStyle name="Normal 5 2 2 2 3 2 9" xfId="17449"/>
    <cellStyle name="Normal 5 2 2 2 3 3" xfId="888"/>
    <cellStyle name="Normal 5 2 2 2 3 3 2" xfId="3123"/>
    <cellStyle name="Normal 5 2 2 2 3 3 2 2" xfId="7346"/>
    <cellStyle name="Normal 5 2 2 2 3 3 2 2 2" xfId="15782"/>
    <cellStyle name="Normal 5 2 2 2 3 3 2 2 3" xfId="24223"/>
    <cellStyle name="Normal 5 2 2 2 3 3 2 2 4" xfId="32663"/>
    <cellStyle name="Normal 5 2 2 2 3 3 2 3" xfId="11564"/>
    <cellStyle name="Normal 5 2 2 2 3 3 2 4" xfId="20006"/>
    <cellStyle name="Normal 5 2 2 2 3 3 2 5" xfId="28446"/>
    <cellStyle name="Normal 5 2 2 2 3 3 3" xfId="5201"/>
    <cellStyle name="Normal 5 2 2 2 3 3 3 2" xfId="13637"/>
    <cellStyle name="Normal 5 2 2 2 3 3 3 3" xfId="22078"/>
    <cellStyle name="Normal 5 2 2 2 3 3 3 4" xfId="30518"/>
    <cellStyle name="Normal 5 2 2 2 3 3 4" xfId="9419"/>
    <cellStyle name="Normal 5 2 2 2 3 3 5" xfId="17861"/>
    <cellStyle name="Normal 5 2 2 2 3 3 6" xfId="26301"/>
    <cellStyle name="Normal 5 2 2 2 3 4" xfId="1306"/>
    <cellStyle name="Normal 5 2 2 2 3 4 2" xfId="3536"/>
    <cellStyle name="Normal 5 2 2 2 3 4 2 2" xfId="7759"/>
    <cellStyle name="Normal 5 2 2 2 3 4 2 2 2" xfId="16195"/>
    <cellStyle name="Normal 5 2 2 2 3 4 2 2 3" xfId="24636"/>
    <cellStyle name="Normal 5 2 2 2 3 4 2 2 4" xfId="33076"/>
    <cellStyle name="Normal 5 2 2 2 3 4 2 3" xfId="11977"/>
    <cellStyle name="Normal 5 2 2 2 3 4 2 4" xfId="20419"/>
    <cellStyle name="Normal 5 2 2 2 3 4 2 5" xfId="28859"/>
    <cellStyle name="Normal 5 2 2 2 3 4 3" xfId="5614"/>
    <cellStyle name="Normal 5 2 2 2 3 4 3 2" xfId="14050"/>
    <cellStyle name="Normal 5 2 2 2 3 4 3 3" xfId="22491"/>
    <cellStyle name="Normal 5 2 2 2 3 4 3 4" xfId="30931"/>
    <cellStyle name="Normal 5 2 2 2 3 4 4" xfId="9832"/>
    <cellStyle name="Normal 5 2 2 2 3 4 5" xfId="18274"/>
    <cellStyle name="Normal 5 2 2 2 3 4 6" xfId="26714"/>
    <cellStyle name="Normal 5 2 2 2 3 5" xfId="1719"/>
    <cellStyle name="Normal 5 2 2 2 3 5 2" xfId="3949"/>
    <cellStyle name="Normal 5 2 2 2 3 5 2 2" xfId="8172"/>
    <cellStyle name="Normal 5 2 2 2 3 5 2 2 2" xfId="16608"/>
    <cellStyle name="Normal 5 2 2 2 3 5 2 2 3" xfId="25049"/>
    <cellStyle name="Normal 5 2 2 2 3 5 2 2 4" xfId="33489"/>
    <cellStyle name="Normal 5 2 2 2 3 5 2 3" xfId="12390"/>
    <cellStyle name="Normal 5 2 2 2 3 5 2 4" xfId="20832"/>
    <cellStyle name="Normal 5 2 2 2 3 5 2 5" xfId="29272"/>
    <cellStyle name="Normal 5 2 2 2 3 5 3" xfId="6027"/>
    <cellStyle name="Normal 5 2 2 2 3 5 3 2" xfId="14463"/>
    <cellStyle name="Normal 5 2 2 2 3 5 3 3" xfId="22904"/>
    <cellStyle name="Normal 5 2 2 2 3 5 3 4" xfId="31344"/>
    <cellStyle name="Normal 5 2 2 2 3 5 4" xfId="10245"/>
    <cellStyle name="Normal 5 2 2 2 3 5 5" xfId="18687"/>
    <cellStyle name="Normal 5 2 2 2 3 5 6" xfId="27127"/>
    <cellStyle name="Normal 5 2 2 2 3 6" xfId="2133"/>
    <cellStyle name="Normal 5 2 2 2 3 6 2" xfId="4362"/>
    <cellStyle name="Normal 5 2 2 2 3 6 2 2" xfId="8585"/>
    <cellStyle name="Normal 5 2 2 2 3 6 2 2 2" xfId="17021"/>
    <cellStyle name="Normal 5 2 2 2 3 6 2 2 3" xfId="25462"/>
    <cellStyle name="Normal 5 2 2 2 3 6 2 2 4" xfId="33902"/>
    <cellStyle name="Normal 5 2 2 2 3 6 2 3" xfId="12803"/>
    <cellStyle name="Normal 5 2 2 2 3 6 2 4" xfId="21245"/>
    <cellStyle name="Normal 5 2 2 2 3 6 2 5" xfId="29685"/>
    <cellStyle name="Normal 5 2 2 2 3 6 3" xfId="6440"/>
    <cellStyle name="Normal 5 2 2 2 3 6 3 2" xfId="14876"/>
    <cellStyle name="Normal 5 2 2 2 3 6 3 3" xfId="23317"/>
    <cellStyle name="Normal 5 2 2 2 3 6 3 4" xfId="31757"/>
    <cellStyle name="Normal 5 2 2 2 3 6 4" xfId="10658"/>
    <cellStyle name="Normal 5 2 2 2 3 6 5" xfId="19100"/>
    <cellStyle name="Normal 5 2 2 2 3 6 6" xfId="27540"/>
    <cellStyle name="Normal 5 2 2 2 3 7" xfId="2569"/>
    <cellStyle name="Normal 5 2 2 2 3 7 2" xfId="6853"/>
    <cellStyle name="Normal 5 2 2 2 3 7 2 2" xfId="15289"/>
    <cellStyle name="Normal 5 2 2 2 3 7 2 3" xfId="23730"/>
    <cellStyle name="Normal 5 2 2 2 3 7 2 4" xfId="32170"/>
    <cellStyle name="Normal 5 2 2 2 3 7 3" xfId="11071"/>
    <cellStyle name="Normal 5 2 2 2 3 7 4" xfId="19513"/>
    <cellStyle name="Normal 5 2 2 2 3 7 5" xfId="27953"/>
    <cellStyle name="Normal 5 2 2 2 3 8" xfId="4788"/>
    <cellStyle name="Normal 5 2 2 2 3 8 2" xfId="13224"/>
    <cellStyle name="Normal 5 2 2 2 3 8 3" xfId="21665"/>
    <cellStyle name="Normal 5 2 2 2 3 8 4" xfId="30105"/>
    <cellStyle name="Normal 5 2 2 2 3 9" xfId="9006"/>
    <cellStyle name="Normal 5 2 2 2 4" xfId="416"/>
    <cellStyle name="Normal 5 2 2 2 4 10" xfId="25890"/>
    <cellStyle name="Normal 5 2 2 2 4 2" xfId="890"/>
    <cellStyle name="Normal 5 2 2 2 4 2 2" xfId="3125"/>
    <cellStyle name="Normal 5 2 2 2 4 2 2 2" xfId="7348"/>
    <cellStyle name="Normal 5 2 2 2 4 2 2 2 2" xfId="15784"/>
    <cellStyle name="Normal 5 2 2 2 4 2 2 2 3" xfId="24225"/>
    <cellStyle name="Normal 5 2 2 2 4 2 2 2 4" xfId="32665"/>
    <cellStyle name="Normal 5 2 2 2 4 2 2 3" xfId="11566"/>
    <cellStyle name="Normal 5 2 2 2 4 2 2 4" xfId="20008"/>
    <cellStyle name="Normal 5 2 2 2 4 2 2 5" xfId="28448"/>
    <cellStyle name="Normal 5 2 2 2 4 2 3" xfId="5203"/>
    <cellStyle name="Normal 5 2 2 2 4 2 3 2" xfId="13639"/>
    <cellStyle name="Normal 5 2 2 2 4 2 3 3" xfId="22080"/>
    <cellStyle name="Normal 5 2 2 2 4 2 3 4" xfId="30520"/>
    <cellStyle name="Normal 5 2 2 2 4 2 4" xfId="9421"/>
    <cellStyle name="Normal 5 2 2 2 4 2 5" xfId="17863"/>
    <cellStyle name="Normal 5 2 2 2 4 2 6" xfId="26303"/>
    <cellStyle name="Normal 5 2 2 2 4 3" xfId="1308"/>
    <cellStyle name="Normal 5 2 2 2 4 3 2" xfId="3538"/>
    <cellStyle name="Normal 5 2 2 2 4 3 2 2" xfId="7761"/>
    <cellStyle name="Normal 5 2 2 2 4 3 2 2 2" xfId="16197"/>
    <cellStyle name="Normal 5 2 2 2 4 3 2 2 3" xfId="24638"/>
    <cellStyle name="Normal 5 2 2 2 4 3 2 2 4" xfId="33078"/>
    <cellStyle name="Normal 5 2 2 2 4 3 2 3" xfId="11979"/>
    <cellStyle name="Normal 5 2 2 2 4 3 2 4" xfId="20421"/>
    <cellStyle name="Normal 5 2 2 2 4 3 2 5" xfId="28861"/>
    <cellStyle name="Normal 5 2 2 2 4 3 3" xfId="5616"/>
    <cellStyle name="Normal 5 2 2 2 4 3 3 2" xfId="14052"/>
    <cellStyle name="Normal 5 2 2 2 4 3 3 3" xfId="22493"/>
    <cellStyle name="Normal 5 2 2 2 4 3 3 4" xfId="30933"/>
    <cellStyle name="Normal 5 2 2 2 4 3 4" xfId="9834"/>
    <cellStyle name="Normal 5 2 2 2 4 3 5" xfId="18276"/>
    <cellStyle name="Normal 5 2 2 2 4 3 6" xfId="26716"/>
    <cellStyle name="Normal 5 2 2 2 4 4" xfId="1721"/>
    <cellStyle name="Normal 5 2 2 2 4 4 2" xfId="3951"/>
    <cellStyle name="Normal 5 2 2 2 4 4 2 2" xfId="8174"/>
    <cellStyle name="Normal 5 2 2 2 4 4 2 2 2" xfId="16610"/>
    <cellStyle name="Normal 5 2 2 2 4 4 2 2 3" xfId="25051"/>
    <cellStyle name="Normal 5 2 2 2 4 4 2 2 4" xfId="33491"/>
    <cellStyle name="Normal 5 2 2 2 4 4 2 3" xfId="12392"/>
    <cellStyle name="Normal 5 2 2 2 4 4 2 4" xfId="20834"/>
    <cellStyle name="Normal 5 2 2 2 4 4 2 5" xfId="29274"/>
    <cellStyle name="Normal 5 2 2 2 4 4 3" xfId="6029"/>
    <cellStyle name="Normal 5 2 2 2 4 4 3 2" xfId="14465"/>
    <cellStyle name="Normal 5 2 2 2 4 4 3 3" xfId="22906"/>
    <cellStyle name="Normal 5 2 2 2 4 4 3 4" xfId="31346"/>
    <cellStyle name="Normal 5 2 2 2 4 4 4" xfId="10247"/>
    <cellStyle name="Normal 5 2 2 2 4 4 5" xfId="18689"/>
    <cellStyle name="Normal 5 2 2 2 4 4 6" xfId="27129"/>
    <cellStyle name="Normal 5 2 2 2 4 5" xfId="2135"/>
    <cellStyle name="Normal 5 2 2 2 4 5 2" xfId="4364"/>
    <cellStyle name="Normal 5 2 2 2 4 5 2 2" xfId="8587"/>
    <cellStyle name="Normal 5 2 2 2 4 5 2 2 2" xfId="17023"/>
    <cellStyle name="Normal 5 2 2 2 4 5 2 2 3" xfId="25464"/>
    <cellStyle name="Normal 5 2 2 2 4 5 2 2 4" xfId="33904"/>
    <cellStyle name="Normal 5 2 2 2 4 5 2 3" xfId="12805"/>
    <cellStyle name="Normal 5 2 2 2 4 5 2 4" xfId="21247"/>
    <cellStyle name="Normal 5 2 2 2 4 5 2 5" xfId="29687"/>
    <cellStyle name="Normal 5 2 2 2 4 5 3" xfId="6442"/>
    <cellStyle name="Normal 5 2 2 2 4 5 3 2" xfId="14878"/>
    <cellStyle name="Normal 5 2 2 2 4 5 3 3" xfId="23319"/>
    <cellStyle name="Normal 5 2 2 2 4 5 3 4" xfId="31759"/>
    <cellStyle name="Normal 5 2 2 2 4 5 4" xfId="10660"/>
    <cellStyle name="Normal 5 2 2 2 4 5 5" xfId="19102"/>
    <cellStyle name="Normal 5 2 2 2 4 5 6" xfId="27542"/>
    <cellStyle name="Normal 5 2 2 2 4 6" xfId="2571"/>
    <cellStyle name="Normal 5 2 2 2 4 6 2" xfId="6855"/>
    <cellStyle name="Normal 5 2 2 2 4 6 2 2" xfId="15291"/>
    <cellStyle name="Normal 5 2 2 2 4 6 2 3" xfId="23732"/>
    <cellStyle name="Normal 5 2 2 2 4 6 2 4" xfId="32172"/>
    <cellStyle name="Normal 5 2 2 2 4 6 3" xfId="11073"/>
    <cellStyle name="Normal 5 2 2 2 4 6 4" xfId="19515"/>
    <cellStyle name="Normal 5 2 2 2 4 6 5" xfId="27955"/>
    <cellStyle name="Normal 5 2 2 2 4 7" xfId="4790"/>
    <cellStyle name="Normal 5 2 2 2 4 7 2" xfId="13226"/>
    <cellStyle name="Normal 5 2 2 2 4 7 3" xfId="21667"/>
    <cellStyle name="Normal 5 2 2 2 4 7 4" xfId="30107"/>
    <cellStyle name="Normal 5 2 2 2 4 8" xfId="9008"/>
    <cellStyle name="Normal 5 2 2 2 4 9" xfId="17450"/>
    <cellStyle name="Normal 5 2 2 2 5" xfId="883"/>
    <cellStyle name="Normal 5 2 2 2 5 2" xfId="3118"/>
    <cellStyle name="Normal 5 2 2 2 5 2 2" xfId="7341"/>
    <cellStyle name="Normal 5 2 2 2 5 2 2 2" xfId="15777"/>
    <cellStyle name="Normal 5 2 2 2 5 2 2 3" xfId="24218"/>
    <cellStyle name="Normal 5 2 2 2 5 2 2 4" xfId="32658"/>
    <cellStyle name="Normal 5 2 2 2 5 2 3" xfId="11559"/>
    <cellStyle name="Normal 5 2 2 2 5 2 4" xfId="20001"/>
    <cellStyle name="Normal 5 2 2 2 5 2 5" xfId="28441"/>
    <cellStyle name="Normal 5 2 2 2 5 3" xfId="5196"/>
    <cellStyle name="Normal 5 2 2 2 5 3 2" xfId="13632"/>
    <cellStyle name="Normal 5 2 2 2 5 3 3" xfId="22073"/>
    <cellStyle name="Normal 5 2 2 2 5 3 4" xfId="30513"/>
    <cellStyle name="Normal 5 2 2 2 5 4" xfId="9414"/>
    <cellStyle name="Normal 5 2 2 2 5 5" xfId="17856"/>
    <cellStyle name="Normal 5 2 2 2 5 6" xfId="26296"/>
    <cellStyle name="Normal 5 2 2 2 6" xfId="1301"/>
    <cellStyle name="Normal 5 2 2 2 6 2" xfId="3531"/>
    <cellStyle name="Normal 5 2 2 2 6 2 2" xfId="7754"/>
    <cellStyle name="Normal 5 2 2 2 6 2 2 2" xfId="16190"/>
    <cellStyle name="Normal 5 2 2 2 6 2 2 3" xfId="24631"/>
    <cellStyle name="Normal 5 2 2 2 6 2 2 4" xfId="33071"/>
    <cellStyle name="Normal 5 2 2 2 6 2 3" xfId="11972"/>
    <cellStyle name="Normal 5 2 2 2 6 2 4" xfId="20414"/>
    <cellStyle name="Normal 5 2 2 2 6 2 5" xfId="28854"/>
    <cellStyle name="Normal 5 2 2 2 6 3" xfId="5609"/>
    <cellStyle name="Normal 5 2 2 2 6 3 2" xfId="14045"/>
    <cellStyle name="Normal 5 2 2 2 6 3 3" xfId="22486"/>
    <cellStyle name="Normal 5 2 2 2 6 3 4" xfId="30926"/>
    <cellStyle name="Normal 5 2 2 2 6 4" xfId="9827"/>
    <cellStyle name="Normal 5 2 2 2 6 5" xfId="18269"/>
    <cellStyle name="Normal 5 2 2 2 6 6" xfId="26709"/>
    <cellStyle name="Normal 5 2 2 2 7" xfId="1714"/>
    <cellStyle name="Normal 5 2 2 2 7 2" xfId="3944"/>
    <cellStyle name="Normal 5 2 2 2 7 2 2" xfId="8167"/>
    <cellStyle name="Normal 5 2 2 2 7 2 2 2" xfId="16603"/>
    <cellStyle name="Normal 5 2 2 2 7 2 2 3" xfId="25044"/>
    <cellStyle name="Normal 5 2 2 2 7 2 2 4" xfId="33484"/>
    <cellStyle name="Normal 5 2 2 2 7 2 3" xfId="12385"/>
    <cellStyle name="Normal 5 2 2 2 7 2 4" xfId="20827"/>
    <cellStyle name="Normal 5 2 2 2 7 2 5" xfId="29267"/>
    <cellStyle name="Normal 5 2 2 2 7 3" xfId="6022"/>
    <cellStyle name="Normal 5 2 2 2 7 3 2" xfId="14458"/>
    <cellStyle name="Normal 5 2 2 2 7 3 3" xfId="22899"/>
    <cellStyle name="Normal 5 2 2 2 7 3 4" xfId="31339"/>
    <cellStyle name="Normal 5 2 2 2 7 4" xfId="10240"/>
    <cellStyle name="Normal 5 2 2 2 7 5" xfId="18682"/>
    <cellStyle name="Normal 5 2 2 2 7 6" xfId="27122"/>
    <cellStyle name="Normal 5 2 2 2 8" xfId="2128"/>
    <cellStyle name="Normal 5 2 2 2 8 2" xfId="4357"/>
    <cellStyle name="Normal 5 2 2 2 8 2 2" xfId="8580"/>
    <cellStyle name="Normal 5 2 2 2 8 2 2 2" xfId="17016"/>
    <cellStyle name="Normal 5 2 2 2 8 2 2 3" xfId="25457"/>
    <cellStyle name="Normal 5 2 2 2 8 2 2 4" xfId="33897"/>
    <cellStyle name="Normal 5 2 2 2 8 2 3" xfId="12798"/>
    <cellStyle name="Normal 5 2 2 2 8 2 4" xfId="21240"/>
    <cellStyle name="Normal 5 2 2 2 8 2 5" xfId="29680"/>
    <cellStyle name="Normal 5 2 2 2 8 3" xfId="6435"/>
    <cellStyle name="Normal 5 2 2 2 8 3 2" xfId="14871"/>
    <cellStyle name="Normal 5 2 2 2 8 3 3" xfId="23312"/>
    <cellStyle name="Normal 5 2 2 2 8 3 4" xfId="31752"/>
    <cellStyle name="Normal 5 2 2 2 8 4" xfId="10653"/>
    <cellStyle name="Normal 5 2 2 2 8 5" xfId="19095"/>
    <cellStyle name="Normal 5 2 2 2 8 6" xfId="27535"/>
    <cellStyle name="Normal 5 2 2 2 9" xfId="2564"/>
    <cellStyle name="Normal 5 2 2 2 9 2" xfId="6848"/>
    <cellStyle name="Normal 5 2 2 2 9 2 2" xfId="15284"/>
    <cellStyle name="Normal 5 2 2 2 9 2 3" xfId="23725"/>
    <cellStyle name="Normal 5 2 2 2 9 2 4" xfId="32165"/>
    <cellStyle name="Normal 5 2 2 2 9 3" xfId="11066"/>
    <cellStyle name="Normal 5 2 2 2 9 4" xfId="19508"/>
    <cellStyle name="Normal 5 2 2 2 9 5" xfId="27948"/>
    <cellStyle name="Normal 5 2 2 3" xfId="417"/>
    <cellStyle name="Normal 5 2 2 3 10" xfId="9009"/>
    <cellStyle name="Normal 5 2 2 3 11" xfId="17451"/>
    <cellStyle name="Normal 5 2 2 3 12" xfId="25891"/>
    <cellStyle name="Normal 5 2 2 3 2" xfId="418"/>
    <cellStyle name="Normal 5 2 2 3 2 10" xfId="17452"/>
    <cellStyle name="Normal 5 2 2 3 2 11" xfId="25892"/>
    <cellStyle name="Normal 5 2 2 3 2 2" xfId="419"/>
    <cellStyle name="Normal 5 2 2 3 2 2 10" xfId="25893"/>
    <cellStyle name="Normal 5 2 2 3 2 2 2" xfId="893"/>
    <cellStyle name="Normal 5 2 2 3 2 2 2 2" xfId="3128"/>
    <cellStyle name="Normal 5 2 2 3 2 2 2 2 2" xfId="7351"/>
    <cellStyle name="Normal 5 2 2 3 2 2 2 2 2 2" xfId="15787"/>
    <cellStyle name="Normal 5 2 2 3 2 2 2 2 2 3" xfId="24228"/>
    <cellStyle name="Normal 5 2 2 3 2 2 2 2 2 4" xfId="32668"/>
    <cellStyle name="Normal 5 2 2 3 2 2 2 2 3" xfId="11569"/>
    <cellStyle name="Normal 5 2 2 3 2 2 2 2 4" xfId="20011"/>
    <cellStyle name="Normal 5 2 2 3 2 2 2 2 5" xfId="28451"/>
    <cellStyle name="Normal 5 2 2 3 2 2 2 3" xfId="5206"/>
    <cellStyle name="Normal 5 2 2 3 2 2 2 3 2" xfId="13642"/>
    <cellStyle name="Normal 5 2 2 3 2 2 2 3 3" xfId="22083"/>
    <cellStyle name="Normal 5 2 2 3 2 2 2 3 4" xfId="30523"/>
    <cellStyle name="Normal 5 2 2 3 2 2 2 4" xfId="9424"/>
    <cellStyle name="Normal 5 2 2 3 2 2 2 5" xfId="17866"/>
    <cellStyle name="Normal 5 2 2 3 2 2 2 6" xfId="26306"/>
    <cellStyle name="Normal 5 2 2 3 2 2 3" xfId="1311"/>
    <cellStyle name="Normal 5 2 2 3 2 2 3 2" xfId="3541"/>
    <cellStyle name="Normal 5 2 2 3 2 2 3 2 2" xfId="7764"/>
    <cellStyle name="Normal 5 2 2 3 2 2 3 2 2 2" xfId="16200"/>
    <cellStyle name="Normal 5 2 2 3 2 2 3 2 2 3" xfId="24641"/>
    <cellStyle name="Normal 5 2 2 3 2 2 3 2 2 4" xfId="33081"/>
    <cellStyle name="Normal 5 2 2 3 2 2 3 2 3" xfId="11982"/>
    <cellStyle name="Normal 5 2 2 3 2 2 3 2 4" xfId="20424"/>
    <cellStyle name="Normal 5 2 2 3 2 2 3 2 5" xfId="28864"/>
    <cellStyle name="Normal 5 2 2 3 2 2 3 3" xfId="5619"/>
    <cellStyle name="Normal 5 2 2 3 2 2 3 3 2" xfId="14055"/>
    <cellStyle name="Normal 5 2 2 3 2 2 3 3 3" xfId="22496"/>
    <cellStyle name="Normal 5 2 2 3 2 2 3 3 4" xfId="30936"/>
    <cellStyle name="Normal 5 2 2 3 2 2 3 4" xfId="9837"/>
    <cellStyle name="Normal 5 2 2 3 2 2 3 5" xfId="18279"/>
    <cellStyle name="Normal 5 2 2 3 2 2 3 6" xfId="26719"/>
    <cellStyle name="Normal 5 2 2 3 2 2 4" xfId="1724"/>
    <cellStyle name="Normal 5 2 2 3 2 2 4 2" xfId="3954"/>
    <cellStyle name="Normal 5 2 2 3 2 2 4 2 2" xfId="8177"/>
    <cellStyle name="Normal 5 2 2 3 2 2 4 2 2 2" xfId="16613"/>
    <cellStyle name="Normal 5 2 2 3 2 2 4 2 2 3" xfId="25054"/>
    <cellStyle name="Normal 5 2 2 3 2 2 4 2 2 4" xfId="33494"/>
    <cellStyle name="Normal 5 2 2 3 2 2 4 2 3" xfId="12395"/>
    <cellStyle name="Normal 5 2 2 3 2 2 4 2 4" xfId="20837"/>
    <cellStyle name="Normal 5 2 2 3 2 2 4 2 5" xfId="29277"/>
    <cellStyle name="Normal 5 2 2 3 2 2 4 3" xfId="6032"/>
    <cellStyle name="Normal 5 2 2 3 2 2 4 3 2" xfId="14468"/>
    <cellStyle name="Normal 5 2 2 3 2 2 4 3 3" xfId="22909"/>
    <cellStyle name="Normal 5 2 2 3 2 2 4 3 4" xfId="31349"/>
    <cellStyle name="Normal 5 2 2 3 2 2 4 4" xfId="10250"/>
    <cellStyle name="Normal 5 2 2 3 2 2 4 5" xfId="18692"/>
    <cellStyle name="Normal 5 2 2 3 2 2 4 6" xfId="27132"/>
    <cellStyle name="Normal 5 2 2 3 2 2 5" xfId="2138"/>
    <cellStyle name="Normal 5 2 2 3 2 2 5 2" xfId="4367"/>
    <cellStyle name="Normal 5 2 2 3 2 2 5 2 2" xfId="8590"/>
    <cellStyle name="Normal 5 2 2 3 2 2 5 2 2 2" xfId="17026"/>
    <cellStyle name="Normal 5 2 2 3 2 2 5 2 2 3" xfId="25467"/>
    <cellStyle name="Normal 5 2 2 3 2 2 5 2 2 4" xfId="33907"/>
    <cellStyle name="Normal 5 2 2 3 2 2 5 2 3" xfId="12808"/>
    <cellStyle name="Normal 5 2 2 3 2 2 5 2 4" xfId="21250"/>
    <cellStyle name="Normal 5 2 2 3 2 2 5 2 5" xfId="29690"/>
    <cellStyle name="Normal 5 2 2 3 2 2 5 3" xfId="6445"/>
    <cellStyle name="Normal 5 2 2 3 2 2 5 3 2" xfId="14881"/>
    <cellStyle name="Normal 5 2 2 3 2 2 5 3 3" xfId="23322"/>
    <cellStyle name="Normal 5 2 2 3 2 2 5 3 4" xfId="31762"/>
    <cellStyle name="Normal 5 2 2 3 2 2 5 4" xfId="10663"/>
    <cellStyle name="Normal 5 2 2 3 2 2 5 5" xfId="19105"/>
    <cellStyle name="Normal 5 2 2 3 2 2 5 6" xfId="27545"/>
    <cellStyle name="Normal 5 2 2 3 2 2 6" xfId="2574"/>
    <cellStyle name="Normal 5 2 2 3 2 2 6 2" xfId="6858"/>
    <cellStyle name="Normal 5 2 2 3 2 2 6 2 2" xfId="15294"/>
    <cellStyle name="Normal 5 2 2 3 2 2 6 2 3" xfId="23735"/>
    <cellStyle name="Normal 5 2 2 3 2 2 6 2 4" xfId="32175"/>
    <cellStyle name="Normal 5 2 2 3 2 2 6 3" xfId="11076"/>
    <cellStyle name="Normal 5 2 2 3 2 2 6 4" xfId="19518"/>
    <cellStyle name="Normal 5 2 2 3 2 2 6 5" xfId="27958"/>
    <cellStyle name="Normal 5 2 2 3 2 2 7" xfId="4793"/>
    <cellStyle name="Normal 5 2 2 3 2 2 7 2" xfId="13229"/>
    <cellStyle name="Normal 5 2 2 3 2 2 7 3" xfId="21670"/>
    <cellStyle name="Normal 5 2 2 3 2 2 7 4" xfId="30110"/>
    <cellStyle name="Normal 5 2 2 3 2 2 8" xfId="9011"/>
    <cellStyle name="Normal 5 2 2 3 2 2 9" xfId="17453"/>
    <cellStyle name="Normal 5 2 2 3 2 3" xfId="892"/>
    <cellStyle name="Normal 5 2 2 3 2 3 2" xfId="3127"/>
    <cellStyle name="Normal 5 2 2 3 2 3 2 2" xfId="7350"/>
    <cellStyle name="Normal 5 2 2 3 2 3 2 2 2" xfId="15786"/>
    <cellStyle name="Normal 5 2 2 3 2 3 2 2 3" xfId="24227"/>
    <cellStyle name="Normal 5 2 2 3 2 3 2 2 4" xfId="32667"/>
    <cellStyle name="Normal 5 2 2 3 2 3 2 3" xfId="11568"/>
    <cellStyle name="Normal 5 2 2 3 2 3 2 4" xfId="20010"/>
    <cellStyle name="Normal 5 2 2 3 2 3 2 5" xfId="28450"/>
    <cellStyle name="Normal 5 2 2 3 2 3 3" xfId="5205"/>
    <cellStyle name="Normal 5 2 2 3 2 3 3 2" xfId="13641"/>
    <cellStyle name="Normal 5 2 2 3 2 3 3 3" xfId="22082"/>
    <cellStyle name="Normal 5 2 2 3 2 3 3 4" xfId="30522"/>
    <cellStyle name="Normal 5 2 2 3 2 3 4" xfId="9423"/>
    <cellStyle name="Normal 5 2 2 3 2 3 5" xfId="17865"/>
    <cellStyle name="Normal 5 2 2 3 2 3 6" xfId="26305"/>
    <cellStyle name="Normal 5 2 2 3 2 4" xfId="1310"/>
    <cellStyle name="Normal 5 2 2 3 2 4 2" xfId="3540"/>
    <cellStyle name="Normal 5 2 2 3 2 4 2 2" xfId="7763"/>
    <cellStyle name="Normal 5 2 2 3 2 4 2 2 2" xfId="16199"/>
    <cellStyle name="Normal 5 2 2 3 2 4 2 2 3" xfId="24640"/>
    <cellStyle name="Normal 5 2 2 3 2 4 2 2 4" xfId="33080"/>
    <cellStyle name="Normal 5 2 2 3 2 4 2 3" xfId="11981"/>
    <cellStyle name="Normal 5 2 2 3 2 4 2 4" xfId="20423"/>
    <cellStyle name="Normal 5 2 2 3 2 4 2 5" xfId="28863"/>
    <cellStyle name="Normal 5 2 2 3 2 4 3" xfId="5618"/>
    <cellStyle name="Normal 5 2 2 3 2 4 3 2" xfId="14054"/>
    <cellStyle name="Normal 5 2 2 3 2 4 3 3" xfId="22495"/>
    <cellStyle name="Normal 5 2 2 3 2 4 3 4" xfId="30935"/>
    <cellStyle name="Normal 5 2 2 3 2 4 4" xfId="9836"/>
    <cellStyle name="Normal 5 2 2 3 2 4 5" xfId="18278"/>
    <cellStyle name="Normal 5 2 2 3 2 4 6" xfId="26718"/>
    <cellStyle name="Normal 5 2 2 3 2 5" xfId="1723"/>
    <cellStyle name="Normal 5 2 2 3 2 5 2" xfId="3953"/>
    <cellStyle name="Normal 5 2 2 3 2 5 2 2" xfId="8176"/>
    <cellStyle name="Normal 5 2 2 3 2 5 2 2 2" xfId="16612"/>
    <cellStyle name="Normal 5 2 2 3 2 5 2 2 3" xfId="25053"/>
    <cellStyle name="Normal 5 2 2 3 2 5 2 2 4" xfId="33493"/>
    <cellStyle name="Normal 5 2 2 3 2 5 2 3" xfId="12394"/>
    <cellStyle name="Normal 5 2 2 3 2 5 2 4" xfId="20836"/>
    <cellStyle name="Normal 5 2 2 3 2 5 2 5" xfId="29276"/>
    <cellStyle name="Normal 5 2 2 3 2 5 3" xfId="6031"/>
    <cellStyle name="Normal 5 2 2 3 2 5 3 2" xfId="14467"/>
    <cellStyle name="Normal 5 2 2 3 2 5 3 3" xfId="22908"/>
    <cellStyle name="Normal 5 2 2 3 2 5 3 4" xfId="31348"/>
    <cellStyle name="Normal 5 2 2 3 2 5 4" xfId="10249"/>
    <cellStyle name="Normal 5 2 2 3 2 5 5" xfId="18691"/>
    <cellStyle name="Normal 5 2 2 3 2 5 6" xfId="27131"/>
    <cellStyle name="Normal 5 2 2 3 2 6" xfId="2137"/>
    <cellStyle name="Normal 5 2 2 3 2 6 2" xfId="4366"/>
    <cellStyle name="Normal 5 2 2 3 2 6 2 2" xfId="8589"/>
    <cellStyle name="Normal 5 2 2 3 2 6 2 2 2" xfId="17025"/>
    <cellStyle name="Normal 5 2 2 3 2 6 2 2 3" xfId="25466"/>
    <cellStyle name="Normal 5 2 2 3 2 6 2 2 4" xfId="33906"/>
    <cellStyle name="Normal 5 2 2 3 2 6 2 3" xfId="12807"/>
    <cellStyle name="Normal 5 2 2 3 2 6 2 4" xfId="21249"/>
    <cellStyle name="Normal 5 2 2 3 2 6 2 5" xfId="29689"/>
    <cellStyle name="Normal 5 2 2 3 2 6 3" xfId="6444"/>
    <cellStyle name="Normal 5 2 2 3 2 6 3 2" xfId="14880"/>
    <cellStyle name="Normal 5 2 2 3 2 6 3 3" xfId="23321"/>
    <cellStyle name="Normal 5 2 2 3 2 6 3 4" xfId="31761"/>
    <cellStyle name="Normal 5 2 2 3 2 6 4" xfId="10662"/>
    <cellStyle name="Normal 5 2 2 3 2 6 5" xfId="19104"/>
    <cellStyle name="Normal 5 2 2 3 2 6 6" xfId="27544"/>
    <cellStyle name="Normal 5 2 2 3 2 7" xfId="2573"/>
    <cellStyle name="Normal 5 2 2 3 2 7 2" xfId="6857"/>
    <cellStyle name="Normal 5 2 2 3 2 7 2 2" xfId="15293"/>
    <cellStyle name="Normal 5 2 2 3 2 7 2 3" xfId="23734"/>
    <cellStyle name="Normal 5 2 2 3 2 7 2 4" xfId="32174"/>
    <cellStyle name="Normal 5 2 2 3 2 7 3" xfId="11075"/>
    <cellStyle name="Normal 5 2 2 3 2 7 4" xfId="19517"/>
    <cellStyle name="Normal 5 2 2 3 2 7 5" xfId="27957"/>
    <cellStyle name="Normal 5 2 2 3 2 8" xfId="4792"/>
    <cellStyle name="Normal 5 2 2 3 2 8 2" xfId="13228"/>
    <cellStyle name="Normal 5 2 2 3 2 8 3" xfId="21669"/>
    <cellStyle name="Normal 5 2 2 3 2 8 4" xfId="30109"/>
    <cellStyle name="Normal 5 2 2 3 2 9" xfId="9010"/>
    <cellStyle name="Normal 5 2 2 3 3" xfId="420"/>
    <cellStyle name="Normal 5 2 2 3 3 10" xfId="25894"/>
    <cellStyle name="Normal 5 2 2 3 3 2" xfId="894"/>
    <cellStyle name="Normal 5 2 2 3 3 2 2" xfId="3129"/>
    <cellStyle name="Normal 5 2 2 3 3 2 2 2" xfId="7352"/>
    <cellStyle name="Normal 5 2 2 3 3 2 2 2 2" xfId="15788"/>
    <cellStyle name="Normal 5 2 2 3 3 2 2 2 3" xfId="24229"/>
    <cellStyle name="Normal 5 2 2 3 3 2 2 2 4" xfId="32669"/>
    <cellStyle name="Normal 5 2 2 3 3 2 2 3" xfId="11570"/>
    <cellStyle name="Normal 5 2 2 3 3 2 2 4" xfId="20012"/>
    <cellStyle name="Normal 5 2 2 3 3 2 2 5" xfId="28452"/>
    <cellStyle name="Normal 5 2 2 3 3 2 3" xfId="5207"/>
    <cellStyle name="Normal 5 2 2 3 3 2 3 2" xfId="13643"/>
    <cellStyle name="Normal 5 2 2 3 3 2 3 3" xfId="22084"/>
    <cellStyle name="Normal 5 2 2 3 3 2 3 4" xfId="30524"/>
    <cellStyle name="Normal 5 2 2 3 3 2 4" xfId="9425"/>
    <cellStyle name="Normal 5 2 2 3 3 2 5" xfId="17867"/>
    <cellStyle name="Normal 5 2 2 3 3 2 6" xfId="26307"/>
    <cellStyle name="Normal 5 2 2 3 3 3" xfId="1312"/>
    <cellStyle name="Normal 5 2 2 3 3 3 2" xfId="3542"/>
    <cellStyle name="Normal 5 2 2 3 3 3 2 2" xfId="7765"/>
    <cellStyle name="Normal 5 2 2 3 3 3 2 2 2" xfId="16201"/>
    <cellStyle name="Normal 5 2 2 3 3 3 2 2 3" xfId="24642"/>
    <cellStyle name="Normal 5 2 2 3 3 3 2 2 4" xfId="33082"/>
    <cellStyle name="Normal 5 2 2 3 3 3 2 3" xfId="11983"/>
    <cellStyle name="Normal 5 2 2 3 3 3 2 4" xfId="20425"/>
    <cellStyle name="Normal 5 2 2 3 3 3 2 5" xfId="28865"/>
    <cellStyle name="Normal 5 2 2 3 3 3 3" xfId="5620"/>
    <cellStyle name="Normal 5 2 2 3 3 3 3 2" xfId="14056"/>
    <cellStyle name="Normal 5 2 2 3 3 3 3 3" xfId="22497"/>
    <cellStyle name="Normal 5 2 2 3 3 3 3 4" xfId="30937"/>
    <cellStyle name="Normal 5 2 2 3 3 3 4" xfId="9838"/>
    <cellStyle name="Normal 5 2 2 3 3 3 5" xfId="18280"/>
    <cellStyle name="Normal 5 2 2 3 3 3 6" xfId="26720"/>
    <cellStyle name="Normal 5 2 2 3 3 4" xfId="1725"/>
    <cellStyle name="Normal 5 2 2 3 3 4 2" xfId="3955"/>
    <cellStyle name="Normal 5 2 2 3 3 4 2 2" xfId="8178"/>
    <cellStyle name="Normal 5 2 2 3 3 4 2 2 2" xfId="16614"/>
    <cellStyle name="Normal 5 2 2 3 3 4 2 2 3" xfId="25055"/>
    <cellStyle name="Normal 5 2 2 3 3 4 2 2 4" xfId="33495"/>
    <cellStyle name="Normal 5 2 2 3 3 4 2 3" xfId="12396"/>
    <cellStyle name="Normal 5 2 2 3 3 4 2 4" xfId="20838"/>
    <cellStyle name="Normal 5 2 2 3 3 4 2 5" xfId="29278"/>
    <cellStyle name="Normal 5 2 2 3 3 4 3" xfId="6033"/>
    <cellStyle name="Normal 5 2 2 3 3 4 3 2" xfId="14469"/>
    <cellStyle name="Normal 5 2 2 3 3 4 3 3" xfId="22910"/>
    <cellStyle name="Normal 5 2 2 3 3 4 3 4" xfId="31350"/>
    <cellStyle name="Normal 5 2 2 3 3 4 4" xfId="10251"/>
    <cellStyle name="Normal 5 2 2 3 3 4 5" xfId="18693"/>
    <cellStyle name="Normal 5 2 2 3 3 4 6" xfId="27133"/>
    <cellStyle name="Normal 5 2 2 3 3 5" xfId="2139"/>
    <cellStyle name="Normal 5 2 2 3 3 5 2" xfId="4368"/>
    <cellStyle name="Normal 5 2 2 3 3 5 2 2" xfId="8591"/>
    <cellStyle name="Normal 5 2 2 3 3 5 2 2 2" xfId="17027"/>
    <cellStyle name="Normal 5 2 2 3 3 5 2 2 3" xfId="25468"/>
    <cellStyle name="Normal 5 2 2 3 3 5 2 2 4" xfId="33908"/>
    <cellStyle name="Normal 5 2 2 3 3 5 2 3" xfId="12809"/>
    <cellStyle name="Normal 5 2 2 3 3 5 2 4" xfId="21251"/>
    <cellStyle name="Normal 5 2 2 3 3 5 2 5" xfId="29691"/>
    <cellStyle name="Normal 5 2 2 3 3 5 3" xfId="6446"/>
    <cellStyle name="Normal 5 2 2 3 3 5 3 2" xfId="14882"/>
    <cellStyle name="Normal 5 2 2 3 3 5 3 3" xfId="23323"/>
    <cellStyle name="Normal 5 2 2 3 3 5 3 4" xfId="31763"/>
    <cellStyle name="Normal 5 2 2 3 3 5 4" xfId="10664"/>
    <cellStyle name="Normal 5 2 2 3 3 5 5" xfId="19106"/>
    <cellStyle name="Normal 5 2 2 3 3 5 6" xfId="27546"/>
    <cellStyle name="Normal 5 2 2 3 3 6" xfId="2575"/>
    <cellStyle name="Normal 5 2 2 3 3 6 2" xfId="6859"/>
    <cellStyle name="Normal 5 2 2 3 3 6 2 2" xfId="15295"/>
    <cellStyle name="Normal 5 2 2 3 3 6 2 3" xfId="23736"/>
    <cellStyle name="Normal 5 2 2 3 3 6 2 4" xfId="32176"/>
    <cellStyle name="Normal 5 2 2 3 3 6 3" xfId="11077"/>
    <cellStyle name="Normal 5 2 2 3 3 6 4" xfId="19519"/>
    <cellStyle name="Normal 5 2 2 3 3 6 5" xfId="27959"/>
    <cellStyle name="Normal 5 2 2 3 3 7" xfId="4794"/>
    <cellStyle name="Normal 5 2 2 3 3 7 2" xfId="13230"/>
    <cellStyle name="Normal 5 2 2 3 3 7 3" xfId="21671"/>
    <cellStyle name="Normal 5 2 2 3 3 7 4" xfId="30111"/>
    <cellStyle name="Normal 5 2 2 3 3 8" xfId="9012"/>
    <cellStyle name="Normal 5 2 2 3 3 9" xfId="17454"/>
    <cellStyle name="Normal 5 2 2 3 4" xfId="891"/>
    <cellStyle name="Normal 5 2 2 3 4 2" xfId="3126"/>
    <cellStyle name="Normal 5 2 2 3 4 2 2" xfId="7349"/>
    <cellStyle name="Normal 5 2 2 3 4 2 2 2" xfId="15785"/>
    <cellStyle name="Normal 5 2 2 3 4 2 2 3" xfId="24226"/>
    <cellStyle name="Normal 5 2 2 3 4 2 2 4" xfId="32666"/>
    <cellStyle name="Normal 5 2 2 3 4 2 3" xfId="11567"/>
    <cellStyle name="Normal 5 2 2 3 4 2 4" xfId="20009"/>
    <cellStyle name="Normal 5 2 2 3 4 2 5" xfId="28449"/>
    <cellStyle name="Normal 5 2 2 3 4 3" xfId="5204"/>
    <cellStyle name="Normal 5 2 2 3 4 3 2" xfId="13640"/>
    <cellStyle name="Normal 5 2 2 3 4 3 3" xfId="22081"/>
    <cellStyle name="Normal 5 2 2 3 4 3 4" xfId="30521"/>
    <cellStyle name="Normal 5 2 2 3 4 4" xfId="9422"/>
    <cellStyle name="Normal 5 2 2 3 4 5" xfId="17864"/>
    <cellStyle name="Normal 5 2 2 3 4 6" xfId="26304"/>
    <cellStyle name="Normal 5 2 2 3 5" xfId="1309"/>
    <cellStyle name="Normal 5 2 2 3 5 2" xfId="3539"/>
    <cellStyle name="Normal 5 2 2 3 5 2 2" xfId="7762"/>
    <cellStyle name="Normal 5 2 2 3 5 2 2 2" xfId="16198"/>
    <cellStyle name="Normal 5 2 2 3 5 2 2 3" xfId="24639"/>
    <cellStyle name="Normal 5 2 2 3 5 2 2 4" xfId="33079"/>
    <cellStyle name="Normal 5 2 2 3 5 2 3" xfId="11980"/>
    <cellStyle name="Normal 5 2 2 3 5 2 4" xfId="20422"/>
    <cellStyle name="Normal 5 2 2 3 5 2 5" xfId="28862"/>
    <cellStyle name="Normal 5 2 2 3 5 3" xfId="5617"/>
    <cellStyle name="Normal 5 2 2 3 5 3 2" xfId="14053"/>
    <cellStyle name="Normal 5 2 2 3 5 3 3" xfId="22494"/>
    <cellStyle name="Normal 5 2 2 3 5 3 4" xfId="30934"/>
    <cellStyle name="Normal 5 2 2 3 5 4" xfId="9835"/>
    <cellStyle name="Normal 5 2 2 3 5 5" xfId="18277"/>
    <cellStyle name="Normal 5 2 2 3 5 6" xfId="26717"/>
    <cellStyle name="Normal 5 2 2 3 6" xfId="1722"/>
    <cellStyle name="Normal 5 2 2 3 6 2" xfId="3952"/>
    <cellStyle name="Normal 5 2 2 3 6 2 2" xfId="8175"/>
    <cellStyle name="Normal 5 2 2 3 6 2 2 2" xfId="16611"/>
    <cellStyle name="Normal 5 2 2 3 6 2 2 3" xfId="25052"/>
    <cellStyle name="Normal 5 2 2 3 6 2 2 4" xfId="33492"/>
    <cellStyle name="Normal 5 2 2 3 6 2 3" xfId="12393"/>
    <cellStyle name="Normal 5 2 2 3 6 2 4" xfId="20835"/>
    <cellStyle name="Normal 5 2 2 3 6 2 5" xfId="29275"/>
    <cellStyle name="Normal 5 2 2 3 6 3" xfId="6030"/>
    <cellStyle name="Normal 5 2 2 3 6 3 2" xfId="14466"/>
    <cellStyle name="Normal 5 2 2 3 6 3 3" xfId="22907"/>
    <cellStyle name="Normal 5 2 2 3 6 3 4" xfId="31347"/>
    <cellStyle name="Normal 5 2 2 3 6 4" xfId="10248"/>
    <cellStyle name="Normal 5 2 2 3 6 5" xfId="18690"/>
    <cellStyle name="Normal 5 2 2 3 6 6" xfId="27130"/>
    <cellStyle name="Normal 5 2 2 3 7" xfId="2136"/>
    <cellStyle name="Normal 5 2 2 3 7 2" xfId="4365"/>
    <cellStyle name="Normal 5 2 2 3 7 2 2" xfId="8588"/>
    <cellStyle name="Normal 5 2 2 3 7 2 2 2" xfId="17024"/>
    <cellStyle name="Normal 5 2 2 3 7 2 2 3" xfId="25465"/>
    <cellStyle name="Normal 5 2 2 3 7 2 2 4" xfId="33905"/>
    <cellStyle name="Normal 5 2 2 3 7 2 3" xfId="12806"/>
    <cellStyle name="Normal 5 2 2 3 7 2 4" xfId="21248"/>
    <cellStyle name="Normal 5 2 2 3 7 2 5" xfId="29688"/>
    <cellStyle name="Normal 5 2 2 3 7 3" xfId="6443"/>
    <cellStyle name="Normal 5 2 2 3 7 3 2" xfId="14879"/>
    <cellStyle name="Normal 5 2 2 3 7 3 3" xfId="23320"/>
    <cellStyle name="Normal 5 2 2 3 7 3 4" xfId="31760"/>
    <cellStyle name="Normal 5 2 2 3 7 4" xfId="10661"/>
    <cellStyle name="Normal 5 2 2 3 7 5" xfId="19103"/>
    <cellStyle name="Normal 5 2 2 3 7 6" xfId="27543"/>
    <cellStyle name="Normal 5 2 2 3 8" xfId="2572"/>
    <cellStyle name="Normal 5 2 2 3 8 2" xfId="6856"/>
    <cellStyle name="Normal 5 2 2 3 8 2 2" xfId="15292"/>
    <cellStyle name="Normal 5 2 2 3 8 2 3" xfId="23733"/>
    <cellStyle name="Normal 5 2 2 3 8 2 4" xfId="32173"/>
    <cellStyle name="Normal 5 2 2 3 8 3" xfId="11074"/>
    <cellStyle name="Normal 5 2 2 3 8 4" xfId="19516"/>
    <cellStyle name="Normal 5 2 2 3 8 5" xfId="27956"/>
    <cellStyle name="Normal 5 2 2 3 9" xfId="4791"/>
    <cellStyle name="Normal 5 2 2 3 9 2" xfId="13227"/>
    <cellStyle name="Normal 5 2 2 3 9 3" xfId="21668"/>
    <cellStyle name="Normal 5 2 2 3 9 4" xfId="30108"/>
    <cellStyle name="Normal 5 2 2 4" xfId="421"/>
    <cellStyle name="Normal 5 2 2 4 10" xfId="17455"/>
    <cellStyle name="Normal 5 2 2 4 11" xfId="25895"/>
    <cellStyle name="Normal 5 2 2 4 2" xfId="422"/>
    <cellStyle name="Normal 5 2 2 4 2 10" xfId="25896"/>
    <cellStyle name="Normal 5 2 2 4 2 2" xfId="896"/>
    <cellStyle name="Normal 5 2 2 4 2 2 2" xfId="3131"/>
    <cellStyle name="Normal 5 2 2 4 2 2 2 2" xfId="7354"/>
    <cellStyle name="Normal 5 2 2 4 2 2 2 2 2" xfId="15790"/>
    <cellStyle name="Normal 5 2 2 4 2 2 2 2 3" xfId="24231"/>
    <cellStyle name="Normal 5 2 2 4 2 2 2 2 4" xfId="32671"/>
    <cellStyle name="Normal 5 2 2 4 2 2 2 3" xfId="11572"/>
    <cellStyle name="Normal 5 2 2 4 2 2 2 4" xfId="20014"/>
    <cellStyle name="Normal 5 2 2 4 2 2 2 5" xfId="28454"/>
    <cellStyle name="Normal 5 2 2 4 2 2 3" xfId="5209"/>
    <cellStyle name="Normal 5 2 2 4 2 2 3 2" xfId="13645"/>
    <cellStyle name="Normal 5 2 2 4 2 2 3 3" xfId="22086"/>
    <cellStyle name="Normal 5 2 2 4 2 2 3 4" xfId="30526"/>
    <cellStyle name="Normal 5 2 2 4 2 2 4" xfId="9427"/>
    <cellStyle name="Normal 5 2 2 4 2 2 5" xfId="17869"/>
    <cellStyle name="Normal 5 2 2 4 2 2 6" xfId="26309"/>
    <cellStyle name="Normal 5 2 2 4 2 3" xfId="1314"/>
    <cellStyle name="Normal 5 2 2 4 2 3 2" xfId="3544"/>
    <cellStyle name="Normal 5 2 2 4 2 3 2 2" xfId="7767"/>
    <cellStyle name="Normal 5 2 2 4 2 3 2 2 2" xfId="16203"/>
    <cellStyle name="Normal 5 2 2 4 2 3 2 2 3" xfId="24644"/>
    <cellStyle name="Normal 5 2 2 4 2 3 2 2 4" xfId="33084"/>
    <cellStyle name="Normal 5 2 2 4 2 3 2 3" xfId="11985"/>
    <cellStyle name="Normal 5 2 2 4 2 3 2 4" xfId="20427"/>
    <cellStyle name="Normal 5 2 2 4 2 3 2 5" xfId="28867"/>
    <cellStyle name="Normal 5 2 2 4 2 3 3" xfId="5622"/>
    <cellStyle name="Normal 5 2 2 4 2 3 3 2" xfId="14058"/>
    <cellStyle name="Normal 5 2 2 4 2 3 3 3" xfId="22499"/>
    <cellStyle name="Normal 5 2 2 4 2 3 3 4" xfId="30939"/>
    <cellStyle name="Normal 5 2 2 4 2 3 4" xfId="9840"/>
    <cellStyle name="Normal 5 2 2 4 2 3 5" xfId="18282"/>
    <cellStyle name="Normal 5 2 2 4 2 3 6" xfId="26722"/>
    <cellStyle name="Normal 5 2 2 4 2 4" xfId="1727"/>
    <cellStyle name="Normal 5 2 2 4 2 4 2" xfId="3957"/>
    <cellStyle name="Normal 5 2 2 4 2 4 2 2" xfId="8180"/>
    <cellStyle name="Normal 5 2 2 4 2 4 2 2 2" xfId="16616"/>
    <cellStyle name="Normal 5 2 2 4 2 4 2 2 3" xfId="25057"/>
    <cellStyle name="Normal 5 2 2 4 2 4 2 2 4" xfId="33497"/>
    <cellStyle name="Normal 5 2 2 4 2 4 2 3" xfId="12398"/>
    <cellStyle name="Normal 5 2 2 4 2 4 2 4" xfId="20840"/>
    <cellStyle name="Normal 5 2 2 4 2 4 2 5" xfId="29280"/>
    <cellStyle name="Normal 5 2 2 4 2 4 3" xfId="6035"/>
    <cellStyle name="Normal 5 2 2 4 2 4 3 2" xfId="14471"/>
    <cellStyle name="Normal 5 2 2 4 2 4 3 3" xfId="22912"/>
    <cellStyle name="Normal 5 2 2 4 2 4 3 4" xfId="31352"/>
    <cellStyle name="Normal 5 2 2 4 2 4 4" xfId="10253"/>
    <cellStyle name="Normal 5 2 2 4 2 4 5" xfId="18695"/>
    <cellStyle name="Normal 5 2 2 4 2 4 6" xfId="27135"/>
    <cellStyle name="Normal 5 2 2 4 2 5" xfId="2141"/>
    <cellStyle name="Normal 5 2 2 4 2 5 2" xfId="4370"/>
    <cellStyle name="Normal 5 2 2 4 2 5 2 2" xfId="8593"/>
    <cellStyle name="Normal 5 2 2 4 2 5 2 2 2" xfId="17029"/>
    <cellStyle name="Normal 5 2 2 4 2 5 2 2 3" xfId="25470"/>
    <cellStyle name="Normal 5 2 2 4 2 5 2 2 4" xfId="33910"/>
    <cellStyle name="Normal 5 2 2 4 2 5 2 3" xfId="12811"/>
    <cellStyle name="Normal 5 2 2 4 2 5 2 4" xfId="21253"/>
    <cellStyle name="Normal 5 2 2 4 2 5 2 5" xfId="29693"/>
    <cellStyle name="Normal 5 2 2 4 2 5 3" xfId="6448"/>
    <cellStyle name="Normal 5 2 2 4 2 5 3 2" xfId="14884"/>
    <cellStyle name="Normal 5 2 2 4 2 5 3 3" xfId="23325"/>
    <cellStyle name="Normal 5 2 2 4 2 5 3 4" xfId="31765"/>
    <cellStyle name="Normal 5 2 2 4 2 5 4" xfId="10666"/>
    <cellStyle name="Normal 5 2 2 4 2 5 5" xfId="19108"/>
    <cellStyle name="Normal 5 2 2 4 2 5 6" xfId="27548"/>
    <cellStyle name="Normal 5 2 2 4 2 6" xfId="2577"/>
    <cellStyle name="Normal 5 2 2 4 2 6 2" xfId="6861"/>
    <cellStyle name="Normal 5 2 2 4 2 6 2 2" xfId="15297"/>
    <cellStyle name="Normal 5 2 2 4 2 6 2 3" xfId="23738"/>
    <cellStyle name="Normal 5 2 2 4 2 6 2 4" xfId="32178"/>
    <cellStyle name="Normal 5 2 2 4 2 6 3" xfId="11079"/>
    <cellStyle name="Normal 5 2 2 4 2 6 4" xfId="19521"/>
    <cellStyle name="Normal 5 2 2 4 2 6 5" xfId="27961"/>
    <cellStyle name="Normal 5 2 2 4 2 7" xfId="4796"/>
    <cellStyle name="Normal 5 2 2 4 2 7 2" xfId="13232"/>
    <cellStyle name="Normal 5 2 2 4 2 7 3" xfId="21673"/>
    <cellStyle name="Normal 5 2 2 4 2 7 4" xfId="30113"/>
    <cellStyle name="Normal 5 2 2 4 2 8" xfId="9014"/>
    <cellStyle name="Normal 5 2 2 4 2 9" xfId="17456"/>
    <cellStyle name="Normal 5 2 2 4 3" xfId="895"/>
    <cellStyle name="Normal 5 2 2 4 3 2" xfId="3130"/>
    <cellStyle name="Normal 5 2 2 4 3 2 2" xfId="7353"/>
    <cellStyle name="Normal 5 2 2 4 3 2 2 2" xfId="15789"/>
    <cellStyle name="Normal 5 2 2 4 3 2 2 3" xfId="24230"/>
    <cellStyle name="Normal 5 2 2 4 3 2 2 4" xfId="32670"/>
    <cellStyle name="Normal 5 2 2 4 3 2 3" xfId="11571"/>
    <cellStyle name="Normal 5 2 2 4 3 2 4" xfId="20013"/>
    <cellStyle name="Normal 5 2 2 4 3 2 5" xfId="28453"/>
    <cellStyle name="Normal 5 2 2 4 3 3" xfId="5208"/>
    <cellStyle name="Normal 5 2 2 4 3 3 2" xfId="13644"/>
    <cellStyle name="Normal 5 2 2 4 3 3 3" xfId="22085"/>
    <cellStyle name="Normal 5 2 2 4 3 3 4" xfId="30525"/>
    <cellStyle name="Normal 5 2 2 4 3 4" xfId="9426"/>
    <cellStyle name="Normal 5 2 2 4 3 5" xfId="17868"/>
    <cellStyle name="Normal 5 2 2 4 3 6" xfId="26308"/>
    <cellStyle name="Normal 5 2 2 4 4" xfId="1313"/>
    <cellStyle name="Normal 5 2 2 4 4 2" xfId="3543"/>
    <cellStyle name="Normal 5 2 2 4 4 2 2" xfId="7766"/>
    <cellStyle name="Normal 5 2 2 4 4 2 2 2" xfId="16202"/>
    <cellStyle name="Normal 5 2 2 4 4 2 2 3" xfId="24643"/>
    <cellStyle name="Normal 5 2 2 4 4 2 2 4" xfId="33083"/>
    <cellStyle name="Normal 5 2 2 4 4 2 3" xfId="11984"/>
    <cellStyle name="Normal 5 2 2 4 4 2 4" xfId="20426"/>
    <cellStyle name="Normal 5 2 2 4 4 2 5" xfId="28866"/>
    <cellStyle name="Normal 5 2 2 4 4 3" xfId="5621"/>
    <cellStyle name="Normal 5 2 2 4 4 3 2" xfId="14057"/>
    <cellStyle name="Normal 5 2 2 4 4 3 3" xfId="22498"/>
    <cellStyle name="Normal 5 2 2 4 4 3 4" xfId="30938"/>
    <cellStyle name="Normal 5 2 2 4 4 4" xfId="9839"/>
    <cellStyle name="Normal 5 2 2 4 4 5" xfId="18281"/>
    <cellStyle name="Normal 5 2 2 4 4 6" xfId="26721"/>
    <cellStyle name="Normal 5 2 2 4 5" xfId="1726"/>
    <cellStyle name="Normal 5 2 2 4 5 2" xfId="3956"/>
    <cellStyle name="Normal 5 2 2 4 5 2 2" xfId="8179"/>
    <cellStyle name="Normal 5 2 2 4 5 2 2 2" xfId="16615"/>
    <cellStyle name="Normal 5 2 2 4 5 2 2 3" xfId="25056"/>
    <cellStyle name="Normal 5 2 2 4 5 2 2 4" xfId="33496"/>
    <cellStyle name="Normal 5 2 2 4 5 2 3" xfId="12397"/>
    <cellStyle name="Normal 5 2 2 4 5 2 4" xfId="20839"/>
    <cellStyle name="Normal 5 2 2 4 5 2 5" xfId="29279"/>
    <cellStyle name="Normal 5 2 2 4 5 3" xfId="6034"/>
    <cellStyle name="Normal 5 2 2 4 5 3 2" xfId="14470"/>
    <cellStyle name="Normal 5 2 2 4 5 3 3" xfId="22911"/>
    <cellStyle name="Normal 5 2 2 4 5 3 4" xfId="31351"/>
    <cellStyle name="Normal 5 2 2 4 5 4" xfId="10252"/>
    <cellStyle name="Normal 5 2 2 4 5 5" xfId="18694"/>
    <cellStyle name="Normal 5 2 2 4 5 6" xfId="27134"/>
    <cellStyle name="Normal 5 2 2 4 6" xfId="2140"/>
    <cellStyle name="Normal 5 2 2 4 6 2" xfId="4369"/>
    <cellStyle name="Normal 5 2 2 4 6 2 2" xfId="8592"/>
    <cellStyle name="Normal 5 2 2 4 6 2 2 2" xfId="17028"/>
    <cellStyle name="Normal 5 2 2 4 6 2 2 3" xfId="25469"/>
    <cellStyle name="Normal 5 2 2 4 6 2 2 4" xfId="33909"/>
    <cellStyle name="Normal 5 2 2 4 6 2 3" xfId="12810"/>
    <cellStyle name="Normal 5 2 2 4 6 2 4" xfId="21252"/>
    <cellStyle name="Normal 5 2 2 4 6 2 5" xfId="29692"/>
    <cellStyle name="Normal 5 2 2 4 6 3" xfId="6447"/>
    <cellStyle name="Normal 5 2 2 4 6 3 2" xfId="14883"/>
    <cellStyle name="Normal 5 2 2 4 6 3 3" xfId="23324"/>
    <cellStyle name="Normal 5 2 2 4 6 3 4" xfId="31764"/>
    <cellStyle name="Normal 5 2 2 4 6 4" xfId="10665"/>
    <cellStyle name="Normal 5 2 2 4 6 5" xfId="19107"/>
    <cellStyle name="Normal 5 2 2 4 6 6" xfId="27547"/>
    <cellStyle name="Normal 5 2 2 4 7" xfId="2576"/>
    <cellStyle name="Normal 5 2 2 4 7 2" xfId="6860"/>
    <cellStyle name="Normal 5 2 2 4 7 2 2" xfId="15296"/>
    <cellStyle name="Normal 5 2 2 4 7 2 3" xfId="23737"/>
    <cellStyle name="Normal 5 2 2 4 7 2 4" xfId="32177"/>
    <cellStyle name="Normal 5 2 2 4 7 3" xfId="11078"/>
    <cellStyle name="Normal 5 2 2 4 7 4" xfId="19520"/>
    <cellStyle name="Normal 5 2 2 4 7 5" xfId="27960"/>
    <cellStyle name="Normal 5 2 2 4 8" xfId="4795"/>
    <cellStyle name="Normal 5 2 2 4 8 2" xfId="13231"/>
    <cellStyle name="Normal 5 2 2 4 8 3" xfId="21672"/>
    <cellStyle name="Normal 5 2 2 4 8 4" xfId="30112"/>
    <cellStyle name="Normal 5 2 2 4 9" xfId="9013"/>
    <cellStyle name="Normal 5 2 2 5" xfId="423"/>
    <cellStyle name="Normal 5 2 2 5 10" xfId="25897"/>
    <cellStyle name="Normal 5 2 2 5 2" xfId="897"/>
    <cellStyle name="Normal 5 2 2 5 2 2" xfId="3132"/>
    <cellStyle name="Normal 5 2 2 5 2 2 2" xfId="7355"/>
    <cellStyle name="Normal 5 2 2 5 2 2 2 2" xfId="15791"/>
    <cellStyle name="Normal 5 2 2 5 2 2 2 3" xfId="24232"/>
    <cellStyle name="Normal 5 2 2 5 2 2 2 4" xfId="32672"/>
    <cellStyle name="Normal 5 2 2 5 2 2 3" xfId="11573"/>
    <cellStyle name="Normal 5 2 2 5 2 2 4" xfId="20015"/>
    <cellStyle name="Normal 5 2 2 5 2 2 5" xfId="28455"/>
    <cellStyle name="Normal 5 2 2 5 2 3" xfId="5210"/>
    <cellStyle name="Normal 5 2 2 5 2 3 2" xfId="13646"/>
    <cellStyle name="Normal 5 2 2 5 2 3 3" xfId="22087"/>
    <cellStyle name="Normal 5 2 2 5 2 3 4" xfId="30527"/>
    <cellStyle name="Normal 5 2 2 5 2 4" xfId="9428"/>
    <cellStyle name="Normal 5 2 2 5 2 5" xfId="17870"/>
    <cellStyle name="Normal 5 2 2 5 2 6" xfId="26310"/>
    <cellStyle name="Normal 5 2 2 5 3" xfId="1315"/>
    <cellStyle name="Normal 5 2 2 5 3 2" xfId="3545"/>
    <cellStyle name="Normal 5 2 2 5 3 2 2" xfId="7768"/>
    <cellStyle name="Normal 5 2 2 5 3 2 2 2" xfId="16204"/>
    <cellStyle name="Normal 5 2 2 5 3 2 2 3" xfId="24645"/>
    <cellStyle name="Normal 5 2 2 5 3 2 2 4" xfId="33085"/>
    <cellStyle name="Normal 5 2 2 5 3 2 3" xfId="11986"/>
    <cellStyle name="Normal 5 2 2 5 3 2 4" xfId="20428"/>
    <cellStyle name="Normal 5 2 2 5 3 2 5" xfId="28868"/>
    <cellStyle name="Normal 5 2 2 5 3 3" xfId="5623"/>
    <cellStyle name="Normal 5 2 2 5 3 3 2" xfId="14059"/>
    <cellStyle name="Normal 5 2 2 5 3 3 3" xfId="22500"/>
    <cellStyle name="Normal 5 2 2 5 3 3 4" xfId="30940"/>
    <cellStyle name="Normal 5 2 2 5 3 4" xfId="9841"/>
    <cellStyle name="Normal 5 2 2 5 3 5" xfId="18283"/>
    <cellStyle name="Normal 5 2 2 5 3 6" xfId="26723"/>
    <cellStyle name="Normal 5 2 2 5 4" xfId="1728"/>
    <cellStyle name="Normal 5 2 2 5 4 2" xfId="3958"/>
    <cellStyle name="Normal 5 2 2 5 4 2 2" xfId="8181"/>
    <cellStyle name="Normal 5 2 2 5 4 2 2 2" xfId="16617"/>
    <cellStyle name="Normal 5 2 2 5 4 2 2 3" xfId="25058"/>
    <cellStyle name="Normal 5 2 2 5 4 2 2 4" xfId="33498"/>
    <cellStyle name="Normal 5 2 2 5 4 2 3" xfId="12399"/>
    <cellStyle name="Normal 5 2 2 5 4 2 4" xfId="20841"/>
    <cellStyle name="Normal 5 2 2 5 4 2 5" xfId="29281"/>
    <cellStyle name="Normal 5 2 2 5 4 3" xfId="6036"/>
    <cellStyle name="Normal 5 2 2 5 4 3 2" xfId="14472"/>
    <cellStyle name="Normal 5 2 2 5 4 3 3" xfId="22913"/>
    <cellStyle name="Normal 5 2 2 5 4 3 4" xfId="31353"/>
    <cellStyle name="Normal 5 2 2 5 4 4" xfId="10254"/>
    <cellStyle name="Normal 5 2 2 5 4 5" xfId="18696"/>
    <cellStyle name="Normal 5 2 2 5 4 6" xfId="27136"/>
    <cellStyle name="Normal 5 2 2 5 5" xfId="2142"/>
    <cellStyle name="Normal 5 2 2 5 5 2" xfId="4371"/>
    <cellStyle name="Normal 5 2 2 5 5 2 2" xfId="8594"/>
    <cellStyle name="Normal 5 2 2 5 5 2 2 2" xfId="17030"/>
    <cellStyle name="Normal 5 2 2 5 5 2 2 3" xfId="25471"/>
    <cellStyle name="Normal 5 2 2 5 5 2 2 4" xfId="33911"/>
    <cellStyle name="Normal 5 2 2 5 5 2 3" xfId="12812"/>
    <cellStyle name="Normal 5 2 2 5 5 2 4" xfId="21254"/>
    <cellStyle name="Normal 5 2 2 5 5 2 5" xfId="29694"/>
    <cellStyle name="Normal 5 2 2 5 5 3" xfId="6449"/>
    <cellStyle name="Normal 5 2 2 5 5 3 2" xfId="14885"/>
    <cellStyle name="Normal 5 2 2 5 5 3 3" xfId="23326"/>
    <cellStyle name="Normal 5 2 2 5 5 3 4" xfId="31766"/>
    <cellStyle name="Normal 5 2 2 5 5 4" xfId="10667"/>
    <cellStyle name="Normal 5 2 2 5 5 5" xfId="19109"/>
    <cellStyle name="Normal 5 2 2 5 5 6" xfId="27549"/>
    <cellStyle name="Normal 5 2 2 5 6" xfId="2578"/>
    <cellStyle name="Normal 5 2 2 5 6 2" xfId="6862"/>
    <cellStyle name="Normal 5 2 2 5 6 2 2" xfId="15298"/>
    <cellStyle name="Normal 5 2 2 5 6 2 3" xfId="23739"/>
    <cellStyle name="Normal 5 2 2 5 6 2 4" xfId="32179"/>
    <cellStyle name="Normal 5 2 2 5 6 3" xfId="11080"/>
    <cellStyle name="Normal 5 2 2 5 6 4" xfId="19522"/>
    <cellStyle name="Normal 5 2 2 5 6 5" xfId="27962"/>
    <cellStyle name="Normal 5 2 2 5 7" xfId="4797"/>
    <cellStyle name="Normal 5 2 2 5 7 2" xfId="13233"/>
    <cellStyle name="Normal 5 2 2 5 7 3" xfId="21674"/>
    <cellStyle name="Normal 5 2 2 5 7 4" xfId="30114"/>
    <cellStyle name="Normal 5 2 2 5 8" xfId="9015"/>
    <cellStyle name="Normal 5 2 2 5 9" xfId="17457"/>
    <cellStyle name="Normal 5 2 2 6" xfId="882"/>
    <cellStyle name="Normal 5 2 2 6 2" xfId="3117"/>
    <cellStyle name="Normal 5 2 2 6 2 2" xfId="7340"/>
    <cellStyle name="Normal 5 2 2 6 2 2 2" xfId="15776"/>
    <cellStyle name="Normal 5 2 2 6 2 2 3" xfId="24217"/>
    <cellStyle name="Normal 5 2 2 6 2 2 4" xfId="32657"/>
    <cellStyle name="Normal 5 2 2 6 2 3" xfId="11558"/>
    <cellStyle name="Normal 5 2 2 6 2 4" xfId="20000"/>
    <cellStyle name="Normal 5 2 2 6 2 5" xfId="28440"/>
    <cellStyle name="Normal 5 2 2 6 3" xfId="5195"/>
    <cellStyle name="Normal 5 2 2 6 3 2" xfId="13631"/>
    <cellStyle name="Normal 5 2 2 6 3 3" xfId="22072"/>
    <cellStyle name="Normal 5 2 2 6 3 4" xfId="30512"/>
    <cellStyle name="Normal 5 2 2 6 4" xfId="9413"/>
    <cellStyle name="Normal 5 2 2 6 5" xfId="17855"/>
    <cellStyle name="Normal 5 2 2 6 6" xfId="26295"/>
    <cellStyle name="Normal 5 2 2 7" xfId="1300"/>
    <cellStyle name="Normal 5 2 2 7 2" xfId="3530"/>
    <cellStyle name="Normal 5 2 2 7 2 2" xfId="7753"/>
    <cellStyle name="Normal 5 2 2 7 2 2 2" xfId="16189"/>
    <cellStyle name="Normal 5 2 2 7 2 2 3" xfId="24630"/>
    <cellStyle name="Normal 5 2 2 7 2 2 4" xfId="33070"/>
    <cellStyle name="Normal 5 2 2 7 2 3" xfId="11971"/>
    <cellStyle name="Normal 5 2 2 7 2 4" xfId="20413"/>
    <cellStyle name="Normal 5 2 2 7 2 5" xfId="28853"/>
    <cellStyle name="Normal 5 2 2 7 3" xfId="5608"/>
    <cellStyle name="Normal 5 2 2 7 3 2" xfId="14044"/>
    <cellStyle name="Normal 5 2 2 7 3 3" xfId="22485"/>
    <cellStyle name="Normal 5 2 2 7 3 4" xfId="30925"/>
    <cellStyle name="Normal 5 2 2 7 4" xfId="9826"/>
    <cellStyle name="Normal 5 2 2 7 5" xfId="18268"/>
    <cellStyle name="Normal 5 2 2 7 6" xfId="26708"/>
    <cellStyle name="Normal 5 2 2 8" xfId="1713"/>
    <cellStyle name="Normal 5 2 2 8 2" xfId="3943"/>
    <cellStyle name="Normal 5 2 2 8 2 2" xfId="8166"/>
    <cellStyle name="Normal 5 2 2 8 2 2 2" xfId="16602"/>
    <cellStyle name="Normal 5 2 2 8 2 2 3" xfId="25043"/>
    <cellStyle name="Normal 5 2 2 8 2 2 4" xfId="33483"/>
    <cellStyle name="Normal 5 2 2 8 2 3" xfId="12384"/>
    <cellStyle name="Normal 5 2 2 8 2 4" xfId="20826"/>
    <cellStyle name="Normal 5 2 2 8 2 5" xfId="29266"/>
    <cellStyle name="Normal 5 2 2 8 3" xfId="6021"/>
    <cellStyle name="Normal 5 2 2 8 3 2" xfId="14457"/>
    <cellStyle name="Normal 5 2 2 8 3 3" xfId="22898"/>
    <cellStyle name="Normal 5 2 2 8 3 4" xfId="31338"/>
    <cellStyle name="Normal 5 2 2 8 4" xfId="10239"/>
    <cellStyle name="Normal 5 2 2 8 5" xfId="18681"/>
    <cellStyle name="Normal 5 2 2 8 6" xfId="27121"/>
    <cellStyle name="Normal 5 2 2 9" xfId="2127"/>
    <cellStyle name="Normal 5 2 2 9 2" xfId="4356"/>
    <cellStyle name="Normal 5 2 2 9 2 2" xfId="8579"/>
    <cellStyle name="Normal 5 2 2 9 2 2 2" xfId="17015"/>
    <cellStyle name="Normal 5 2 2 9 2 2 3" xfId="25456"/>
    <cellStyle name="Normal 5 2 2 9 2 2 4" xfId="33896"/>
    <cellStyle name="Normal 5 2 2 9 2 3" xfId="12797"/>
    <cellStyle name="Normal 5 2 2 9 2 4" xfId="21239"/>
    <cellStyle name="Normal 5 2 2 9 2 5" xfId="29679"/>
    <cellStyle name="Normal 5 2 2 9 3" xfId="6434"/>
    <cellStyle name="Normal 5 2 2 9 3 2" xfId="14870"/>
    <cellStyle name="Normal 5 2 2 9 3 3" xfId="23311"/>
    <cellStyle name="Normal 5 2 2 9 3 4" xfId="31751"/>
    <cellStyle name="Normal 5 2 2 9 4" xfId="10652"/>
    <cellStyle name="Normal 5 2 2 9 5" xfId="19094"/>
    <cellStyle name="Normal 5 2 2 9 6" xfId="27534"/>
    <cellStyle name="Normal 5 2 3" xfId="424"/>
    <cellStyle name="Normal 5 2 3 10" xfId="4798"/>
    <cellStyle name="Normal 5 2 3 10 2" xfId="13234"/>
    <cellStyle name="Normal 5 2 3 10 3" xfId="21675"/>
    <cellStyle name="Normal 5 2 3 10 4" xfId="30115"/>
    <cellStyle name="Normal 5 2 3 11" xfId="9016"/>
    <cellStyle name="Normal 5 2 3 12" xfId="17458"/>
    <cellStyle name="Normal 5 2 3 13" xfId="25898"/>
    <cellStyle name="Normal 5 2 3 2" xfId="425"/>
    <cellStyle name="Normal 5 2 3 2 10" xfId="9017"/>
    <cellStyle name="Normal 5 2 3 2 11" xfId="17459"/>
    <cellStyle name="Normal 5 2 3 2 12" xfId="25899"/>
    <cellStyle name="Normal 5 2 3 2 2" xfId="426"/>
    <cellStyle name="Normal 5 2 3 2 2 10" xfId="17460"/>
    <cellStyle name="Normal 5 2 3 2 2 11" xfId="25900"/>
    <cellStyle name="Normal 5 2 3 2 2 2" xfId="427"/>
    <cellStyle name="Normal 5 2 3 2 2 2 10" xfId="25901"/>
    <cellStyle name="Normal 5 2 3 2 2 2 2" xfId="901"/>
    <cellStyle name="Normal 5 2 3 2 2 2 2 2" xfId="3136"/>
    <cellStyle name="Normal 5 2 3 2 2 2 2 2 2" xfId="7359"/>
    <cellStyle name="Normal 5 2 3 2 2 2 2 2 2 2" xfId="15795"/>
    <cellStyle name="Normal 5 2 3 2 2 2 2 2 2 3" xfId="24236"/>
    <cellStyle name="Normal 5 2 3 2 2 2 2 2 2 4" xfId="32676"/>
    <cellStyle name="Normal 5 2 3 2 2 2 2 2 3" xfId="11577"/>
    <cellStyle name="Normal 5 2 3 2 2 2 2 2 4" xfId="20019"/>
    <cellStyle name="Normal 5 2 3 2 2 2 2 2 5" xfId="28459"/>
    <cellStyle name="Normal 5 2 3 2 2 2 2 3" xfId="5214"/>
    <cellStyle name="Normal 5 2 3 2 2 2 2 3 2" xfId="13650"/>
    <cellStyle name="Normal 5 2 3 2 2 2 2 3 3" xfId="22091"/>
    <cellStyle name="Normal 5 2 3 2 2 2 2 3 4" xfId="30531"/>
    <cellStyle name="Normal 5 2 3 2 2 2 2 4" xfId="9432"/>
    <cellStyle name="Normal 5 2 3 2 2 2 2 5" xfId="17874"/>
    <cellStyle name="Normal 5 2 3 2 2 2 2 6" xfId="26314"/>
    <cellStyle name="Normal 5 2 3 2 2 2 3" xfId="1319"/>
    <cellStyle name="Normal 5 2 3 2 2 2 3 2" xfId="3549"/>
    <cellStyle name="Normal 5 2 3 2 2 2 3 2 2" xfId="7772"/>
    <cellStyle name="Normal 5 2 3 2 2 2 3 2 2 2" xfId="16208"/>
    <cellStyle name="Normal 5 2 3 2 2 2 3 2 2 3" xfId="24649"/>
    <cellStyle name="Normal 5 2 3 2 2 2 3 2 2 4" xfId="33089"/>
    <cellStyle name="Normal 5 2 3 2 2 2 3 2 3" xfId="11990"/>
    <cellStyle name="Normal 5 2 3 2 2 2 3 2 4" xfId="20432"/>
    <cellStyle name="Normal 5 2 3 2 2 2 3 2 5" xfId="28872"/>
    <cellStyle name="Normal 5 2 3 2 2 2 3 3" xfId="5627"/>
    <cellStyle name="Normal 5 2 3 2 2 2 3 3 2" xfId="14063"/>
    <cellStyle name="Normal 5 2 3 2 2 2 3 3 3" xfId="22504"/>
    <cellStyle name="Normal 5 2 3 2 2 2 3 3 4" xfId="30944"/>
    <cellStyle name="Normal 5 2 3 2 2 2 3 4" xfId="9845"/>
    <cellStyle name="Normal 5 2 3 2 2 2 3 5" xfId="18287"/>
    <cellStyle name="Normal 5 2 3 2 2 2 3 6" xfId="26727"/>
    <cellStyle name="Normal 5 2 3 2 2 2 4" xfId="1732"/>
    <cellStyle name="Normal 5 2 3 2 2 2 4 2" xfId="3962"/>
    <cellStyle name="Normal 5 2 3 2 2 2 4 2 2" xfId="8185"/>
    <cellStyle name="Normal 5 2 3 2 2 2 4 2 2 2" xfId="16621"/>
    <cellStyle name="Normal 5 2 3 2 2 2 4 2 2 3" xfId="25062"/>
    <cellStyle name="Normal 5 2 3 2 2 2 4 2 2 4" xfId="33502"/>
    <cellStyle name="Normal 5 2 3 2 2 2 4 2 3" xfId="12403"/>
    <cellStyle name="Normal 5 2 3 2 2 2 4 2 4" xfId="20845"/>
    <cellStyle name="Normal 5 2 3 2 2 2 4 2 5" xfId="29285"/>
    <cellStyle name="Normal 5 2 3 2 2 2 4 3" xfId="6040"/>
    <cellStyle name="Normal 5 2 3 2 2 2 4 3 2" xfId="14476"/>
    <cellStyle name="Normal 5 2 3 2 2 2 4 3 3" xfId="22917"/>
    <cellStyle name="Normal 5 2 3 2 2 2 4 3 4" xfId="31357"/>
    <cellStyle name="Normal 5 2 3 2 2 2 4 4" xfId="10258"/>
    <cellStyle name="Normal 5 2 3 2 2 2 4 5" xfId="18700"/>
    <cellStyle name="Normal 5 2 3 2 2 2 4 6" xfId="27140"/>
    <cellStyle name="Normal 5 2 3 2 2 2 5" xfId="2146"/>
    <cellStyle name="Normal 5 2 3 2 2 2 5 2" xfId="4375"/>
    <cellStyle name="Normal 5 2 3 2 2 2 5 2 2" xfId="8598"/>
    <cellStyle name="Normal 5 2 3 2 2 2 5 2 2 2" xfId="17034"/>
    <cellStyle name="Normal 5 2 3 2 2 2 5 2 2 3" xfId="25475"/>
    <cellStyle name="Normal 5 2 3 2 2 2 5 2 2 4" xfId="33915"/>
    <cellStyle name="Normal 5 2 3 2 2 2 5 2 3" xfId="12816"/>
    <cellStyle name="Normal 5 2 3 2 2 2 5 2 4" xfId="21258"/>
    <cellStyle name="Normal 5 2 3 2 2 2 5 2 5" xfId="29698"/>
    <cellStyle name="Normal 5 2 3 2 2 2 5 3" xfId="6453"/>
    <cellStyle name="Normal 5 2 3 2 2 2 5 3 2" xfId="14889"/>
    <cellStyle name="Normal 5 2 3 2 2 2 5 3 3" xfId="23330"/>
    <cellStyle name="Normal 5 2 3 2 2 2 5 3 4" xfId="31770"/>
    <cellStyle name="Normal 5 2 3 2 2 2 5 4" xfId="10671"/>
    <cellStyle name="Normal 5 2 3 2 2 2 5 5" xfId="19113"/>
    <cellStyle name="Normal 5 2 3 2 2 2 5 6" xfId="27553"/>
    <cellStyle name="Normal 5 2 3 2 2 2 6" xfId="2582"/>
    <cellStyle name="Normal 5 2 3 2 2 2 6 2" xfId="6866"/>
    <cellStyle name="Normal 5 2 3 2 2 2 6 2 2" xfId="15302"/>
    <cellStyle name="Normal 5 2 3 2 2 2 6 2 3" xfId="23743"/>
    <cellStyle name="Normal 5 2 3 2 2 2 6 2 4" xfId="32183"/>
    <cellStyle name="Normal 5 2 3 2 2 2 6 3" xfId="11084"/>
    <cellStyle name="Normal 5 2 3 2 2 2 6 4" xfId="19526"/>
    <cellStyle name="Normal 5 2 3 2 2 2 6 5" xfId="27966"/>
    <cellStyle name="Normal 5 2 3 2 2 2 7" xfId="4801"/>
    <cellStyle name="Normal 5 2 3 2 2 2 7 2" xfId="13237"/>
    <cellStyle name="Normal 5 2 3 2 2 2 7 3" xfId="21678"/>
    <cellStyle name="Normal 5 2 3 2 2 2 7 4" xfId="30118"/>
    <cellStyle name="Normal 5 2 3 2 2 2 8" xfId="9019"/>
    <cellStyle name="Normal 5 2 3 2 2 2 9" xfId="17461"/>
    <cellStyle name="Normal 5 2 3 2 2 3" xfId="900"/>
    <cellStyle name="Normal 5 2 3 2 2 3 2" xfId="3135"/>
    <cellStyle name="Normal 5 2 3 2 2 3 2 2" xfId="7358"/>
    <cellStyle name="Normal 5 2 3 2 2 3 2 2 2" xfId="15794"/>
    <cellStyle name="Normal 5 2 3 2 2 3 2 2 3" xfId="24235"/>
    <cellStyle name="Normal 5 2 3 2 2 3 2 2 4" xfId="32675"/>
    <cellStyle name="Normal 5 2 3 2 2 3 2 3" xfId="11576"/>
    <cellStyle name="Normal 5 2 3 2 2 3 2 4" xfId="20018"/>
    <cellStyle name="Normal 5 2 3 2 2 3 2 5" xfId="28458"/>
    <cellStyle name="Normal 5 2 3 2 2 3 3" xfId="5213"/>
    <cellStyle name="Normal 5 2 3 2 2 3 3 2" xfId="13649"/>
    <cellStyle name="Normal 5 2 3 2 2 3 3 3" xfId="22090"/>
    <cellStyle name="Normal 5 2 3 2 2 3 3 4" xfId="30530"/>
    <cellStyle name="Normal 5 2 3 2 2 3 4" xfId="9431"/>
    <cellStyle name="Normal 5 2 3 2 2 3 5" xfId="17873"/>
    <cellStyle name="Normal 5 2 3 2 2 3 6" xfId="26313"/>
    <cellStyle name="Normal 5 2 3 2 2 4" xfId="1318"/>
    <cellStyle name="Normal 5 2 3 2 2 4 2" xfId="3548"/>
    <cellStyle name="Normal 5 2 3 2 2 4 2 2" xfId="7771"/>
    <cellStyle name="Normal 5 2 3 2 2 4 2 2 2" xfId="16207"/>
    <cellStyle name="Normal 5 2 3 2 2 4 2 2 3" xfId="24648"/>
    <cellStyle name="Normal 5 2 3 2 2 4 2 2 4" xfId="33088"/>
    <cellStyle name="Normal 5 2 3 2 2 4 2 3" xfId="11989"/>
    <cellStyle name="Normal 5 2 3 2 2 4 2 4" xfId="20431"/>
    <cellStyle name="Normal 5 2 3 2 2 4 2 5" xfId="28871"/>
    <cellStyle name="Normal 5 2 3 2 2 4 3" xfId="5626"/>
    <cellStyle name="Normal 5 2 3 2 2 4 3 2" xfId="14062"/>
    <cellStyle name="Normal 5 2 3 2 2 4 3 3" xfId="22503"/>
    <cellStyle name="Normal 5 2 3 2 2 4 3 4" xfId="30943"/>
    <cellStyle name="Normal 5 2 3 2 2 4 4" xfId="9844"/>
    <cellStyle name="Normal 5 2 3 2 2 4 5" xfId="18286"/>
    <cellStyle name="Normal 5 2 3 2 2 4 6" xfId="26726"/>
    <cellStyle name="Normal 5 2 3 2 2 5" xfId="1731"/>
    <cellStyle name="Normal 5 2 3 2 2 5 2" xfId="3961"/>
    <cellStyle name="Normal 5 2 3 2 2 5 2 2" xfId="8184"/>
    <cellStyle name="Normal 5 2 3 2 2 5 2 2 2" xfId="16620"/>
    <cellStyle name="Normal 5 2 3 2 2 5 2 2 3" xfId="25061"/>
    <cellStyle name="Normal 5 2 3 2 2 5 2 2 4" xfId="33501"/>
    <cellStyle name="Normal 5 2 3 2 2 5 2 3" xfId="12402"/>
    <cellStyle name="Normal 5 2 3 2 2 5 2 4" xfId="20844"/>
    <cellStyle name="Normal 5 2 3 2 2 5 2 5" xfId="29284"/>
    <cellStyle name="Normal 5 2 3 2 2 5 3" xfId="6039"/>
    <cellStyle name="Normal 5 2 3 2 2 5 3 2" xfId="14475"/>
    <cellStyle name="Normal 5 2 3 2 2 5 3 3" xfId="22916"/>
    <cellStyle name="Normal 5 2 3 2 2 5 3 4" xfId="31356"/>
    <cellStyle name="Normal 5 2 3 2 2 5 4" xfId="10257"/>
    <cellStyle name="Normal 5 2 3 2 2 5 5" xfId="18699"/>
    <cellStyle name="Normal 5 2 3 2 2 5 6" xfId="27139"/>
    <cellStyle name="Normal 5 2 3 2 2 6" xfId="2145"/>
    <cellStyle name="Normal 5 2 3 2 2 6 2" xfId="4374"/>
    <cellStyle name="Normal 5 2 3 2 2 6 2 2" xfId="8597"/>
    <cellStyle name="Normal 5 2 3 2 2 6 2 2 2" xfId="17033"/>
    <cellStyle name="Normal 5 2 3 2 2 6 2 2 3" xfId="25474"/>
    <cellStyle name="Normal 5 2 3 2 2 6 2 2 4" xfId="33914"/>
    <cellStyle name="Normal 5 2 3 2 2 6 2 3" xfId="12815"/>
    <cellStyle name="Normal 5 2 3 2 2 6 2 4" xfId="21257"/>
    <cellStyle name="Normal 5 2 3 2 2 6 2 5" xfId="29697"/>
    <cellStyle name="Normal 5 2 3 2 2 6 3" xfId="6452"/>
    <cellStyle name="Normal 5 2 3 2 2 6 3 2" xfId="14888"/>
    <cellStyle name="Normal 5 2 3 2 2 6 3 3" xfId="23329"/>
    <cellStyle name="Normal 5 2 3 2 2 6 3 4" xfId="31769"/>
    <cellStyle name="Normal 5 2 3 2 2 6 4" xfId="10670"/>
    <cellStyle name="Normal 5 2 3 2 2 6 5" xfId="19112"/>
    <cellStyle name="Normal 5 2 3 2 2 6 6" xfId="27552"/>
    <cellStyle name="Normal 5 2 3 2 2 7" xfId="2581"/>
    <cellStyle name="Normal 5 2 3 2 2 7 2" xfId="6865"/>
    <cellStyle name="Normal 5 2 3 2 2 7 2 2" xfId="15301"/>
    <cellStyle name="Normal 5 2 3 2 2 7 2 3" xfId="23742"/>
    <cellStyle name="Normal 5 2 3 2 2 7 2 4" xfId="32182"/>
    <cellStyle name="Normal 5 2 3 2 2 7 3" xfId="11083"/>
    <cellStyle name="Normal 5 2 3 2 2 7 4" xfId="19525"/>
    <cellStyle name="Normal 5 2 3 2 2 7 5" xfId="27965"/>
    <cellStyle name="Normal 5 2 3 2 2 8" xfId="4800"/>
    <cellStyle name="Normal 5 2 3 2 2 8 2" xfId="13236"/>
    <cellStyle name="Normal 5 2 3 2 2 8 3" xfId="21677"/>
    <cellStyle name="Normal 5 2 3 2 2 8 4" xfId="30117"/>
    <cellStyle name="Normal 5 2 3 2 2 9" xfId="9018"/>
    <cellStyle name="Normal 5 2 3 2 3" xfId="428"/>
    <cellStyle name="Normal 5 2 3 2 3 10" xfId="25902"/>
    <cellStyle name="Normal 5 2 3 2 3 2" xfId="902"/>
    <cellStyle name="Normal 5 2 3 2 3 2 2" xfId="3137"/>
    <cellStyle name="Normal 5 2 3 2 3 2 2 2" xfId="7360"/>
    <cellStyle name="Normal 5 2 3 2 3 2 2 2 2" xfId="15796"/>
    <cellStyle name="Normal 5 2 3 2 3 2 2 2 3" xfId="24237"/>
    <cellStyle name="Normal 5 2 3 2 3 2 2 2 4" xfId="32677"/>
    <cellStyle name="Normal 5 2 3 2 3 2 2 3" xfId="11578"/>
    <cellStyle name="Normal 5 2 3 2 3 2 2 4" xfId="20020"/>
    <cellStyle name="Normal 5 2 3 2 3 2 2 5" xfId="28460"/>
    <cellStyle name="Normal 5 2 3 2 3 2 3" xfId="5215"/>
    <cellStyle name="Normal 5 2 3 2 3 2 3 2" xfId="13651"/>
    <cellStyle name="Normal 5 2 3 2 3 2 3 3" xfId="22092"/>
    <cellStyle name="Normal 5 2 3 2 3 2 3 4" xfId="30532"/>
    <cellStyle name="Normal 5 2 3 2 3 2 4" xfId="9433"/>
    <cellStyle name="Normal 5 2 3 2 3 2 5" xfId="17875"/>
    <cellStyle name="Normal 5 2 3 2 3 2 6" xfId="26315"/>
    <cellStyle name="Normal 5 2 3 2 3 3" xfId="1320"/>
    <cellStyle name="Normal 5 2 3 2 3 3 2" xfId="3550"/>
    <cellStyle name="Normal 5 2 3 2 3 3 2 2" xfId="7773"/>
    <cellStyle name="Normal 5 2 3 2 3 3 2 2 2" xfId="16209"/>
    <cellStyle name="Normal 5 2 3 2 3 3 2 2 3" xfId="24650"/>
    <cellStyle name="Normal 5 2 3 2 3 3 2 2 4" xfId="33090"/>
    <cellStyle name="Normal 5 2 3 2 3 3 2 3" xfId="11991"/>
    <cellStyle name="Normal 5 2 3 2 3 3 2 4" xfId="20433"/>
    <cellStyle name="Normal 5 2 3 2 3 3 2 5" xfId="28873"/>
    <cellStyle name="Normal 5 2 3 2 3 3 3" xfId="5628"/>
    <cellStyle name="Normal 5 2 3 2 3 3 3 2" xfId="14064"/>
    <cellStyle name="Normal 5 2 3 2 3 3 3 3" xfId="22505"/>
    <cellStyle name="Normal 5 2 3 2 3 3 3 4" xfId="30945"/>
    <cellStyle name="Normal 5 2 3 2 3 3 4" xfId="9846"/>
    <cellStyle name="Normal 5 2 3 2 3 3 5" xfId="18288"/>
    <cellStyle name="Normal 5 2 3 2 3 3 6" xfId="26728"/>
    <cellStyle name="Normal 5 2 3 2 3 4" xfId="1733"/>
    <cellStyle name="Normal 5 2 3 2 3 4 2" xfId="3963"/>
    <cellStyle name="Normal 5 2 3 2 3 4 2 2" xfId="8186"/>
    <cellStyle name="Normal 5 2 3 2 3 4 2 2 2" xfId="16622"/>
    <cellStyle name="Normal 5 2 3 2 3 4 2 2 3" xfId="25063"/>
    <cellStyle name="Normal 5 2 3 2 3 4 2 2 4" xfId="33503"/>
    <cellStyle name="Normal 5 2 3 2 3 4 2 3" xfId="12404"/>
    <cellStyle name="Normal 5 2 3 2 3 4 2 4" xfId="20846"/>
    <cellStyle name="Normal 5 2 3 2 3 4 2 5" xfId="29286"/>
    <cellStyle name="Normal 5 2 3 2 3 4 3" xfId="6041"/>
    <cellStyle name="Normal 5 2 3 2 3 4 3 2" xfId="14477"/>
    <cellStyle name="Normal 5 2 3 2 3 4 3 3" xfId="22918"/>
    <cellStyle name="Normal 5 2 3 2 3 4 3 4" xfId="31358"/>
    <cellStyle name="Normal 5 2 3 2 3 4 4" xfId="10259"/>
    <cellStyle name="Normal 5 2 3 2 3 4 5" xfId="18701"/>
    <cellStyle name="Normal 5 2 3 2 3 4 6" xfId="27141"/>
    <cellStyle name="Normal 5 2 3 2 3 5" xfId="2147"/>
    <cellStyle name="Normal 5 2 3 2 3 5 2" xfId="4376"/>
    <cellStyle name="Normal 5 2 3 2 3 5 2 2" xfId="8599"/>
    <cellStyle name="Normal 5 2 3 2 3 5 2 2 2" xfId="17035"/>
    <cellStyle name="Normal 5 2 3 2 3 5 2 2 3" xfId="25476"/>
    <cellStyle name="Normal 5 2 3 2 3 5 2 2 4" xfId="33916"/>
    <cellStyle name="Normal 5 2 3 2 3 5 2 3" xfId="12817"/>
    <cellStyle name="Normal 5 2 3 2 3 5 2 4" xfId="21259"/>
    <cellStyle name="Normal 5 2 3 2 3 5 2 5" xfId="29699"/>
    <cellStyle name="Normal 5 2 3 2 3 5 3" xfId="6454"/>
    <cellStyle name="Normal 5 2 3 2 3 5 3 2" xfId="14890"/>
    <cellStyle name="Normal 5 2 3 2 3 5 3 3" xfId="23331"/>
    <cellStyle name="Normal 5 2 3 2 3 5 3 4" xfId="31771"/>
    <cellStyle name="Normal 5 2 3 2 3 5 4" xfId="10672"/>
    <cellStyle name="Normal 5 2 3 2 3 5 5" xfId="19114"/>
    <cellStyle name="Normal 5 2 3 2 3 5 6" xfId="27554"/>
    <cellStyle name="Normal 5 2 3 2 3 6" xfId="2583"/>
    <cellStyle name="Normal 5 2 3 2 3 6 2" xfId="6867"/>
    <cellStyle name="Normal 5 2 3 2 3 6 2 2" xfId="15303"/>
    <cellStyle name="Normal 5 2 3 2 3 6 2 3" xfId="23744"/>
    <cellStyle name="Normal 5 2 3 2 3 6 2 4" xfId="32184"/>
    <cellStyle name="Normal 5 2 3 2 3 6 3" xfId="11085"/>
    <cellStyle name="Normal 5 2 3 2 3 6 4" xfId="19527"/>
    <cellStyle name="Normal 5 2 3 2 3 6 5" xfId="27967"/>
    <cellStyle name="Normal 5 2 3 2 3 7" xfId="4802"/>
    <cellStyle name="Normal 5 2 3 2 3 7 2" xfId="13238"/>
    <cellStyle name="Normal 5 2 3 2 3 7 3" xfId="21679"/>
    <cellStyle name="Normal 5 2 3 2 3 7 4" xfId="30119"/>
    <cellStyle name="Normal 5 2 3 2 3 8" xfId="9020"/>
    <cellStyle name="Normal 5 2 3 2 3 9" xfId="17462"/>
    <cellStyle name="Normal 5 2 3 2 4" xfId="899"/>
    <cellStyle name="Normal 5 2 3 2 4 2" xfId="3134"/>
    <cellStyle name="Normal 5 2 3 2 4 2 2" xfId="7357"/>
    <cellStyle name="Normal 5 2 3 2 4 2 2 2" xfId="15793"/>
    <cellStyle name="Normal 5 2 3 2 4 2 2 3" xfId="24234"/>
    <cellStyle name="Normal 5 2 3 2 4 2 2 4" xfId="32674"/>
    <cellStyle name="Normal 5 2 3 2 4 2 3" xfId="11575"/>
    <cellStyle name="Normal 5 2 3 2 4 2 4" xfId="20017"/>
    <cellStyle name="Normal 5 2 3 2 4 2 5" xfId="28457"/>
    <cellStyle name="Normal 5 2 3 2 4 3" xfId="5212"/>
    <cellStyle name="Normal 5 2 3 2 4 3 2" xfId="13648"/>
    <cellStyle name="Normal 5 2 3 2 4 3 3" xfId="22089"/>
    <cellStyle name="Normal 5 2 3 2 4 3 4" xfId="30529"/>
    <cellStyle name="Normal 5 2 3 2 4 4" xfId="9430"/>
    <cellStyle name="Normal 5 2 3 2 4 5" xfId="17872"/>
    <cellStyle name="Normal 5 2 3 2 4 6" xfId="26312"/>
    <cellStyle name="Normal 5 2 3 2 5" xfId="1317"/>
    <cellStyle name="Normal 5 2 3 2 5 2" xfId="3547"/>
    <cellStyle name="Normal 5 2 3 2 5 2 2" xfId="7770"/>
    <cellStyle name="Normal 5 2 3 2 5 2 2 2" xfId="16206"/>
    <cellStyle name="Normal 5 2 3 2 5 2 2 3" xfId="24647"/>
    <cellStyle name="Normal 5 2 3 2 5 2 2 4" xfId="33087"/>
    <cellStyle name="Normal 5 2 3 2 5 2 3" xfId="11988"/>
    <cellStyle name="Normal 5 2 3 2 5 2 4" xfId="20430"/>
    <cellStyle name="Normal 5 2 3 2 5 2 5" xfId="28870"/>
    <cellStyle name="Normal 5 2 3 2 5 3" xfId="5625"/>
    <cellStyle name="Normal 5 2 3 2 5 3 2" xfId="14061"/>
    <cellStyle name="Normal 5 2 3 2 5 3 3" xfId="22502"/>
    <cellStyle name="Normal 5 2 3 2 5 3 4" xfId="30942"/>
    <cellStyle name="Normal 5 2 3 2 5 4" xfId="9843"/>
    <cellStyle name="Normal 5 2 3 2 5 5" xfId="18285"/>
    <cellStyle name="Normal 5 2 3 2 5 6" xfId="26725"/>
    <cellStyle name="Normal 5 2 3 2 6" xfId="1730"/>
    <cellStyle name="Normal 5 2 3 2 6 2" xfId="3960"/>
    <cellStyle name="Normal 5 2 3 2 6 2 2" xfId="8183"/>
    <cellStyle name="Normal 5 2 3 2 6 2 2 2" xfId="16619"/>
    <cellStyle name="Normal 5 2 3 2 6 2 2 3" xfId="25060"/>
    <cellStyle name="Normal 5 2 3 2 6 2 2 4" xfId="33500"/>
    <cellStyle name="Normal 5 2 3 2 6 2 3" xfId="12401"/>
    <cellStyle name="Normal 5 2 3 2 6 2 4" xfId="20843"/>
    <cellStyle name="Normal 5 2 3 2 6 2 5" xfId="29283"/>
    <cellStyle name="Normal 5 2 3 2 6 3" xfId="6038"/>
    <cellStyle name="Normal 5 2 3 2 6 3 2" xfId="14474"/>
    <cellStyle name="Normal 5 2 3 2 6 3 3" xfId="22915"/>
    <cellStyle name="Normal 5 2 3 2 6 3 4" xfId="31355"/>
    <cellStyle name="Normal 5 2 3 2 6 4" xfId="10256"/>
    <cellStyle name="Normal 5 2 3 2 6 5" xfId="18698"/>
    <cellStyle name="Normal 5 2 3 2 6 6" xfId="27138"/>
    <cellStyle name="Normal 5 2 3 2 7" xfId="2144"/>
    <cellStyle name="Normal 5 2 3 2 7 2" xfId="4373"/>
    <cellStyle name="Normal 5 2 3 2 7 2 2" xfId="8596"/>
    <cellStyle name="Normal 5 2 3 2 7 2 2 2" xfId="17032"/>
    <cellStyle name="Normal 5 2 3 2 7 2 2 3" xfId="25473"/>
    <cellStyle name="Normal 5 2 3 2 7 2 2 4" xfId="33913"/>
    <cellStyle name="Normal 5 2 3 2 7 2 3" xfId="12814"/>
    <cellStyle name="Normal 5 2 3 2 7 2 4" xfId="21256"/>
    <cellStyle name="Normal 5 2 3 2 7 2 5" xfId="29696"/>
    <cellStyle name="Normal 5 2 3 2 7 3" xfId="6451"/>
    <cellStyle name="Normal 5 2 3 2 7 3 2" xfId="14887"/>
    <cellStyle name="Normal 5 2 3 2 7 3 3" xfId="23328"/>
    <cellStyle name="Normal 5 2 3 2 7 3 4" xfId="31768"/>
    <cellStyle name="Normal 5 2 3 2 7 4" xfId="10669"/>
    <cellStyle name="Normal 5 2 3 2 7 5" xfId="19111"/>
    <cellStyle name="Normal 5 2 3 2 7 6" xfId="27551"/>
    <cellStyle name="Normal 5 2 3 2 8" xfId="2580"/>
    <cellStyle name="Normal 5 2 3 2 8 2" xfId="6864"/>
    <cellStyle name="Normal 5 2 3 2 8 2 2" xfId="15300"/>
    <cellStyle name="Normal 5 2 3 2 8 2 3" xfId="23741"/>
    <cellStyle name="Normal 5 2 3 2 8 2 4" xfId="32181"/>
    <cellStyle name="Normal 5 2 3 2 8 3" xfId="11082"/>
    <cellStyle name="Normal 5 2 3 2 8 4" xfId="19524"/>
    <cellStyle name="Normal 5 2 3 2 8 5" xfId="27964"/>
    <cellStyle name="Normal 5 2 3 2 9" xfId="4799"/>
    <cellStyle name="Normal 5 2 3 2 9 2" xfId="13235"/>
    <cellStyle name="Normal 5 2 3 2 9 3" xfId="21676"/>
    <cellStyle name="Normal 5 2 3 2 9 4" xfId="30116"/>
    <cellStyle name="Normal 5 2 3 3" xfId="429"/>
    <cellStyle name="Normal 5 2 3 3 10" xfId="17463"/>
    <cellStyle name="Normal 5 2 3 3 11" xfId="25903"/>
    <cellStyle name="Normal 5 2 3 3 2" xfId="430"/>
    <cellStyle name="Normal 5 2 3 3 2 10" xfId="25904"/>
    <cellStyle name="Normal 5 2 3 3 2 2" xfId="904"/>
    <cellStyle name="Normal 5 2 3 3 2 2 2" xfId="3139"/>
    <cellStyle name="Normal 5 2 3 3 2 2 2 2" xfId="7362"/>
    <cellStyle name="Normal 5 2 3 3 2 2 2 2 2" xfId="15798"/>
    <cellStyle name="Normal 5 2 3 3 2 2 2 2 3" xfId="24239"/>
    <cellStyle name="Normal 5 2 3 3 2 2 2 2 4" xfId="32679"/>
    <cellStyle name="Normal 5 2 3 3 2 2 2 3" xfId="11580"/>
    <cellStyle name="Normal 5 2 3 3 2 2 2 4" xfId="20022"/>
    <cellStyle name="Normal 5 2 3 3 2 2 2 5" xfId="28462"/>
    <cellStyle name="Normal 5 2 3 3 2 2 3" xfId="5217"/>
    <cellStyle name="Normal 5 2 3 3 2 2 3 2" xfId="13653"/>
    <cellStyle name="Normal 5 2 3 3 2 2 3 3" xfId="22094"/>
    <cellStyle name="Normal 5 2 3 3 2 2 3 4" xfId="30534"/>
    <cellStyle name="Normal 5 2 3 3 2 2 4" xfId="9435"/>
    <cellStyle name="Normal 5 2 3 3 2 2 5" xfId="17877"/>
    <cellStyle name="Normal 5 2 3 3 2 2 6" xfId="26317"/>
    <cellStyle name="Normal 5 2 3 3 2 3" xfId="1322"/>
    <cellStyle name="Normal 5 2 3 3 2 3 2" xfId="3552"/>
    <cellStyle name="Normal 5 2 3 3 2 3 2 2" xfId="7775"/>
    <cellStyle name="Normal 5 2 3 3 2 3 2 2 2" xfId="16211"/>
    <cellStyle name="Normal 5 2 3 3 2 3 2 2 3" xfId="24652"/>
    <cellStyle name="Normal 5 2 3 3 2 3 2 2 4" xfId="33092"/>
    <cellStyle name="Normal 5 2 3 3 2 3 2 3" xfId="11993"/>
    <cellStyle name="Normal 5 2 3 3 2 3 2 4" xfId="20435"/>
    <cellStyle name="Normal 5 2 3 3 2 3 2 5" xfId="28875"/>
    <cellStyle name="Normal 5 2 3 3 2 3 3" xfId="5630"/>
    <cellStyle name="Normal 5 2 3 3 2 3 3 2" xfId="14066"/>
    <cellStyle name="Normal 5 2 3 3 2 3 3 3" xfId="22507"/>
    <cellStyle name="Normal 5 2 3 3 2 3 3 4" xfId="30947"/>
    <cellStyle name="Normal 5 2 3 3 2 3 4" xfId="9848"/>
    <cellStyle name="Normal 5 2 3 3 2 3 5" xfId="18290"/>
    <cellStyle name="Normal 5 2 3 3 2 3 6" xfId="26730"/>
    <cellStyle name="Normal 5 2 3 3 2 4" xfId="1735"/>
    <cellStyle name="Normal 5 2 3 3 2 4 2" xfId="3965"/>
    <cellStyle name="Normal 5 2 3 3 2 4 2 2" xfId="8188"/>
    <cellStyle name="Normal 5 2 3 3 2 4 2 2 2" xfId="16624"/>
    <cellStyle name="Normal 5 2 3 3 2 4 2 2 3" xfId="25065"/>
    <cellStyle name="Normal 5 2 3 3 2 4 2 2 4" xfId="33505"/>
    <cellStyle name="Normal 5 2 3 3 2 4 2 3" xfId="12406"/>
    <cellStyle name="Normal 5 2 3 3 2 4 2 4" xfId="20848"/>
    <cellStyle name="Normal 5 2 3 3 2 4 2 5" xfId="29288"/>
    <cellStyle name="Normal 5 2 3 3 2 4 3" xfId="6043"/>
    <cellStyle name="Normal 5 2 3 3 2 4 3 2" xfId="14479"/>
    <cellStyle name="Normal 5 2 3 3 2 4 3 3" xfId="22920"/>
    <cellStyle name="Normal 5 2 3 3 2 4 3 4" xfId="31360"/>
    <cellStyle name="Normal 5 2 3 3 2 4 4" xfId="10261"/>
    <cellStyle name="Normal 5 2 3 3 2 4 5" xfId="18703"/>
    <cellStyle name="Normal 5 2 3 3 2 4 6" xfId="27143"/>
    <cellStyle name="Normal 5 2 3 3 2 5" xfId="2149"/>
    <cellStyle name="Normal 5 2 3 3 2 5 2" xfId="4378"/>
    <cellStyle name="Normal 5 2 3 3 2 5 2 2" xfId="8601"/>
    <cellStyle name="Normal 5 2 3 3 2 5 2 2 2" xfId="17037"/>
    <cellStyle name="Normal 5 2 3 3 2 5 2 2 3" xfId="25478"/>
    <cellStyle name="Normal 5 2 3 3 2 5 2 2 4" xfId="33918"/>
    <cellStyle name="Normal 5 2 3 3 2 5 2 3" xfId="12819"/>
    <cellStyle name="Normal 5 2 3 3 2 5 2 4" xfId="21261"/>
    <cellStyle name="Normal 5 2 3 3 2 5 2 5" xfId="29701"/>
    <cellStyle name="Normal 5 2 3 3 2 5 3" xfId="6456"/>
    <cellStyle name="Normal 5 2 3 3 2 5 3 2" xfId="14892"/>
    <cellStyle name="Normal 5 2 3 3 2 5 3 3" xfId="23333"/>
    <cellStyle name="Normal 5 2 3 3 2 5 3 4" xfId="31773"/>
    <cellStyle name="Normal 5 2 3 3 2 5 4" xfId="10674"/>
    <cellStyle name="Normal 5 2 3 3 2 5 5" xfId="19116"/>
    <cellStyle name="Normal 5 2 3 3 2 5 6" xfId="27556"/>
    <cellStyle name="Normal 5 2 3 3 2 6" xfId="2585"/>
    <cellStyle name="Normal 5 2 3 3 2 6 2" xfId="6869"/>
    <cellStyle name="Normal 5 2 3 3 2 6 2 2" xfId="15305"/>
    <cellStyle name="Normal 5 2 3 3 2 6 2 3" xfId="23746"/>
    <cellStyle name="Normal 5 2 3 3 2 6 2 4" xfId="32186"/>
    <cellStyle name="Normal 5 2 3 3 2 6 3" xfId="11087"/>
    <cellStyle name="Normal 5 2 3 3 2 6 4" xfId="19529"/>
    <cellStyle name="Normal 5 2 3 3 2 6 5" xfId="27969"/>
    <cellStyle name="Normal 5 2 3 3 2 7" xfId="4804"/>
    <cellStyle name="Normal 5 2 3 3 2 7 2" xfId="13240"/>
    <cellStyle name="Normal 5 2 3 3 2 7 3" xfId="21681"/>
    <cellStyle name="Normal 5 2 3 3 2 7 4" xfId="30121"/>
    <cellStyle name="Normal 5 2 3 3 2 8" xfId="9022"/>
    <cellStyle name="Normal 5 2 3 3 2 9" xfId="17464"/>
    <cellStyle name="Normal 5 2 3 3 3" xfId="903"/>
    <cellStyle name="Normal 5 2 3 3 3 2" xfId="3138"/>
    <cellStyle name="Normal 5 2 3 3 3 2 2" xfId="7361"/>
    <cellStyle name="Normal 5 2 3 3 3 2 2 2" xfId="15797"/>
    <cellStyle name="Normal 5 2 3 3 3 2 2 3" xfId="24238"/>
    <cellStyle name="Normal 5 2 3 3 3 2 2 4" xfId="32678"/>
    <cellStyle name="Normal 5 2 3 3 3 2 3" xfId="11579"/>
    <cellStyle name="Normal 5 2 3 3 3 2 4" xfId="20021"/>
    <cellStyle name="Normal 5 2 3 3 3 2 5" xfId="28461"/>
    <cellStyle name="Normal 5 2 3 3 3 3" xfId="5216"/>
    <cellStyle name="Normal 5 2 3 3 3 3 2" xfId="13652"/>
    <cellStyle name="Normal 5 2 3 3 3 3 3" xfId="22093"/>
    <cellStyle name="Normal 5 2 3 3 3 3 4" xfId="30533"/>
    <cellStyle name="Normal 5 2 3 3 3 4" xfId="9434"/>
    <cellStyle name="Normal 5 2 3 3 3 5" xfId="17876"/>
    <cellStyle name="Normal 5 2 3 3 3 6" xfId="26316"/>
    <cellStyle name="Normal 5 2 3 3 4" xfId="1321"/>
    <cellStyle name="Normal 5 2 3 3 4 2" xfId="3551"/>
    <cellStyle name="Normal 5 2 3 3 4 2 2" xfId="7774"/>
    <cellStyle name="Normal 5 2 3 3 4 2 2 2" xfId="16210"/>
    <cellStyle name="Normal 5 2 3 3 4 2 2 3" xfId="24651"/>
    <cellStyle name="Normal 5 2 3 3 4 2 2 4" xfId="33091"/>
    <cellStyle name="Normal 5 2 3 3 4 2 3" xfId="11992"/>
    <cellStyle name="Normal 5 2 3 3 4 2 4" xfId="20434"/>
    <cellStyle name="Normal 5 2 3 3 4 2 5" xfId="28874"/>
    <cellStyle name="Normal 5 2 3 3 4 3" xfId="5629"/>
    <cellStyle name="Normal 5 2 3 3 4 3 2" xfId="14065"/>
    <cellStyle name="Normal 5 2 3 3 4 3 3" xfId="22506"/>
    <cellStyle name="Normal 5 2 3 3 4 3 4" xfId="30946"/>
    <cellStyle name="Normal 5 2 3 3 4 4" xfId="9847"/>
    <cellStyle name="Normal 5 2 3 3 4 5" xfId="18289"/>
    <cellStyle name="Normal 5 2 3 3 4 6" xfId="26729"/>
    <cellStyle name="Normal 5 2 3 3 5" xfId="1734"/>
    <cellStyle name="Normal 5 2 3 3 5 2" xfId="3964"/>
    <cellStyle name="Normal 5 2 3 3 5 2 2" xfId="8187"/>
    <cellStyle name="Normal 5 2 3 3 5 2 2 2" xfId="16623"/>
    <cellStyle name="Normal 5 2 3 3 5 2 2 3" xfId="25064"/>
    <cellStyle name="Normal 5 2 3 3 5 2 2 4" xfId="33504"/>
    <cellStyle name="Normal 5 2 3 3 5 2 3" xfId="12405"/>
    <cellStyle name="Normal 5 2 3 3 5 2 4" xfId="20847"/>
    <cellStyle name="Normal 5 2 3 3 5 2 5" xfId="29287"/>
    <cellStyle name="Normal 5 2 3 3 5 3" xfId="6042"/>
    <cellStyle name="Normal 5 2 3 3 5 3 2" xfId="14478"/>
    <cellStyle name="Normal 5 2 3 3 5 3 3" xfId="22919"/>
    <cellStyle name="Normal 5 2 3 3 5 3 4" xfId="31359"/>
    <cellStyle name="Normal 5 2 3 3 5 4" xfId="10260"/>
    <cellStyle name="Normal 5 2 3 3 5 5" xfId="18702"/>
    <cellStyle name="Normal 5 2 3 3 5 6" xfId="27142"/>
    <cellStyle name="Normal 5 2 3 3 6" xfId="2148"/>
    <cellStyle name="Normal 5 2 3 3 6 2" xfId="4377"/>
    <cellStyle name="Normal 5 2 3 3 6 2 2" xfId="8600"/>
    <cellStyle name="Normal 5 2 3 3 6 2 2 2" xfId="17036"/>
    <cellStyle name="Normal 5 2 3 3 6 2 2 3" xfId="25477"/>
    <cellStyle name="Normal 5 2 3 3 6 2 2 4" xfId="33917"/>
    <cellStyle name="Normal 5 2 3 3 6 2 3" xfId="12818"/>
    <cellStyle name="Normal 5 2 3 3 6 2 4" xfId="21260"/>
    <cellStyle name="Normal 5 2 3 3 6 2 5" xfId="29700"/>
    <cellStyle name="Normal 5 2 3 3 6 3" xfId="6455"/>
    <cellStyle name="Normal 5 2 3 3 6 3 2" xfId="14891"/>
    <cellStyle name="Normal 5 2 3 3 6 3 3" xfId="23332"/>
    <cellStyle name="Normal 5 2 3 3 6 3 4" xfId="31772"/>
    <cellStyle name="Normal 5 2 3 3 6 4" xfId="10673"/>
    <cellStyle name="Normal 5 2 3 3 6 5" xfId="19115"/>
    <cellStyle name="Normal 5 2 3 3 6 6" xfId="27555"/>
    <cellStyle name="Normal 5 2 3 3 7" xfId="2584"/>
    <cellStyle name="Normal 5 2 3 3 7 2" xfId="6868"/>
    <cellStyle name="Normal 5 2 3 3 7 2 2" xfId="15304"/>
    <cellStyle name="Normal 5 2 3 3 7 2 3" xfId="23745"/>
    <cellStyle name="Normal 5 2 3 3 7 2 4" xfId="32185"/>
    <cellStyle name="Normal 5 2 3 3 7 3" xfId="11086"/>
    <cellStyle name="Normal 5 2 3 3 7 4" xfId="19528"/>
    <cellStyle name="Normal 5 2 3 3 7 5" xfId="27968"/>
    <cellStyle name="Normal 5 2 3 3 8" xfId="4803"/>
    <cellStyle name="Normal 5 2 3 3 8 2" xfId="13239"/>
    <cellStyle name="Normal 5 2 3 3 8 3" xfId="21680"/>
    <cellStyle name="Normal 5 2 3 3 8 4" xfId="30120"/>
    <cellStyle name="Normal 5 2 3 3 9" xfId="9021"/>
    <cellStyle name="Normal 5 2 3 4" xfId="431"/>
    <cellStyle name="Normal 5 2 3 4 10" xfId="25905"/>
    <cellStyle name="Normal 5 2 3 4 2" xfId="905"/>
    <cellStyle name="Normal 5 2 3 4 2 2" xfId="3140"/>
    <cellStyle name="Normal 5 2 3 4 2 2 2" xfId="7363"/>
    <cellStyle name="Normal 5 2 3 4 2 2 2 2" xfId="15799"/>
    <cellStyle name="Normal 5 2 3 4 2 2 2 3" xfId="24240"/>
    <cellStyle name="Normal 5 2 3 4 2 2 2 4" xfId="32680"/>
    <cellStyle name="Normal 5 2 3 4 2 2 3" xfId="11581"/>
    <cellStyle name="Normal 5 2 3 4 2 2 4" xfId="20023"/>
    <cellStyle name="Normal 5 2 3 4 2 2 5" xfId="28463"/>
    <cellStyle name="Normal 5 2 3 4 2 3" xfId="5218"/>
    <cellStyle name="Normal 5 2 3 4 2 3 2" xfId="13654"/>
    <cellStyle name="Normal 5 2 3 4 2 3 3" xfId="22095"/>
    <cellStyle name="Normal 5 2 3 4 2 3 4" xfId="30535"/>
    <cellStyle name="Normal 5 2 3 4 2 4" xfId="9436"/>
    <cellStyle name="Normal 5 2 3 4 2 5" xfId="17878"/>
    <cellStyle name="Normal 5 2 3 4 2 6" xfId="26318"/>
    <cellStyle name="Normal 5 2 3 4 3" xfId="1323"/>
    <cellStyle name="Normal 5 2 3 4 3 2" xfId="3553"/>
    <cellStyle name="Normal 5 2 3 4 3 2 2" xfId="7776"/>
    <cellStyle name="Normal 5 2 3 4 3 2 2 2" xfId="16212"/>
    <cellStyle name="Normal 5 2 3 4 3 2 2 3" xfId="24653"/>
    <cellStyle name="Normal 5 2 3 4 3 2 2 4" xfId="33093"/>
    <cellStyle name="Normal 5 2 3 4 3 2 3" xfId="11994"/>
    <cellStyle name="Normal 5 2 3 4 3 2 4" xfId="20436"/>
    <cellStyle name="Normal 5 2 3 4 3 2 5" xfId="28876"/>
    <cellStyle name="Normal 5 2 3 4 3 3" xfId="5631"/>
    <cellStyle name="Normal 5 2 3 4 3 3 2" xfId="14067"/>
    <cellStyle name="Normal 5 2 3 4 3 3 3" xfId="22508"/>
    <cellStyle name="Normal 5 2 3 4 3 3 4" xfId="30948"/>
    <cellStyle name="Normal 5 2 3 4 3 4" xfId="9849"/>
    <cellStyle name="Normal 5 2 3 4 3 5" xfId="18291"/>
    <cellStyle name="Normal 5 2 3 4 3 6" xfId="26731"/>
    <cellStyle name="Normal 5 2 3 4 4" xfId="1736"/>
    <cellStyle name="Normal 5 2 3 4 4 2" xfId="3966"/>
    <cellStyle name="Normal 5 2 3 4 4 2 2" xfId="8189"/>
    <cellStyle name="Normal 5 2 3 4 4 2 2 2" xfId="16625"/>
    <cellStyle name="Normal 5 2 3 4 4 2 2 3" xfId="25066"/>
    <cellStyle name="Normal 5 2 3 4 4 2 2 4" xfId="33506"/>
    <cellStyle name="Normal 5 2 3 4 4 2 3" xfId="12407"/>
    <cellStyle name="Normal 5 2 3 4 4 2 4" xfId="20849"/>
    <cellStyle name="Normal 5 2 3 4 4 2 5" xfId="29289"/>
    <cellStyle name="Normal 5 2 3 4 4 3" xfId="6044"/>
    <cellStyle name="Normal 5 2 3 4 4 3 2" xfId="14480"/>
    <cellStyle name="Normal 5 2 3 4 4 3 3" xfId="22921"/>
    <cellStyle name="Normal 5 2 3 4 4 3 4" xfId="31361"/>
    <cellStyle name="Normal 5 2 3 4 4 4" xfId="10262"/>
    <cellStyle name="Normal 5 2 3 4 4 5" xfId="18704"/>
    <cellStyle name="Normal 5 2 3 4 4 6" xfId="27144"/>
    <cellStyle name="Normal 5 2 3 4 5" xfId="2150"/>
    <cellStyle name="Normal 5 2 3 4 5 2" xfId="4379"/>
    <cellStyle name="Normal 5 2 3 4 5 2 2" xfId="8602"/>
    <cellStyle name="Normal 5 2 3 4 5 2 2 2" xfId="17038"/>
    <cellStyle name="Normal 5 2 3 4 5 2 2 3" xfId="25479"/>
    <cellStyle name="Normal 5 2 3 4 5 2 2 4" xfId="33919"/>
    <cellStyle name="Normal 5 2 3 4 5 2 3" xfId="12820"/>
    <cellStyle name="Normal 5 2 3 4 5 2 4" xfId="21262"/>
    <cellStyle name="Normal 5 2 3 4 5 2 5" xfId="29702"/>
    <cellStyle name="Normal 5 2 3 4 5 3" xfId="6457"/>
    <cellStyle name="Normal 5 2 3 4 5 3 2" xfId="14893"/>
    <cellStyle name="Normal 5 2 3 4 5 3 3" xfId="23334"/>
    <cellStyle name="Normal 5 2 3 4 5 3 4" xfId="31774"/>
    <cellStyle name="Normal 5 2 3 4 5 4" xfId="10675"/>
    <cellStyle name="Normal 5 2 3 4 5 5" xfId="19117"/>
    <cellStyle name="Normal 5 2 3 4 5 6" xfId="27557"/>
    <cellStyle name="Normal 5 2 3 4 6" xfId="2586"/>
    <cellStyle name="Normal 5 2 3 4 6 2" xfId="6870"/>
    <cellStyle name="Normal 5 2 3 4 6 2 2" xfId="15306"/>
    <cellStyle name="Normal 5 2 3 4 6 2 3" xfId="23747"/>
    <cellStyle name="Normal 5 2 3 4 6 2 4" xfId="32187"/>
    <cellStyle name="Normal 5 2 3 4 6 3" xfId="11088"/>
    <cellStyle name="Normal 5 2 3 4 6 4" xfId="19530"/>
    <cellStyle name="Normal 5 2 3 4 6 5" xfId="27970"/>
    <cellStyle name="Normal 5 2 3 4 7" xfId="4805"/>
    <cellStyle name="Normal 5 2 3 4 7 2" xfId="13241"/>
    <cellStyle name="Normal 5 2 3 4 7 3" xfId="21682"/>
    <cellStyle name="Normal 5 2 3 4 7 4" xfId="30122"/>
    <cellStyle name="Normal 5 2 3 4 8" xfId="9023"/>
    <cellStyle name="Normal 5 2 3 4 9" xfId="17465"/>
    <cellStyle name="Normal 5 2 3 5" xfId="898"/>
    <cellStyle name="Normal 5 2 3 5 2" xfId="3133"/>
    <cellStyle name="Normal 5 2 3 5 2 2" xfId="7356"/>
    <cellStyle name="Normal 5 2 3 5 2 2 2" xfId="15792"/>
    <cellStyle name="Normal 5 2 3 5 2 2 3" xfId="24233"/>
    <cellStyle name="Normal 5 2 3 5 2 2 4" xfId="32673"/>
    <cellStyle name="Normal 5 2 3 5 2 3" xfId="11574"/>
    <cellStyle name="Normal 5 2 3 5 2 4" xfId="20016"/>
    <cellStyle name="Normal 5 2 3 5 2 5" xfId="28456"/>
    <cellStyle name="Normal 5 2 3 5 3" xfId="5211"/>
    <cellStyle name="Normal 5 2 3 5 3 2" xfId="13647"/>
    <cellStyle name="Normal 5 2 3 5 3 3" xfId="22088"/>
    <cellStyle name="Normal 5 2 3 5 3 4" xfId="30528"/>
    <cellStyle name="Normal 5 2 3 5 4" xfId="9429"/>
    <cellStyle name="Normal 5 2 3 5 5" xfId="17871"/>
    <cellStyle name="Normal 5 2 3 5 6" xfId="26311"/>
    <cellStyle name="Normal 5 2 3 6" xfId="1316"/>
    <cellStyle name="Normal 5 2 3 6 2" xfId="3546"/>
    <cellStyle name="Normal 5 2 3 6 2 2" xfId="7769"/>
    <cellStyle name="Normal 5 2 3 6 2 2 2" xfId="16205"/>
    <cellStyle name="Normal 5 2 3 6 2 2 3" xfId="24646"/>
    <cellStyle name="Normal 5 2 3 6 2 2 4" xfId="33086"/>
    <cellStyle name="Normal 5 2 3 6 2 3" xfId="11987"/>
    <cellStyle name="Normal 5 2 3 6 2 4" xfId="20429"/>
    <cellStyle name="Normal 5 2 3 6 2 5" xfId="28869"/>
    <cellStyle name="Normal 5 2 3 6 3" xfId="5624"/>
    <cellStyle name="Normal 5 2 3 6 3 2" xfId="14060"/>
    <cellStyle name="Normal 5 2 3 6 3 3" xfId="22501"/>
    <cellStyle name="Normal 5 2 3 6 3 4" xfId="30941"/>
    <cellStyle name="Normal 5 2 3 6 4" xfId="9842"/>
    <cellStyle name="Normal 5 2 3 6 5" xfId="18284"/>
    <cellStyle name="Normal 5 2 3 6 6" xfId="26724"/>
    <cellStyle name="Normal 5 2 3 7" xfId="1729"/>
    <cellStyle name="Normal 5 2 3 7 2" xfId="3959"/>
    <cellStyle name="Normal 5 2 3 7 2 2" xfId="8182"/>
    <cellStyle name="Normal 5 2 3 7 2 2 2" xfId="16618"/>
    <cellStyle name="Normal 5 2 3 7 2 2 3" xfId="25059"/>
    <cellStyle name="Normal 5 2 3 7 2 2 4" xfId="33499"/>
    <cellStyle name="Normal 5 2 3 7 2 3" xfId="12400"/>
    <cellStyle name="Normal 5 2 3 7 2 4" xfId="20842"/>
    <cellStyle name="Normal 5 2 3 7 2 5" xfId="29282"/>
    <cellStyle name="Normal 5 2 3 7 3" xfId="6037"/>
    <cellStyle name="Normal 5 2 3 7 3 2" xfId="14473"/>
    <cellStyle name="Normal 5 2 3 7 3 3" xfId="22914"/>
    <cellStyle name="Normal 5 2 3 7 3 4" xfId="31354"/>
    <cellStyle name="Normal 5 2 3 7 4" xfId="10255"/>
    <cellStyle name="Normal 5 2 3 7 5" xfId="18697"/>
    <cellStyle name="Normal 5 2 3 7 6" xfId="27137"/>
    <cellStyle name="Normal 5 2 3 8" xfId="2143"/>
    <cellStyle name="Normal 5 2 3 8 2" xfId="4372"/>
    <cellStyle name="Normal 5 2 3 8 2 2" xfId="8595"/>
    <cellStyle name="Normal 5 2 3 8 2 2 2" xfId="17031"/>
    <cellStyle name="Normal 5 2 3 8 2 2 3" xfId="25472"/>
    <cellStyle name="Normal 5 2 3 8 2 2 4" xfId="33912"/>
    <cellStyle name="Normal 5 2 3 8 2 3" xfId="12813"/>
    <cellStyle name="Normal 5 2 3 8 2 4" xfId="21255"/>
    <cellStyle name="Normal 5 2 3 8 2 5" xfId="29695"/>
    <cellStyle name="Normal 5 2 3 8 3" xfId="6450"/>
    <cellStyle name="Normal 5 2 3 8 3 2" xfId="14886"/>
    <cellStyle name="Normal 5 2 3 8 3 3" xfId="23327"/>
    <cellStyle name="Normal 5 2 3 8 3 4" xfId="31767"/>
    <cellStyle name="Normal 5 2 3 8 4" xfId="10668"/>
    <cellStyle name="Normal 5 2 3 8 5" xfId="19110"/>
    <cellStyle name="Normal 5 2 3 8 6" xfId="27550"/>
    <cellStyle name="Normal 5 2 3 9" xfId="2579"/>
    <cellStyle name="Normal 5 2 3 9 2" xfId="6863"/>
    <cellStyle name="Normal 5 2 3 9 2 2" xfId="15299"/>
    <cellStyle name="Normal 5 2 3 9 2 3" xfId="23740"/>
    <cellStyle name="Normal 5 2 3 9 2 4" xfId="32180"/>
    <cellStyle name="Normal 5 2 3 9 3" xfId="11081"/>
    <cellStyle name="Normal 5 2 3 9 4" xfId="19523"/>
    <cellStyle name="Normal 5 2 3 9 5" xfId="27963"/>
    <cellStyle name="Normal 5 2 4" xfId="432"/>
    <cellStyle name="Normal 5 2 4 10" xfId="9024"/>
    <cellStyle name="Normal 5 2 4 11" xfId="17466"/>
    <cellStyle name="Normal 5 2 4 12" xfId="25906"/>
    <cellStyle name="Normal 5 2 4 2" xfId="433"/>
    <cellStyle name="Normal 5 2 4 2 10" xfId="17467"/>
    <cellStyle name="Normal 5 2 4 2 11" xfId="25907"/>
    <cellStyle name="Normal 5 2 4 2 2" xfId="434"/>
    <cellStyle name="Normal 5 2 4 2 2 10" xfId="25908"/>
    <cellStyle name="Normal 5 2 4 2 2 2" xfId="908"/>
    <cellStyle name="Normal 5 2 4 2 2 2 2" xfId="3143"/>
    <cellStyle name="Normal 5 2 4 2 2 2 2 2" xfId="7366"/>
    <cellStyle name="Normal 5 2 4 2 2 2 2 2 2" xfId="15802"/>
    <cellStyle name="Normal 5 2 4 2 2 2 2 2 3" xfId="24243"/>
    <cellStyle name="Normal 5 2 4 2 2 2 2 2 4" xfId="32683"/>
    <cellStyle name="Normal 5 2 4 2 2 2 2 3" xfId="11584"/>
    <cellStyle name="Normal 5 2 4 2 2 2 2 4" xfId="20026"/>
    <cellStyle name="Normal 5 2 4 2 2 2 2 5" xfId="28466"/>
    <cellStyle name="Normal 5 2 4 2 2 2 3" xfId="5221"/>
    <cellStyle name="Normal 5 2 4 2 2 2 3 2" xfId="13657"/>
    <cellStyle name="Normal 5 2 4 2 2 2 3 3" xfId="22098"/>
    <cellStyle name="Normal 5 2 4 2 2 2 3 4" xfId="30538"/>
    <cellStyle name="Normal 5 2 4 2 2 2 4" xfId="9439"/>
    <cellStyle name="Normal 5 2 4 2 2 2 5" xfId="17881"/>
    <cellStyle name="Normal 5 2 4 2 2 2 6" xfId="26321"/>
    <cellStyle name="Normal 5 2 4 2 2 3" xfId="1326"/>
    <cellStyle name="Normal 5 2 4 2 2 3 2" xfId="3556"/>
    <cellStyle name="Normal 5 2 4 2 2 3 2 2" xfId="7779"/>
    <cellStyle name="Normal 5 2 4 2 2 3 2 2 2" xfId="16215"/>
    <cellStyle name="Normal 5 2 4 2 2 3 2 2 3" xfId="24656"/>
    <cellStyle name="Normal 5 2 4 2 2 3 2 2 4" xfId="33096"/>
    <cellStyle name="Normal 5 2 4 2 2 3 2 3" xfId="11997"/>
    <cellStyle name="Normal 5 2 4 2 2 3 2 4" xfId="20439"/>
    <cellStyle name="Normal 5 2 4 2 2 3 2 5" xfId="28879"/>
    <cellStyle name="Normal 5 2 4 2 2 3 3" xfId="5634"/>
    <cellStyle name="Normal 5 2 4 2 2 3 3 2" xfId="14070"/>
    <cellStyle name="Normal 5 2 4 2 2 3 3 3" xfId="22511"/>
    <cellStyle name="Normal 5 2 4 2 2 3 3 4" xfId="30951"/>
    <cellStyle name="Normal 5 2 4 2 2 3 4" xfId="9852"/>
    <cellStyle name="Normal 5 2 4 2 2 3 5" xfId="18294"/>
    <cellStyle name="Normal 5 2 4 2 2 3 6" xfId="26734"/>
    <cellStyle name="Normal 5 2 4 2 2 4" xfId="1739"/>
    <cellStyle name="Normal 5 2 4 2 2 4 2" xfId="3969"/>
    <cellStyle name="Normal 5 2 4 2 2 4 2 2" xfId="8192"/>
    <cellStyle name="Normal 5 2 4 2 2 4 2 2 2" xfId="16628"/>
    <cellStyle name="Normal 5 2 4 2 2 4 2 2 3" xfId="25069"/>
    <cellStyle name="Normal 5 2 4 2 2 4 2 2 4" xfId="33509"/>
    <cellStyle name="Normal 5 2 4 2 2 4 2 3" xfId="12410"/>
    <cellStyle name="Normal 5 2 4 2 2 4 2 4" xfId="20852"/>
    <cellStyle name="Normal 5 2 4 2 2 4 2 5" xfId="29292"/>
    <cellStyle name="Normal 5 2 4 2 2 4 3" xfId="6047"/>
    <cellStyle name="Normal 5 2 4 2 2 4 3 2" xfId="14483"/>
    <cellStyle name="Normal 5 2 4 2 2 4 3 3" xfId="22924"/>
    <cellStyle name="Normal 5 2 4 2 2 4 3 4" xfId="31364"/>
    <cellStyle name="Normal 5 2 4 2 2 4 4" xfId="10265"/>
    <cellStyle name="Normal 5 2 4 2 2 4 5" xfId="18707"/>
    <cellStyle name="Normal 5 2 4 2 2 4 6" xfId="27147"/>
    <cellStyle name="Normal 5 2 4 2 2 5" xfId="2153"/>
    <cellStyle name="Normal 5 2 4 2 2 5 2" xfId="4382"/>
    <cellStyle name="Normal 5 2 4 2 2 5 2 2" xfId="8605"/>
    <cellStyle name="Normal 5 2 4 2 2 5 2 2 2" xfId="17041"/>
    <cellStyle name="Normal 5 2 4 2 2 5 2 2 3" xfId="25482"/>
    <cellStyle name="Normal 5 2 4 2 2 5 2 2 4" xfId="33922"/>
    <cellStyle name="Normal 5 2 4 2 2 5 2 3" xfId="12823"/>
    <cellStyle name="Normal 5 2 4 2 2 5 2 4" xfId="21265"/>
    <cellStyle name="Normal 5 2 4 2 2 5 2 5" xfId="29705"/>
    <cellStyle name="Normal 5 2 4 2 2 5 3" xfId="6460"/>
    <cellStyle name="Normal 5 2 4 2 2 5 3 2" xfId="14896"/>
    <cellStyle name="Normal 5 2 4 2 2 5 3 3" xfId="23337"/>
    <cellStyle name="Normal 5 2 4 2 2 5 3 4" xfId="31777"/>
    <cellStyle name="Normal 5 2 4 2 2 5 4" xfId="10678"/>
    <cellStyle name="Normal 5 2 4 2 2 5 5" xfId="19120"/>
    <cellStyle name="Normal 5 2 4 2 2 5 6" xfId="27560"/>
    <cellStyle name="Normal 5 2 4 2 2 6" xfId="2589"/>
    <cellStyle name="Normal 5 2 4 2 2 6 2" xfId="6873"/>
    <cellStyle name="Normal 5 2 4 2 2 6 2 2" xfId="15309"/>
    <cellStyle name="Normal 5 2 4 2 2 6 2 3" xfId="23750"/>
    <cellStyle name="Normal 5 2 4 2 2 6 2 4" xfId="32190"/>
    <cellStyle name="Normal 5 2 4 2 2 6 3" xfId="11091"/>
    <cellStyle name="Normal 5 2 4 2 2 6 4" xfId="19533"/>
    <cellStyle name="Normal 5 2 4 2 2 6 5" xfId="27973"/>
    <cellStyle name="Normal 5 2 4 2 2 7" xfId="4808"/>
    <cellStyle name="Normal 5 2 4 2 2 7 2" xfId="13244"/>
    <cellStyle name="Normal 5 2 4 2 2 7 3" xfId="21685"/>
    <cellStyle name="Normal 5 2 4 2 2 7 4" xfId="30125"/>
    <cellStyle name="Normal 5 2 4 2 2 8" xfId="9026"/>
    <cellStyle name="Normal 5 2 4 2 2 9" xfId="17468"/>
    <cellStyle name="Normal 5 2 4 2 3" xfId="907"/>
    <cellStyle name="Normal 5 2 4 2 3 2" xfId="3142"/>
    <cellStyle name="Normal 5 2 4 2 3 2 2" xfId="7365"/>
    <cellStyle name="Normal 5 2 4 2 3 2 2 2" xfId="15801"/>
    <cellStyle name="Normal 5 2 4 2 3 2 2 3" xfId="24242"/>
    <cellStyle name="Normal 5 2 4 2 3 2 2 4" xfId="32682"/>
    <cellStyle name="Normal 5 2 4 2 3 2 3" xfId="11583"/>
    <cellStyle name="Normal 5 2 4 2 3 2 4" xfId="20025"/>
    <cellStyle name="Normal 5 2 4 2 3 2 5" xfId="28465"/>
    <cellStyle name="Normal 5 2 4 2 3 3" xfId="5220"/>
    <cellStyle name="Normal 5 2 4 2 3 3 2" xfId="13656"/>
    <cellStyle name="Normal 5 2 4 2 3 3 3" xfId="22097"/>
    <cellStyle name="Normal 5 2 4 2 3 3 4" xfId="30537"/>
    <cellStyle name="Normal 5 2 4 2 3 4" xfId="9438"/>
    <cellStyle name="Normal 5 2 4 2 3 5" xfId="17880"/>
    <cellStyle name="Normal 5 2 4 2 3 6" xfId="26320"/>
    <cellStyle name="Normal 5 2 4 2 4" xfId="1325"/>
    <cellStyle name="Normal 5 2 4 2 4 2" xfId="3555"/>
    <cellStyle name="Normal 5 2 4 2 4 2 2" xfId="7778"/>
    <cellStyle name="Normal 5 2 4 2 4 2 2 2" xfId="16214"/>
    <cellStyle name="Normal 5 2 4 2 4 2 2 3" xfId="24655"/>
    <cellStyle name="Normal 5 2 4 2 4 2 2 4" xfId="33095"/>
    <cellStyle name="Normal 5 2 4 2 4 2 3" xfId="11996"/>
    <cellStyle name="Normal 5 2 4 2 4 2 4" xfId="20438"/>
    <cellStyle name="Normal 5 2 4 2 4 2 5" xfId="28878"/>
    <cellStyle name="Normal 5 2 4 2 4 3" xfId="5633"/>
    <cellStyle name="Normal 5 2 4 2 4 3 2" xfId="14069"/>
    <cellStyle name="Normal 5 2 4 2 4 3 3" xfId="22510"/>
    <cellStyle name="Normal 5 2 4 2 4 3 4" xfId="30950"/>
    <cellStyle name="Normal 5 2 4 2 4 4" xfId="9851"/>
    <cellStyle name="Normal 5 2 4 2 4 5" xfId="18293"/>
    <cellStyle name="Normal 5 2 4 2 4 6" xfId="26733"/>
    <cellStyle name="Normal 5 2 4 2 5" xfId="1738"/>
    <cellStyle name="Normal 5 2 4 2 5 2" xfId="3968"/>
    <cellStyle name="Normal 5 2 4 2 5 2 2" xfId="8191"/>
    <cellStyle name="Normal 5 2 4 2 5 2 2 2" xfId="16627"/>
    <cellStyle name="Normal 5 2 4 2 5 2 2 3" xfId="25068"/>
    <cellStyle name="Normal 5 2 4 2 5 2 2 4" xfId="33508"/>
    <cellStyle name="Normal 5 2 4 2 5 2 3" xfId="12409"/>
    <cellStyle name="Normal 5 2 4 2 5 2 4" xfId="20851"/>
    <cellStyle name="Normal 5 2 4 2 5 2 5" xfId="29291"/>
    <cellStyle name="Normal 5 2 4 2 5 3" xfId="6046"/>
    <cellStyle name="Normal 5 2 4 2 5 3 2" xfId="14482"/>
    <cellStyle name="Normal 5 2 4 2 5 3 3" xfId="22923"/>
    <cellStyle name="Normal 5 2 4 2 5 3 4" xfId="31363"/>
    <cellStyle name="Normal 5 2 4 2 5 4" xfId="10264"/>
    <cellStyle name="Normal 5 2 4 2 5 5" xfId="18706"/>
    <cellStyle name="Normal 5 2 4 2 5 6" xfId="27146"/>
    <cellStyle name="Normal 5 2 4 2 6" xfId="2152"/>
    <cellStyle name="Normal 5 2 4 2 6 2" xfId="4381"/>
    <cellStyle name="Normal 5 2 4 2 6 2 2" xfId="8604"/>
    <cellStyle name="Normal 5 2 4 2 6 2 2 2" xfId="17040"/>
    <cellStyle name="Normal 5 2 4 2 6 2 2 3" xfId="25481"/>
    <cellStyle name="Normal 5 2 4 2 6 2 2 4" xfId="33921"/>
    <cellStyle name="Normal 5 2 4 2 6 2 3" xfId="12822"/>
    <cellStyle name="Normal 5 2 4 2 6 2 4" xfId="21264"/>
    <cellStyle name="Normal 5 2 4 2 6 2 5" xfId="29704"/>
    <cellStyle name="Normal 5 2 4 2 6 3" xfId="6459"/>
    <cellStyle name="Normal 5 2 4 2 6 3 2" xfId="14895"/>
    <cellStyle name="Normal 5 2 4 2 6 3 3" xfId="23336"/>
    <cellStyle name="Normal 5 2 4 2 6 3 4" xfId="31776"/>
    <cellStyle name="Normal 5 2 4 2 6 4" xfId="10677"/>
    <cellStyle name="Normal 5 2 4 2 6 5" xfId="19119"/>
    <cellStyle name="Normal 5 2 4 2 6 6" xfId="27559"/>
    <cellStyle name="Normal 5 2 4 2 7" xfId="2588"/>
    <cellStyle name="Normal 5 2 4 2 7 2" xfId="6872"/>
    <cellStyle name="Normal 5 2 4 2 7 2 2" xfId="15308"/>
    <cellStyle name="Normal 5 2 4 2 7 2 3" xfId="23749"/>
    <cellStyle name="Normal 5 2 4 2 7 2 4" xfId="32189"/>
    <cellStyle name="Normal 5 2 4 2 7 3" xfId="11090"/>
    <cellStyle name="Normal 5 2 4 2 7 4" xfId="19532"/>
    <cellStyle name="Normal 5 2 4 2 7 5" xfId="27972"/>
    <cellStyle name="Normal 5 2 4 2 8" xfId="4807"/>
    <cellStyle name="Normal 5 2 4 2 8 2" xfId="13243"/>
    <cellStyle name="Normal 5 2 4 2 8 3" xfId="21684"/>
    <cellStyle name="Normal 5 2 4 2 8 4" xfId="30124"/>
    <cellStyle name="Normal 5 2 4 2 9" xfId="9025"/>
    <cellStyle name="Normal 5 2 4 3" xfId="435"/>
    <cellStyle name="Normal 5 2 4 3 10" xfId="25909"/>
    <cellStyle name="Normal 5 2 4 3 2" xfId="909"/>
    <cellStyle name="Normal 5 2 4 3 2 2" xfId="3144"/>
    <cellStyle name="Normal 5 2 4 3 2 2 2" xfId="7367"/>
    <cellStyle name="Normal 5 2 4 3 2 2 2 2" xfId="15803"/>
    <cellStyle name="Normal 5 2 4 3 2 2 2 3" xfId="24244"/>
    <cellStyle name="Normal 5 2 4 3 2 2 2 4" xfId="32684"/>
    <cellStyle name="Normal 5 2 4 3 2 2 3" xfId="11585"/>
    <cellStyle name="Normal 5 2 4 3 2 2 4" xfId="20027"/>
    <cellStyle name="Normal 5 2 4 3 2 2 5" xfId="28467"/>
    <cellStyle name="Normal 5 2 4 3 2 3" xfId="5222"/>
    <cellStyle name="Normal 5 2 4 3 2 3 2" xfId="13658"/>
    <cellStyle name="Normal 5 2 4 3 2 3 3" xfId="22099"/>
    <cellStyle name="Normal 5 2 4 3 2 3 4" xfId="30539"/>
    <cellStyle name="Normal 5 2 4 3 2 4" xfId="9440"/>
    <cellStyle name="Normal 5 2 4 3 2 5" xfId="17882"/>
    <cellStyle name="Normal 5 2 4 3 2 6" xfId="26322"/>
    <cellStyle name="Normal 5 2 4 3 3" xfId="1327"/>
    <cellStyle name="Normal 5 2 4 3 3 2" xfId="3557"/>
    <cellStyle name="Normal 5 2 4 3 3 2 2" xfId="7780"/>
    <cellStyle name="Normal 5 2 4 3 3 2 2 2" xfId="16216"/>
    <cellStyle name="Normal 5 2 4 3 3 2 2 3" xfId="24657"/>
    <cellStyle name="Normal 5 2 4 3 3 2 2 4" xfId="33097"/>
    <cellStyle name="Normal 5 2 4 3 3 2 3" xfId="11998"/>
    <cellStyle name="Normal 5 2 4 3 3 2 4" xfId="20440"/>
    <cellStyle name="Normal 5 2 4 3 3 2 5" xfId="28880"/>
    <cellStyle name="Normal 5 2 4 3 3 3" xfId="5635"/>
    <cellStyle name="Normal 5 2 4 3 3 3 2" xfId="14071"/>
    <cellStyle name="Normal 5 2 4 3 3 3 3" xfId="22512"/>
    <cellStyle name="Normal 5 2 4 3 3 3 4" xfId="30952"/>
    <cellStyle name="Normal 5 2 4 3 3 4" xfId="9853"/>
    <cellStyle name="Normal 5 2 4 3 3 5" xfId="18295"/>
    <cellStyle name="Normal 5 2 4 3 3 6" xfId="26735"/>
    <cellStyle name="Normal 5 2 4 3 4" xfId="1740"/>
    <cellStyle name="Normal 5 2 4 3 4 2" xfId="3970"/>
    <cellStyle name="Normal 5 2 4 3 4 2 2" xfId="8193"/>
    <cellStyle name="Normal 5 2 4 3 4 2 2 2" xfId="16629"/>
    <cellStyle name="Normal 5 2 4 3 4 2 2 3" xfId="25070"/>
    <cellStyle name="Normal 5 2 4 3 4 2 2 4" xfId="33510"/>
    <cellStyle name="Normal 5 2 4 3 4 2 3" xfId="12411"/>
    <cellStyle name="Normal 5 2 4 3 4 2 4" xfId="20853"/>
    <cellStyle name="Normal 5 2 4 3 4 2 5" xfId="29293"/>
    <cellStyle name="Normal 5 2 4 3 4 3" xfId="6048"/>
    <cellStyle name="Normal 5 2 4 3 4 3 2" xfId="14484"/>
    <cellStyle name="Normal 5 2 4 3 4 3 3" xfId="22925"/>
    <cellStyle name="Normal 5 2 4 3 4 3 4" xfId="31365"/>
    <cellStyle name="Normal 5 2 4 3 4 4" xfId="10266"/>
    <cellStyle name="Normal 5 2 4 3 4 5" xfId="18708"/>
    <cellStyle name="Normal 5 2 4 3 4 6" xfId="27148"/>
    <cellStyle name="Normal 5 2 4 3 5" xfId="2154"/>
    <cellStyle name="Normal 5 2 4 3 5 2" xfId="4383"/>
    <cellStyle name="Normal 5 2 4 3 5 2 2" xfId="8606"/>
    <cellStyle name="Normal 5 2 4 3 5 2 2 2" xfId="17042"/>
    <cellStyle name="Normal 5 2 4 3 5 2 2 3" xfId="25483"/>
    <cellStyle name="Normal 5 2 4 3 5 2 2 4" xfId="33923"/>
    <cellStyle name="Normal 5 2 4 3 5 2 3" xfId="12824"/>
    <cellStyle name="Normal 5 2 4 3 5 2 4" xfId="21266"/>
    <cellStyle name="Normal 5 2 4 3 5 2 5" xfId="29706"/>
    <cellStyle name="Normal 5 2 4 3 5 3" xfId="6461"/>
    <cellStyle name="Normal 5 2 4 3 5 3 2" xfId="14897"/>
    <cellStyle name="Normal 5 2 4 3 5 3 3" xfId="23338"/>
    <cellStyle name="Normal 5 2 4 3 5 3 4" xfId="31778"/>
    <cellStyle name="Normal 5 2 4 3 5 4" xfId="10679"/>
    <cellStyle name="Normal 5 2 4 3 5 5" xfId="19121"/>
    <cellStyle name="Normal 5 2 4 3 5 6" xfId="27561"/>
    <cellStyle name="Normal 5 2 4 3 6" xfId="2590"/>
    <cellStyle name="Normal 5 2 4 3 6 2" xfId="6874"/>
    <cellStyle name="Normal 5 2 4 3 6 2 2" xfId="15310"/>
    <cellStyle name="Normal 5 2 4 3 6 2 3" xfId="23751"/>
    <cellStyle name="Normal 5 2 4 3 6 2 4" xfId="32191"/>
    <cellStyle name="Normal 5 2 4 3 6 3" xfId="11092"/>
    <cellStyle name="Normal 5 2 4 3 6 4" xfId="19534"/>
    <cellStyle name="Normal 5 2 4 3 6 5" xfId="27974"/>
    <cellStyle name="Normal 5 2 4 3 7" xfId="4809"/>
    <cellStyle name="Normal 5 2 4 3 7 2" xfId="13245"/>
    <cellStyle name="Normal 5 2 4 3 7 3" xfId="21686"/>
    <cellStyle name="Normal 5 2 4 3 7 4" xfId="30126"/>
    <cellStyle name="Normal 5 2 4 3 8" xfId="9027"/>
    <cellStyle name="Normal 5 2 4 3 9" xfId="17469"/>
    <cellStyle name="Normal 5 2 4 4" xfId="906"/>
    <cellStyle name="Normal 5 2 4 4 2" xfId="3141"/>
    <cellStyle name="Normal 5 2 4 4 2 2" xfId="7364"/>
    <cellStyle name="Normal 5 2 4 4 2 2 2" xfId="15800"/>
    <cellStyle name="Normal 5 2 4 4 2 2 3" xfId="24241"/>
    <cellStyle name="Normal 5 2 4 4 2 2 4" xfId="32681"/>
    <cellStyle name="Normal 5 2 4 4 2 3" xfId="11582"/>
    <cellStyle name="Normal 5 2 4 4 2 4" xfId="20024"/>
    <cellStyle name="Normal 5 2 4 4 2 5" xfId="28464"/>
    <cellStyle name="Normal 5 2 4 4 3" xfId="5219"/>
    <cellStyle name="Normal 5 2 4 4 3 2" xfId="13655"/>
    <cellStyle name="Normal 5 2 4 4 3 3" xfId="22096"/>
    <cellStyle name="Normal 5 2 4 4 3 4" xfId="30536"/>
    <cellStyle name="Normal 5 2 4 4 4" xfId="9437"/>
    <cellStyle name="Normal 5 2 4 4 5" xfId="17879"/>
    <cellStyle name="Normal 5 2 4 4 6" xfId="26319"/>
    <cellStyle name="Normal 5 2 4 5" xfId="1324"/>
    <cellStyle name="Normal 5 2 4 5 2" xfId="3554"/>
    <cellStyle name="Normal 5 2 4 5 2 2" xfId="7777"/>
    <cellStyle name="Normal 5 2 4 5 2 2 2" xfId="16213"/>
    <cellStyle name="Normal 5 2 4 5 2 2 3" xfId="24654"/>
    <cellStyle name="Normal 5 2 4 5 2 2 4" xfId="33094"/>
    <cellStyle name="Normal 5 2 4 5 2 3" xfId="11995"/>
    <cellStyle name="Normal 5 2 4 5 2 4" xfId="20437"/>
    <cellStyle name="Normal 5 2 4 5 2 5" xfId="28877"/>
    <cellStyle name="Normal 5 2 4 5 3" xfId="5632"/>
    <cellStyle name="Normal 5 2 4 5 3 2" xfId="14068"/>
    <cellStyle name="Normal 5 2 4 5 3 3" xfId="22509"/>
    <cellStyle name="Normal 5 2 4 5 3 4" xfId="30949"/>
    <cellStyle name="Normal 5 2 4 5 4" xfId="9850"/>
    <cellStyle name="Normal 5 2 4 5 5" xfId="18292"/>
    <cellStyle name="Normal 5 2 4 5 6" xfId="26732"/>
    <cellStyle name="Normal 5 2 4 6" xfId="1737"/>
    <cellStyle name="Normal 5 2 4 6 2" xfId="3967"/>
    <cellStyle name="Normal 5 2 4 6 2 2" xfId="8190"/>
    <cellStyle name="Normal 5 2 4 6 2 2 2" xfId="16626"/>
    <cellStyle name="Normal 5 2 4 6 2 2 3" xfId="25067"/>
    <cellStyle name="Normal 5 2 4 6 2 2 4" xfId="33507"/>
    <cellStyle name="Normal 5 2 4 6 2 3" xfId="12408"/>
    <cellStyle name="Normal 5 2 4 6 2 4" xfId="20850"/>
    <cellStyle name="Normal 5 2 4 6 2 5" xfId="29290"/>
    <cellStyle name="Normal 5 2 4 6 3" xfId="6045"/>
    <cellStyle name="Normal 5 2 4 6 3 2" xfId="14481"/>
    <cellStyle name="Normal 5 2 4 6 3 3" xfId="22922"/>
    <cellStyle name="Normal 5 2 4 6 3 4" xfId="31362"/>
    <cellStyle name="Normal 5 2 4 6 4" xfId="10263"/>
    <cellStyle name="Normal 5 2 4 6 5" xfId="18705"/>
    <cellStyle name="Normal 5 2 4 6 6" xfId="27145"/>
    <cellStyle name="Normal 5 2 4 7" xfId="2151"/>
    <cellStyle name="Normal 5 2 4 7 2" xfId="4380"/>
    <cellStyle name="Normal 5 2 4 7 2 2" xfId="8603"/>
    <cellStyle name="Normal 5 2 4 7 2 2 2" xfId="17039"/>
    <cellStyle name="Normal 5 2 4 7 2 2 3" xfId="25480"/>
    <cellStyle name="Normal 5 2 4 7 2 2 4" xfId="33920"/>
    <cellStyle name="Normal 5 2 4 7 2 3" xfId="12821"/>
    <cellStyle name="Normal 5 2 4 7 2 4" xfId="21263"/>
    <cellStyle name="Normal 5 2 4 7 2 5" xfId="29703"/>
    <cellStyle name="Normal 5 2 4 7 3" xfId="6458"/>
    <cellStyle name="Normal 5 2 4 7 3 2" xfId="14894"/>
    <cellStyle name="Normal 5 2 4 7 3 3" xfId="23335"/>
    <cellStyle name="Normal 5 2 4 7 3 4" xfId="31775"/>
    <cellStyle name="Normal 5 2 4 7 4" xfId="10676"/>
    <cellStyle name="Normal 5 2 4 7 5" xfId="19118"/>
    <cellStyle name="Normal 5 2 4 7 6" xfId="27558"/>
    <cellStyle name="Normal 5 2 4 8" xfId="2587"/>
    <cellStyle name="Normal 5 2 4 8 2" xfId="6871"/>
    <cellStyle name="Normal 5 2 4 8 2 2" xfId="15307"/>
    <cellStyle name="Normal 5 2 4 8 2 3" xfId="23748"/>
    <cellStyle name="Normal 5 2 4 8 2 4" xfId="32188"/>
    <cellStyle name="Normal 5 2 4 8 3" xfId="11089"/>
    <cellStyle name="Normal 5 2 4 8 4" xfId="19531"/>
    <cellStyle name="Normal 5 2 4 8 5" xfId="27971"/>
    <cellStyle name="Normal 5 2 4 9" xfId="4806"/>
    <cellStyle name="Normal 5 2 4 9 2" xfId="13242"/>
    <cellStyle name="Normal 5 2 4 9 3" xfId="21683"/>
    <cellStyle name="Normal 5 2 4 9 4" xfId="30123"/>
    <cellStyle name="Normal 5 2 5" xfId="436"/>
    <cellStyle name="Normal 5 2 5 10" xfId="17470"/>
    <cellStyle name="Normal 5 2 5 11" xfId="25910"/>
    <cellStyle name="Normal 5 2 5 2" xfId="437"/>
    <cellStyle name="Normal 5 2 5 2 10" xfId="25911"/>
    <cellStyle name="Normal 5 2 5 2 2" xfId="911"/>
    <cellStyle name="Normal 5 2 5 2 2 2" xfId="3146"/>
    <cellStyle name="Normal 5 2 5 2 2 2 2" xfId="7369"/>
    <cellStyle name="Normal 5 2 5 2 2 2 2 2" xfId="15805"/>
    <cellStyle name="Normal 5 2 5 2 2 2 2 3" xfId="24246"/>
    <cellStyle name="Normal 5 2 5 2 2 2 2 4" xfId="32686"/>
    <cellStyle name="Normal 5 2 5 2 2 2 3" xfId="11587"/>
    <cellStyle name="Normal 5 2 5 2 2 2 4" xfId="20029"/>
    <cellStyle name="Normal 5 2 5 2 2 2 5" xfId="28469"/>
    <cellStyle name="Normal 5 2 5 2 2 3" xfId="5224"/>
    <cellStyle name="Normal 5 2 5 2 2 3 2" xfId="13660"/>
    <cellStyle name="Normal 5 2 5 2 2 3 3" xfId="22101"/>
    <cellStyle name="Normal 5 2 5 2 2 3 4" xfId="30541"/>
    <cellStyle name="Normal 5 2 5 2 2 4" xfId="9442"/>
    <cellStyle name="Normal 5 2 5 2 2 5" xfId="17884"/>
    <cellStyle name="Normal 5 2 5 2 2 6" xfId="26324"/>
    <cellStyle name="Normal 5 2 5 2 3" xfId="1329"/>
    <cellStyle name="Normal 5 2 5 2 3 2" xfId="3559"/>
    <cellStyle name="Normal 5 2 5 2 3 2 2" xfId="7782"/>
    <cellStyle name="Normal 5 2 5 2 3 2 2 2" xfId="16218"/>
    <cellStyle name="Normal 5 2 5 2 3 2 2 3" xfId="24659"/>
    <cellStyle name="Normal 5 2 5 2 3 2 2 4" xfId="33099"/>
    <cellStyle name="Normal 5 2 5 2 3 2 3" xfId="12000"/>
    <cellStyle name="Normal 5 2 5 2 3 2 4" xfId="20442"/>
    <cellStyle name="Normal 5 2 5 2 3 2 5" xfId="28882"/>
    <cellStyle name="Normal 5 2 5 2 3 3" xfId="5637"/>
    <cellStyle name="Normal 5 2 5 2 3 3 2" xfId="14073"/>
    <cellStyle name="Normal 5 2 5 2 3 3 3" xfId="22514"/>
    <cellStyle name="Normal 5 2 5 2 3 3 4" xfId="30954"/>
    <cellStyle name="Normal 5 2 5 2 3 4" xfId="9855"/>
    <cellStyle name="Normal 5 2 5 2 3 5" xfId="18297"/>
    <cellStyle name="Normal 5 2 5 2 3 6" xfId="26737"/>
    <cellStyle name="Normal 5 2 5 2 4" xfId="1742"/>
    <cellStyle name="Normal 5 2 5 2 4 2" xfId="3972"/>
    <cellStyle name="Normal 5 2 5 2 4 2 2" xfId="8195"/>
    <cellStyle name="Normal 5 2 5 2 4 2 2 2" xfId="16631"/>
    <cellStyle name="Normal 5 2 5 2 4 2 2 3" xfId="25072"/>
    <cellStyle name="Normal 5 2 5 2 4 2 2 4" xfId="33512"/>
    <cellStyle name="Normal 5 2 5 2 4 2 3" xfId="12413"/>
    <cellStyle name="Normal 5 2 5 2 4 2 4" xfId="20855"/>
    <cellStyle name="Normal 5 2 5 2 4 2 5" xfId="29295"/>
    <cellStyle name="Normal 5 2 5 2 4 3" xfId="6050"/>
    <cellStyle name="Normal 5 2 5 2 4 3 2" xfId="14486"/>
    <cellStyle name="Normal 5 2 5 2 4 3 3" xfId="22927"/>
    <cellStyle name="Normal 5 2 5 2 4 3 4" xfId="31367"/>
    <cellStyle name="Normal 5 2 5 2 4 4" xfId="10268"/>
    <cellStyle name="Normal 5 2 5 2 4 5" xfId="18710"/>
    <cellStyle name="Normal 5 2 5 2 4 6" xfId="27150"/>
    <cellStyle name="Normal 5 2 5 2 5" xfId="2156"/>
    <cellStyle name="Normal 5 2 5 2 5 2" xfId="4385"/>
    <cellStyle name="Normal 5 2 5 2 5 2 2" xfId="8608"/>
    <cellStyle name="Normal 5 2 5 2 5 2 2 2" xfId="17044"/>
    <cellStyle name="Normal 5 2 5 2 5 2 2 3" xfId="25485"/>
    <cellStyle name="Normal 5 2 5 2 5 2 2 4" xfId="33925"/>
    <cellStyle name="Normal 5 2 5 2 5 2 3" xfId="12826"/>
    <cellStyle name="Normal 5 2 5 2 5 2 4" xfId="21268"/>
    <cellStyle name="Normal 5 2 5 2 5 2 5" xfId="29708"/>
    <cellStyle name="Normal 5 2 5 2 5 3" xfId="6463"/>
    <cellStyle name="Normal 5 2 5 2 5 3 2" xfId="14899"/>
    <cellStyle name="Normal 5 2 5 2 5 3 3" xfId="23340"/>
    <cellStyle name="Normal 5 2 5 2 5 3 4" xfId="31780"/>
    <cellStyle name="Normal 5 2 5 2 5 4" xfId="10681"/>
    <cellStyle name="Normal 5 2 5 2 5 5" xfId="19123"/>
    <cellStyle name="Normal 5 2 5 2 5 6" xfId="27563"/>
    <cellStyle name="Normal 5 2 5 2 6" xfId="2592"/>
    <cellStyle name="Normal 5 2 5 2 6 2" xfId="6876"/>
    <cellStyle name="Normal 5 2 5 2 6 2 2" xfId="15312"/>
    <cellStyle name="Normal 5 2 5 2 6 2 3" xfId="23753"/>
    <cellStyle name="Normal 5 2 5 2 6 2 4" xfId="32193"/>
    <cellStyle name="Normal 5 2 5 2 6 3" xfId="11094"/>
    <cellStyle name="Normal 5 2 5 2 6 4" xfId="19536"/>
    <cellStyle name="Normal 5 2 5 2 6 5" xfId="27976"/>
    <cellStyle name="Normal 5 2 5 2 7" xfId="4811"/>
    <cellStyle name="Normal 5 2 5 2 7 2" xfId="13247"/>
    <cellStyle name="Normal 5 2 5 2 7 3" xfId="21688"/>
    <cellStyle name="Normal 5 2 5 2 7 4" xfId="30128"/>
    <cellStyle name="Normal 5 2 5 2 8" xfId="9029"/>
    <cellStyle name="Normal 5 2 5 2 9" xfId="17471"/>
    <cellStyle name="Normal 5 2 5 3" xfId="910"/>
    <cellStyle name="Normal 5 2 5 3 2" xfId="3145"/>
    <cellStyle name="Normal 5 2 5 3 2 2" xfId="7368"/>
    <cellStyle name="Normal 5 2 5 3 2 2 2" xfId="15804"/>
    <cellStyle name="Normal 5 2 5 3 2 2 3" xfId="24245"/>
    <cellStyle name="Normal 5 2 5 3 2 2 4" xfId="32685"/>
    <cellStyle name="Normal 5 2 5 3 2 3" xfId="11586"/>
    <cellStyle name="Normal 5 2 5 3 2 4" xfId="20028"/>
    <cellStyle name="Normal 5 2 5 3 2 5" xfId="28468"/>
    <cellStyle name="Normal 5 2 5 3 3" xfId="5223"/>
    <cellStyle name="Normal 5 2 5 3 3 2" xfId="13659"/>
    <cellStyle name="Normal 5 2 5 3 3 3" xfId="22100"/>
    <cellStyle name="Normal 5 2 5 3 3 4" xfId="30540"/>
    <cellStyle name="Normal 5 2 5 3 4" xfId="9441"/>
    <cellStyle name="Normal 5 2 5 3 5" xfId="17883"/>
    <cellStyle name="Normal 5 2 5 3 6" xfId="26323"/>
    <cellStyle name="Normal 5 2 5 4" xfId="1328"/>
    <cellStyle name="Normal 5 2 5 4 2" xfId="3558"/>
    <cellStyle name="Normal 5 2 5 4 2 2" xfId="7781"/>
    <cellStyle name="Normal 5 2 5 4 2 2 2" xfId="16217"/>
    <cellStyle name="Normal 5 2 5 4 2 2 3" xfId="24658"/>
    <cellStyle name="Normal 5 2 5 4 2 2 4" xfId="33098"/>
    <cellStyle name="Normal 5 2 5 4 2 3" xfId="11999"/>
    <cellStyle name="Normal 5 2 5 4 2 4" xfId="20441"/>
    <cellStyle name="Normal 5 2 5 4 2 5" xfId="28881"/>
    <cellStyle name="Normal 5 2 5 4 3" xfId="5636"/>
    <cellStyle name="Normal 5 2 5 4 3 2" xfId="14072"/>
    <cellStyle name="Normal 5 2 5 4 3 3" xfId="22513"/>
    <cellStyle name="Normal 5 2 5 4 3 4" xfId="30953"/>
    <cellStyle name="Normal 5 2 5 4 4" xfId="9854"/>
    <cellStyle name="Normal 5 2 5 4 5" xfId="18296"/>
    <cellStyle name="Normal 5 2 5 4 6" xfId="26736"/>
    <cellStyle name="Normal 5 2 5 5" xfId="1741"/>
    <cellStyle name="Normal 5 2 5 5 2" xfId="3971"/>
    <cellStyle name="Normal 5 2 5 5 2 2" xfId="8194"/>
    <cellStyle name="Normal 5 2 5 5 2 2 2" xfId="16630"/>
    <cellStyle name="Normal 5 2 5 5 2 2 3" xfId="25071"/>
    <cellStyle name="Normal 5 2 5 5 2 2 4" xfId="33511"/>
    <cellStyle name="Normal 5 2 5 5 2 3" xfId="12412"/>
    <cellStyle name="Normal 5 2 5 5 2 4" xfId="20854"/>
    <cellStyle name="Normal 5 2 5 5 2 5" xfId="29294"/>
    <cellStyle name="Normal 5 2 5 5 3" xfId="6049"/>
    <cellStyle name="Normal 5 2 5 5 3 2" xfId="14485"/>
    <cellStyle name="Normal 5 2 5 5 3 3" xfId="22926"/>
    <cellStyle name="Normal 5 2 5 5 3 4" xfId="31366"/>
    <cellStyle name="Normal 5 2 5 5 4" xfId="10267"/>
    <cellStyle name="Normal 5 2 5 5 5" xfId="18709"/>
    <cellStyle name="Normal 5 2 5 5 6" xfId="27149"/>
    <cellStyle name="Normal 5 2 5 6" xfId="2155"/>
    <cellStyle name="Normal 5 2 5 6 2" xfId="4384"/>
    <cellStyle name="Normal 5 2 5 6 2 2" xfId="8607"/>
    <cellStyle name="Normal 5 2 5 6 2 2 2" xfId="17043"/>
    <cellStyle name="Normal 5 2 5 6 2 2 3" xfId="25484"/>
    <cellStyle name="Normal 5 2 5 6 2 2 4" xfId="33924"/>
    <cellStyle name="Normal 5 2 5 6 2 3" xfId="12825"/>
    <cellStyle name="Normal 5 2 5 6 2 4" xfId="21267"/>
    <cellStyle name="Normal 5 2 5 6 2 5" xfId="29707"/>
    <cellStyle name="Normal 5 2 5 6 3" xfId="6462"/>
    <cellStyle name="Normal 5 2 5 6 3 2" xfId="14898"/>
    <cellStyle name="Normal 5 2 5 6 3 3" xfId="23339"/>
    <cellStyle name="Normal 5 2 5 6 3 4" xfId="31779"/>
    <cellStyle name="Normal 5 2 5 6 4" xfId="10680"/>
    <cellStyle name="Normal 5 2 5 6 5" xfId="19122"/>
    <cellStyle name="Normal 5 2 5 6 6" xfId="27562"/>
    <cellStyle name="Normal 5 2 5 7" xfId="2591"/>
    <cellStyle name="Normal 5 2 5 7 2" xfId="6875"/>
    <cellStyle name="Normal 5 2 5 7 2 2" xfId="15311"/>
    <cellStyle name="Normal 5 2 5 7 2 3" xfId="23752"/>
    <cellStyle name="Normal 5 2 5 7 2 4" xfId="32192"/>
    <cellStyle name="Normal 5 2 5 7 3" xfId="11093"/>
    <cellStyle name="Normal 5 2 5 7 4" xfId="19535"/>
    <cellStyle name="Normal 5 2 5 7 5" xfId="27975"/>
    <cellStyle name="Normal 5 2 5 8" xfId="4810"/>
    <cellStyle name="Normal 5 2 5 8 2" xfId="13246"/>
    <cellStyle name="Normal 5 2 5 8 3" xfId="21687"/>
    <cellStyle name="Normal 5 2 5 8 4" xfId="30127"/>
    <cellStyle name="Normal 5 2 5 9" xfId="9028"/>
    <cellStyle name="Normal 5 2 6" xfId="438"/>
    <cellStyle name="Normal 5 2 6 10" xfId="25912"/>
    <cellStyle name="Normal 5 2 6 2" xfId="912"/>
    <cellStyle name="Normal 5 2 6 2 2" xfId="3147"/>
    <cellStyle name="Normal 5 2 6 2 2 2" xfId="7370"/>
    <cellStyle name="Normal 5 2 6 2 2 2 2" xfId="15806"/>
    <cellStyle name="Normal 5 2 6 2 2 2 3" xfId="24247"/>
    <cellStyle name="Normal 5 2 6 2 2 2 4" xfId="32687"/>
    <cellStyle name="Normal 5 2 6 2 2 3" xfId="11588"/>
    <cellStyle name="Normal 5 2 6 2 2 4" xfId="20030"/>
    <cellStyle name="Normal 5 2 6 2 2 5" xfId="28470"/>
    <cellStyle name="Normal 5 2 6 2 3" xfId="5225"/>
    <cellStyle name="Normal 5 2 6 2 3 2" xfId="13661"/>
    <cellStyle name="Normal 5 2 6 2 3 3" xfId="22102"/>
    <cellStyle name="Normal 5 2 6 2 3 4" xfId="30542"/>
    <cellStyle name="Normal 5 2 6 2 4" xfId="9443"/>
    <cellStyle name="Normal 5 2 6 2 5" xfId="17885"/>
    <cellStyle name="Normal 5 2 6 2 6" xfId="26325"/>
    <cellStyle name="Normal 5 2 6 3" xfId="1330"/>
    <cellStyle name="Normal 5 2 6 3 2" xfId="3560"/>
    <cellStyle name="Normal 5 2 6 3 2 2" xfId="7783"/>
    <cellStyle name="Normal 5 2 6 3 2 2 2" xfId="16219"/>
    <cellStyle name="Normal 5 2 6 3 2 2 3" xfId="24660"/>
    <cellStyle name="Normal 5 2 6 3 2 2 4" xfId="33100"/>
    <cellStyle name="Normal 5 2 6 3 2 3" xfId="12001"/>
    <cellStyle name="Normal 5 2 6 3 2 4" xfId="20443"/>
    <cellStyle name="Normal 5 2 6 3 2 5" xfId="28883"/>
    <cellStyle name="Normal 5 2 6 3 3" xfId="5638"/>
    <cellStyle name="Normal 5 2 6 3 3 2" xfId="14074"/>
    <cellStyle name="Normal 5 2 6 3 3 3" xfId="22515"/>
    <cellStyle name="Normal 5 2 6 3 3 4" xfId="30955"/>
    <cellStyle name="Normal 5 2 6 3 4" xfId="9856"/>
    <cellStyle name="Normal 5 2 6 3 5" xfId="18298"/>
    <cellStyle name="Normal 5 2 6 3 6" xfId="26738"/>
    <cellStyle name="Normal 5 2 6 4" xfId="1743"/>
    <cellStyle name="Normal 5 2 6 4 2" xfId="3973"/>
    <cellStyle name="Normal 5 2 6 4 2 2" xfId="8196"/>
    <cellStyle name="Normal 5 2 6 4 2 2 2" xfId="16632"/>
    <cellStyle name="Normal 5 2 6 4 2 2 3" xfId="25073"/>
    <cellStyle name="Normal 5 2 6 4 2 2 4" xfId="33513"/>
    <cellStyle name="Normal 5 2 6 4 2 3" xfId="12414"/>
    <cellStyle name="Normal 5 2 6 4 2 4" xfId="20856"/>
    <cellStyle name="Normal 5 2 6 4 2 5" xfId="29296"/>
    <cellStyle name="Normal 5 2 6 4 3" xfId="6051"/>
    <cellStyle name="Normal 5 2 6 4 3 2" xfId="14487"/>
    <cellStyle name="Normal 5 2 6 4 3 3" xfId="22928"/>
    <cellStyle name="Normal 5 2 6 4 3 4" xfId="31368"/>
    <cellStyle name="Normal 5 2 6 4 4" xfId="10269"/>
    <cellStyle name="Normal 5 2 6 4 5" xfId="18711"/>
    <cellStyle name="Normal 5 2 6 4 6" xfId="27151"/>
    <cellStyle name="Normal 5 2 6 5" xfId="2157"/>
    <cellStyle name="Normal 5 2 6 5 2" xfId="4386"/>
    <cellStyle name="Normal 5 2 6 5 2 2" xfId="8609"/>
    <cellStyle name="Normal 5 2 6 5 2 2 2" xfId="17045"/>
    <cellStyle name="Normal 5 2 6 5 2 2 3" xfId="25486"/>
    <cellStyle name="Normal 5 2 6 5 2 2 4" xfId="33926"/>
    <cellStyle name="Normal 5 2 6 5 2 3" xfId="12827"/>
    <cellStyle name="Normal 5 2 6 5 2 4" xfId="21269"/>
    <cellStyle name="Normal 5 2 6 5 2 5" xfId="29709"/>
    <cellStyle name="Normal 5 2 6 5 3" xfId="6464"/>
    <cellStyle name="Normal 5 2 6 5 3 2" xfId="14900"/>
    <cellStyle name="Normal 5 2 6 5 3 3" xfId="23341"/>
    <cellStyle name="Normal 5 2 6 5 3 4" xfId="31781"/>
    <cellStyle name="Normal 5 2 6 5 4" xfId="10682"/>
    <cellStyle name="Normal 5 2 6 5 5" xfId="19124"/>
    <cellStyle name="Normal 5 2 6 5 6" xfId="27564"/>
    <cellStyle name="Normal 5 2 6 6" xfId="2593"/>
    <cellStyle name="Normal 5 2 6 6 2" xfId="6877"/>
    <cellStyle name="Normal 5 2 6 6 2 2" xfId="15313"/>
    <cellStyle name="Normal 5 2 6 6 2 3" xfId="23754"/>
    <cellStyle name="Normal 5 2 6 6 2 4" xfId="32194"/>
    <cellStyle name="Normal 5 2 6 6 3" xfId="11095"/>
    <cellStyle name="Normal 5 2 6 6 4" xfId="19537"/>
    <cellStyle name="Normal 5 2 6 6 5" xfId="27977"/>
    <cellStyle name="Normal 5 2 6 7" xfId="4812"/>
    <cellStyle name="Normal 5 2 6 7 2" xfId="13248"/>
    <cellStyle name="Normal 5 2 6 7 3" xfId="21689"/>
    <cellStyle name="Normal 5 2 6 7 4" xfId="30129"/>
    <cellStyle name="Normal 5 2 6 8" xfId="9030"/>
    <cellStyle name="Normal 5 2 6 9" xfId="17472"/>
    <cellStyle name="Normal 5 2 7" xfId="881"/>
    <cellStyle name="Normal 5 2 7 2" xfId="3116"/>
    <cellStyle name="Normal 5 2 7 2 2" xfId="7339"/>
    <cellStyle name="Normal 5 2 7 2 2 2" xfId="15775"/>
    <cellStyle name="Normal 5 2 7 2 2 3" xfId="24216"/>
    <cellStyle name="Normal 5 2 7 2 2 4" xfId="32656"/>
    <cellStyle name="Normal 5 2 7 2 3" xfId="11557"/>
    <cellStyle name="Normal 5 2 7 2 4" xfId="19999"/>
    <cellStyle name="Normal 5 2 7 2 5" xfId="28439"/>
    <cellStyle name="Normal 5 2 7 3" xfId="5194"/>
    <cellStyle name="Normal 5 2 7 3 2" xfId="13630"/>
    <cellStyle name="Normal 5 2 7 3 3" xfId="22071"/>
    <cellStyle name="Normal 5 2 7 3 4" xfId="30511"/>
    <cellStyle name="Normal 5 2 7 4" xfId="9412"/>
    <cellStyle name="Normal 5 2 7 5" xfId="17854"/>
    <cellStyle name="Normal 5 2 7 6" xfId="26294"/>
    <cellStyle name="Normal 5 2 8" xfId="1299"/>
    <cellStyle name="Normal 5 2 8 2" xfId="3529"/>
    <cellStyle name="Normal 5 2 8 2 2" xfId="7752"/>
    <cellStyle name="Normal 5 2 8 2 2 2" xfId="16188"/>
    <cellStyle name="Normal 5 2 8 2 2 3" xfId="24629"/>
    <cellStyle name="Normal 5 2 8 2 2 4" xfId="33069"/>
    <cellStyle name="Normal 5 2 8 2 3" xfId="11970"/>
    <cellStyle name="Normal 5 2 8 2 4" xfId="20412"/>
    <cellStyle name="Normal 5 2 8 2 5" xfId="28852"/>
    <cellStyle name="Normal 5 2 8 3" xfId="5607"/>
    <cellStyle name="Normal 5 2 8 3 2" xfId="14043"/>
    <cellStyle name="Normal 5 2 8 3 3" xfId="22484"/>
    <cellStyle name="Normal 5 2 8 3 4" xfId="30924"/>
    <cellStyle name="Normal 5 2 8 4" xfId="9825"/>
    <cellStyle name="Normal 5 2 8 5" xfId="18267"/>
    <cellStyle name="Normal 5 2 8 6" xfId="26707"/>
    <cellStyle name="Normal 5 2 9" xfId="1712"/>
    <cellStyle name="Normal 5 2 9 2" xfId="3942"/>
    <cellStyle name="Normal 5 2 9 2 2" xfId="8165"/>
    <cellStyle name="Normal 5 2 9 2 2 2" xfId="16601"/>
    <cellStyle name="Normal 5 2 9 2 2 3" xfId="25042"/>
    <cellStyle name="Normal 5 2 9 2 2 4" xfId="33482"/>
    <cellStyle name="Normal 5 2 9 2 3" xfId="12383"/>
    <cellStyle name="Normal 5 2 9 2 4" xfId="20825"/>
    <cellStyle name="Normal 5 2 9 2 5" xfId="29265"/>
    <cellStyle name="Normal 5 2 9 3" xfId="6020"/>
    <cellStyle name="Normal 5 2 9 3 2" xfId="14456"/>
    <cellStyle name="Normal 5 2 9 3 3" xfId="22897"/>
    <cellStyle name="Normal 5 2 9 3 4" xfId="31337"/>
    <cellStyle name="Normal 5 2 9 4" xfId="10238"/>
    <cellStyle name="Normal 5 2 9 5" xfId="18680"/>
    <cellStyle name="Normal 5 2 9 6" xfId="27120"/>
    <cellStyle name="Normal 5 3" xfId="439"/>
    <cellStyle name="Normal 5 3 10" xfId="2158"/>
    <cellStyle name="Normal 5 3 10 2" xfId="4387"/>
    <cellStyle name="Normal 5 3 10 2 2" xfId="8610"/>
    <cellStyle name="Normal 5 3 10 2 2 2" xfId="17046"/>
    <cellStyle name="Normal 5 3 10 2 2 3" xfId="25487"/>
    <cellStyle name="Normal 5 3 10 2 2 4" xfId="33927"/>
    <cellStyle name="Normal 5 3 10 2 3" xfId="12828"/>
    <cellStyle name="Normal 5 3 10 2 4" xfId="21270"/>
    <cellStyle name="Normal 5 3 10 2 5" xfId="29710"/>
    <cellStyle name="Normal 5 3 10 3" xfId="6465"/>
    <cellStyle name="Normal 5 3 10 3 2" xfId="14901"/>
    <cellStyle name="Normal 5 3 10 3 3" xfId="23342"/>
    <cellStyle name="Normal 5 3 10 3 4" xfId="31782"/>
    <cellStyle name="Normal 5 3 10 4" xfId="10683"/>
    <cellStyle name="Normal 5 3 10 5" xfId="19125"/>
    <cellStyle name="Normal 5 3 10 6" xfId="27565"/>
    <cellStyle name="Normal 5 3 11" xfId="2594"/>
    <cellStyle name="Normal 5 3 11 2" xfId="6878"/>
    <cellStyle name="Normal 5 3 11 2 2" xfId="15314"/>
    <cellStyle name="Normal 5 3 11 2 3" xfId="23755"/>
    <cellStyle name="Normal 5 3 11 2 4" xfId="32195"/>
    <cellStyle name="Normal 5 3 11 3" xfId="11096"/>
    <cellStyle name="Normal 5 3 11 4" xfId="19538"/>
    <cellStyle name="Normal 5 3 11 5" xfId="27978"/>
    <cellStyle name="Normal 5 3 12" xfId="4813"/>
    <cellStyle name="Normal 5 3 12 2" xfId="13249"/>
    <cellStyle name="Normal 5 3 12 3" xfId="21690"/>
    <cellStyle name="Normal 5 3 12 4" xfId="30130"/>
    <cellStyle name="Normal 5 3 13" xfId="9031"/>
    <cellStyle name="Normal 5 3 14" xfId="17473"/>
    <cellStyle name="Normal 5 3 15" xfId="25913"/>
    <cellStyle name="Normal 5 3 2" xfId="440"/>
    <cellStyle name="Normal 5 3 2 2" xfId="914"/>
    <cellStyle name="Normal 5 3 3" xfId="441"/>
    <cellStyle name="Normal 5 3 3 10" xfId="4814"/>
    <cellStyle name="Normal 5 3 3 10 2" xfId="13250"/>
    <cellStyle name="Normal 5 3 3 10 3" xfId="21691"/>
    <cellStyle name="Normal 5 3 3 10 4" xfId="30131"/>
    <cellStyle name="Normal 5 3 3 11" xfId="9032"/>
    <cellStyle name="Normal 5 3 3 12" xfId="17474"/>
    <cellStyle name="Normal 5 3 3 13" xfId="25914"/>
    <cellStyle name="Normal 5 3 3 2" xfId="442"/>
    <cellStyle name="Normal 5 3 3 2 10" xfId="9033"/>
    <cellStyle name="Normal 5 3 3 2 11" xfId="17475"/>
    <cellStyle name="Normal 5 3 3 2 12" xfId="25915"/>
    <cellStyle name="Normal 5 3 3 2 2" xfId="443"/>
    <cellStyle name="Normal 5 3 3 2 2 10" xfId="17476"/>
    <cellStyle name="Normal 5 3 3 2 2 11" xfId="25916"/>
    <cellStyle name="Normal 5 3 3 2 2 2" xfId="444"/>
    <cellStyle name="Normal 5 3 3 2 2 2 10" xfId="25917"/>
    <cellStyle name="Normal 5 3 3 2 2 2 2" xfId="918"/>
    <cellStyle name="Normal 5 3 3 2 2 2 2 2" xfId="3152"/>
    <cellStyle name="Normal 5 3 3 2 2 2 2 2 2" xfId="7375"/>
    <cellStyle name="Normal 5 3 3 2 2 2 2 2 2 2" xfId="15811"/>
    <cellStyle name="Normal 5 3 3 2 2 2 2 2 2 3" xfId="24252"/>
    <cellStyle name="Normal 5 3 3 2 2 2 2 2 2 4" xfId="32692"/>
    <cellStyle name="Normal 5 3 3 2 2 2 2 2 3" xfId="11593"/>
    <cellStyle name="Normal 5 3 3 2 2 2 2 2 4" xfId="20035"/>
    <cellStyle name="Normal 5 3 3 2 2 2 2 2 5" xfId="28475"/>
    <cellStyle name="Normal 5 3 3 2 2 2 2 3" xfId="5230"/>
    <cellStyle name="Normal 5 3 3 2 2 2 2 3 2" xfId="13666"/>
    <cellStyle name="Normal 5 3 3 2 2 2 2 3 3" xfId="22107"/>
    <cellStyle name="Normal 5 3 3 2 2 2 2 3 4" xfId="30547"/>
    <cellStyle name="Normal 5 3 3 2 2 2 2 4" xfId="9448"/>
    <cellStyle name="Normal 5 3 3 2 2 2 2 5" xfId="17890"/>
    <cellStyle name="Normal 5 3 3 2 2 2 2 6" xfId="26330"/>
    <cellStyle name="Normal 5 3 3 2 2 2 3" xfId="1335"/>
    <cellStyle name="Normal 5 3 3 2 2 2 3 2" xfId="3565"/>
    <cellStyle name="Normal 5 3 3 2 2 2 3 2 2" xfId="7788"/>
    <cellStyle name="Normal 5 3 3 2 2 2 3 2 2 2" xfId="16224"/>
    <cellStyle name="Normal 5 3 3 2 2 2 3 2 2 3" xfId="24665"/>
    <cellStyle name="Normal 5 3 3 2 2 2 3 2 2 4" xfId="33105"/>
    <cellStyle name="Normal 5 3 3 2 2 2 3 2 3" xfId="12006"/>
    <cellStyle name="Normal 5 3 3 2 2 2 3 2 4" xfId="20448"/>
    <cellStyle name="Normal 5 3 3 2 2 2 3 2 5" xfId="28888"/>
    <cellStyle name="Normal 5 3 3 2 2 2 3 3" xfId="5643"/>
    <cellStyle name="Normal 5 3 3 2 2 2 3 3 2" xfId="14079"/>
    <cellStyle name="Normal 5 3 3 2 2 2 3 3 3" xfId="22520"/>
    <cellStyle name="Normal 5 3 3 2 2 2 3 3 4" xfId="30960"/>
    <cellStyle name="Normal 5 3 3 2 2 2 3 4" xfId="9861"/>
    <cellStyle name="Normal 5 3 3 2 2 2 3 5" xfId="18303"/>
    <cellStyle name="Normal 5 3 3 2 2 2 3 6" xfId="26743"/>
    <cellStyle name="Normal 5 3 3 2 2 2 4" xfId="1748"/>
    <cellStyle name="Normal 5 3 3 2 2 2 4 2" xfId="3978"/>
    <cellStyle name="Normal 5 3 3 2 2 2 4 2 2" xfId="8201"/>
    <cellStyle name="Normal 5 3 3 2 2 2 4 2 2 2" xfId="16637"/>
    <cellStyle name="Normal 5 3 3 2 2 2 4 2 2 3" xfId="25078"/>
    <cellStyle name="Normal 5 3 3 2 2 2 4 2 2 4" xfId="33518"/>
    <cellStyle name="Normal 5 3 3 2 2 2 4 2 3" xfId="12419"/>
    <cellStyle name="Normal 5 3 3 2 2 2 4 2 4" xfId="20861"/>
    <cellStyle name="Normal 5 3 3 2 2 2 4 2 5" xfId="29301"/>
    <cellStyle name="Normal 5 3 3 2 2 2 4 3" xfId="6056"/>
    <cellStyle name="Normal 5 3 3 2 2 2 4 3 2" xfId="14492"/>
    <cellStyle name="Normal 5 3 3 2 2 2 4 3 3" xfId="22933"/>
    <cellStyle name="Normal 5 3 3 2 2 2 4 3 4" xfId="31373"/>
    <cellStyle name="Normal 5 3 3 2 2 2 4 4" xfId="10274"/>
    <cellStyle name="Normal 5 3 3 2 2 2 4 5" xfId="18716"/>
    <cellStyle name="Normal 5 3 3 2 2 2 4 6" xfId="27156"/>
    <cellStyle name="Normal 5 3 3 2 2 2 5" xfId="2162"/>
    <cellStyle name="Normal 5 3 3 2 2 2 5 2" xfId="4391"/>
    <cellStyle name="Normal 5 3 3 2 2 2 5 2 2" xfId="8614"/>
    <cellStyle name="Normal 5 3 3 2 2 2 5 2 2 2" xfId="17050"/>
    <cellStyle name="Normal 5 3 3 2 2 2 5 2 2 3" xfId="25491"/>
    <cellStyle name="Normal 5 3 3 2 2 2 5 2 2 4" xfId="33931"/>
    <cellStyle name="Normal 5 3 3 2 2 2 5 2 3" xfId="12832"/>
    <cellStyle name="Normal 5 3 3 2 2 2 5 2 4" xfId="21274"/>
    <cellStyle name="Normal 5 3 3 2 2 2 5 2 5" xfId="29714"/>
    <cellStyle name="Normal 5 3 3 2 2 2 5 3" xfId="6469"/>
    <cellStyle name="Normal 5 3 3 2 2 2 5 3 2" xfId="14905"/>
    <cellStyle name="Normal 5 3 3 2 2 2 5 3 3" xfId="23346"/>
    <cellStyle name="Normal 5 3 3 2 2 2 5 3 4" xfId="31786"/>
    <cellStyle name="Normal 5 3 3 2 2 2 5 4" xfId="10687"/>
    <cellStyle name="Normal 5 3 3 2 2 2 5 5" xfId="19129"/>
    <cellStyle name="Normal 5 3 3 2 2 2 5 6" xfId="27569"/>
    <cellStyle name="Normal 5 3 3 2 2 2 6" xfId="2598"/>
    <cellStyle name="Normal 5 3 3 2 2 2 6 2" xfId="6882"/>
    <cellStyle name="Normal 5 3 3 2 2 2 6 2 2" xfId="15318"/>
    <cellStyle name="Normal 5 3 3 2 2 2 6 2 3" xfId="23759"/>
    <cellStyle name="Normal 5 3 3 2 2 2 6 2 4" xfId="32199"/>
    <cellStyle name="Normal 5 3 3 2 2 2 6 3" xfId="11100"/>
    <cellStyle name="Normal 5 3 3 2 2 2 6 4" xfId="19542"/>
    <cellStyle name="Normal 5 3 3 2 2 2 6 5" xfId="27982"/>
    <cellStyle name="Normal 5 3 3 2 2 2 7" xfId="4817"/>
    <cellStyle name="Normal 5 3 3 2 2 2 7 2" xfId="13253"/>
    <cellStyle name="Normal 5 3 3 2 2 2 7 3" xfId="21694"/>
    <cellStyle name="Normal 5 3 3 2 2 2 7 4" xfId="30134"/>
    <cellStyle name="Normal 5 3 3 2 2 2 8" xfId="9035"/>
    <cellStyle name="Normal 5 3 3 2 2 2 9" xfId="17477"/>
    <cellStyle name="Normal 5 3 3 2 2 3" xfId="917"/>
    <cellStyle name="Normal 5 3 3 2 2 3 2" xfId="3151"/>
    <cellStyle name="Normal 5 3 3 2 2 3 2 2" xfId="7374"/>
    <cellStyle name="Normal 5 3 3 2 2 3 2 2 2" xfId="15810"/>
    <cellStyle name="Normal 5 3 3 2 2 3 2 2 3" xfId="24251"/>
    <cellStyle name="Normal 5 3 3 2 2 3 2 2 4" xfId="32691"/>
    <cellStyle name="Normal 5 3 3 2 2 3 2 3" xfId="11592"/>
    <cellStyle name="Normal 5 3 3 2 2 3 2 4" xfId="20034"/>
    <cellStyle name="Normal 5 3 3 2 2 3 2 5" xfId="28474"/>
    <cellStyle name="Normal 5 3 3 2 2 3 3" xfId="5229"/>
    <cellStyle name="Normal 5 3 3 2 2 3 3 2" xfId="13665"/>
    <cellStyle name="Normal 5 3 3 2 2 3 3 3" xfId="22106"/>
    <cellStyle name="Normal 5 3 3 2 2 3 3 4" xfId="30546"/>
    <cellStyle name="Normal 5 3 3 2 2 3 4" xfId="9447"/>
    <cellStyle name="Normal 5 3 3 2 2 3 5" xfId="17889"/>
    <cellStyle name="Normal 5 3 3 2 2 3 6" xfId="26329"/>
    <cellStyle name="Normal 5 3 3 2 2 4" xfId="1334"/>
    <cellStyle name="Normal 5 3 3 2 2 4 2" xfId="3564"/>
    <cellStyle name="Normal 5 3 3 2 2 4 2 2" xfId="7787"/>
    <cellStyle name="Normal 5 3 3 2 2 4 2 2 2" xfId="16223"/>
    <cellStyle name="Normal 5 3 3 2 2 4 2 2 3" xfId="24664"/>
    <cellStyle name="Normal 5 3 3 2 2 4 2 2 4" xfId="33104"/>
    <cellStyle name="Normal 5 3 3 2 2 4 2 3" xfId="12005"/>
    <cellStyle name="Normal 5 3 3 2 2 4 2 4" xfId="20447"/>
    <cellStyle name="Normal 5 3 3 2 2 4 2 5" xfId="28887"/>
    <cellStyle name="Normal 5 3 3 2 2 4 3" xfId="5642"/>
    <cellStyle name="Normal 5 3 3 2 2 4 3 2" xfId="14078"/>
    <cellStyle name="Normal 5 3 3 2 2 4 3 3" xfId="22519"/>
    <cellStyle name="Normal 5 3 3 2 2 4 3 4" xfId="30959"/>
    <cellStyle name="Normal 5 3 3 2 2 4 4" xfId="9860"/>
    <cellStyle name="Normal 5 3 3 2 2 4 5" xfId="18302"/>
    <cellStyle name="Normal 5 3 3 2 2 4 6" xfId="26742"/>
    <cellStyle name="Normal 5 3 3 2 2 5" xfId="1747"/>
    <cellStyle name="Normal 5 3 3 2 2 5 2" xfId="3977"/>
    <cellStyle name="Normal 5 3 3 2 2 5 2 2" xfId="8200"/>
    <cellStyle name="Normal 5 3 3 2 2 5 2 2 2" xfId="16636"/>
    <cellStyle name="Normal 5 3 3 2 2 5 2 2 3" xfId="25077"/>
    <cellStyle name="Normal 5 3 3 2 2 5 2 2 4" xfId="33517"/>
    <cellStyle name="Normal 5 3 3 2 2 5 2 3" xfId="12418"/>
    <cellStyle name="Normal 5 3 3 2 2 5 2 4" xfId="20860"/>
    <cellStyle name="Normal 5 3 3 2 2 5 2 5" xfId="29300"/>
    <cellStyle name="Normal 5 3 3 2 2 5 3" xfId="6055"/>
    <cellStyle name="Normal 5 3 3 2 2 5 3 2" xfId="14491"/>
    <cellStyle name="Normal 5 3 3 2 2 5 3 3" xfId="22932"/>
    <cellStyle name="Normal 5 3 3 2 2 5 3 4" xfId="31372"/>
    <cellStyle name="Normal 5 3 3 2 2 5 4" xfId="10273"/>
    <cellStyle name="Normal 5 3 3 2 2 5 5" xfId="18715"/>
    <cellStyle name="Normal 5 3 3 2 2 5 6" xfId="27155"/>
    <cellStyle name="Normal 5 3 3 2 2 6" xfId="2161"/>
    <cellStyle name="Normal 5 3 3 2 2 6 2" xfId="4390"/>
    <cellStyle name="Normal 5 3 3 2 2 6 2 2" xfId="8613"/>
    <cellStyle name="Normal 5 3 3 2 2 6 2 2 2" xfId="17049"/>
    <cellStyle name="Normal 5 3 3 2 2 6 2 2 3" xfId="25490"/>
    <cellStyle name="Normal 5 3 3 2 2 6 2 2 4" xfId="33930"/>
    <cellStyle name="Normal 5 3 3 2 2 6 2 3" xfId="12831"/>
    <cellStyle name="Normal 5 3 3 2 2 6 2 4" xfId="21273"/>
    <cellStyle name="Normal 5 3 3 2 2 6 2 5" xfId="29713"/>
    <cellStyle name="Normal 5 3 3 2 2 6 3" xfId="6468"/>
    <cellStyle name="Normal 5 3 3 2 2 6 3 2" xfId="14904"/>
    <cellStyle name="Normal 5 3 3 2 2 6 3 3" xfId="23345"/>
    <cellStyle name="Normal 5 3 3 2 2 6 3 4" xfId="31785"/>
    <cellStyle name="Normal 5 3 3 2 2 6 4" xfId="10686"/>
    <cellStyle name="Normal 5 3 3 2 2 6 5" xfId="19128"/>
    <cellStyle name="Normal 5 3 3 2 2 6 6" xfId="27568"/>
    <cellStyle name="Normal 5 3 3 2 2 7" xfId="2597"/>
    <cellStyle name="Normal 5 3 3 2 2 7 2" xfId="6881"/>
    <cellStyle name="Normal 5 3 3 2 2 7 2 2" xfId="15317"/>
    <cellStyle name="Normal 5 3 3 2 2 7 2 3" xfId="23758"/>
    <cellStyle name="Normal 5 3 3 2 2 7 2 4" xfId="32198"/>
    <cellStyle name="Normal 5 3 3 2 2 7 3" xfId="11099"/>
    <cellStyle name="Normal 5 3 3 2 2 7 4" xfId="19541"/>
    <cellStyle name="Normal 5 3 3 2 2 7 5" xfId="27981"/>
    <cellStyle name="Normal 5 3 3 2 2 8" xfId="4816"/>
    <cellStyle name="Normal 5 3 3 2 2 8 2" xfId="13252"/>
    <cellStyle name="Normal 5 3 3 2 2 8 3" xfId="21693"/>
    <cellStyle name="Normal 5 3 3 2 2 8 4" xfId="30133"/>
    <cellStyle name="Normal 5 3 3 2 2 9" xfId="9034"/>
    <cellStyle name="Normal 5 3 3 2 3" xfId="445"/>
    <cellStyle name="Normal 5 3 3 2 3 10" xfId="25918"/>
    <cellStyle name="Normal 5 3 3 2 3 2" xfId="919"/>
    <cellStyle name="Normal 5 3 3 2 3 2 2" xfId="3153"/>
    <cellStyle name="Normal 5 3 3 2 3 2 2 2" xfId="7376"/>
    <cellStyle name="Normal 5 3 3 2 3 2 2 2 2" xfId="15812"/>
    <cellStyle name="Normal 5 3 3 2 3 2 2 2 3" xfId="24253"/>
    <cellStyle name="Normal 5 3 3 2 3 2 2 2 4" xfId="32693"/>
    <cellStyle name="Normal 5 3 3 2 3 2 2 3" xfId="11594"/>
    <cellStyle name="Normal 5 3 3 2 3 2 2 4" xfId="20036"/>
    <cellStyle name="Normal 5 3 3 2 3 2 2 5" xfId="28476"/>
    <cellStyle name="Normal 5 3 3 2 3 2 3" xfId="5231"/>
    <cellStyle name="Normal 5 3 3 2 3 2 3 2" xfId="13667"/>
    <cellStyle name="Normal 5 3 3 2 3 2 3 3" xfId="22108"/>
    <cellStyle name="Normal 5 3 3 2 3 2 3 4" xfId="30548"/>
    <cellStyle name="Normal 5 3 3 2 3 2 4" xfId="9449"/>
    <cellStyle name="Normal 5 3 3 2 3 2 5" xfId="17891"/>
    <cellStyle name="Normal 5 3 3 2 3 2 6" xfId="26331"/>
    <cellStyle name="Normal 5 3 3 2 3 3" xfId="1336"/>
    <cellStyle name="Normal 5 3 3 2 3 3 2" xfId="3566"/>
    <cellStyle name="Normal 5 3 3 2 3 3 2 2" xfId="7789"/>
    <cellStyle name="Normal 5 3 3 2 3 3 2 2 2" xfId="16225"/>
    <cellStyle name="Normal 5 3 3 2 3 3 2 2 3" xfId="24666"/>
    <cellStyle name="Normal 5 3 3 2 3 3 2 2 4" xfId="33106"/>
    <cellStyle name="Normal 5 3 3 2 3 3 2 3" xfId="12007"/>
    <cellStyle name="Normal 5 3 3 2 3 3 2 4" xfId="20449"/>
    <cellStyle name="Normal 5 3 3 2 3 3 2 5" xfId="28889"/>
    <cellStyle name="Normal 5 3 3 2 3 3 3" xfId="5644"/>
    <cellStyle name="Normal 5 3 3 2 3 3 3 2" xfId="14080"/>
    <cellStyle name="Normal 5 3 3 2 3 3 3 3" xfId="22521"/>
    <cellStyle name="Normal 5 3 3 2 3 3 3 4" xfId="30961"/>
    <cellStyle name="Normal 5 3 3 2 3 3 4" xfId="9862"/>
    <cellStyle name="Normal 5 3 3 2 3 3 5" xfId="18304"/>
    <cellStyle name="Normal 5 3 3 2 3 3 6" xfId="26744"/>
    <cellStyle name="Normal 5 3 3 2 3 4" xfId="1749"/>
    <cellStyle name="Normal 5 3 3 2 3 4 2" xfId="3979"/>
    <cellStyle name="Normal 5 3 3 2 3 4 2 2" xfId="8202"/>
    <cellStyle name="Normal 5 3 3 2 3 4 2 2 2" xfId="16638"/>
    <cellStyle name="Normal 5 3 3 2 3 4 2 2 3" xfId="25079"/>
    <cellStyle name="Normal 5 3 3 2 3 4 2 2 4" xfId="33519"/>
    <cellStyle name="Normal 5 3 3 2 3 4 2 3" xfId="12420"/>
    <cellStyle name="Normal 5 3 3 2 3 4 2 4" xfId="20862"/>
    <cellStyle name="Normal 5 3 3 2 3 4 2 5" xfId="29302"/>
    <cellStyle name="Normal 5 3 3 2 3 4 3" xfId="6057"/>
    <cellStyle name="Normal 5 3 3 2 3 4 3 2" xfId="14493"/>
    <cellStyle name="Normal 5 3 3 2 3 4 3 3" xfId="22934"/>
    <cellStyle name="Normal 5 3 3 2 3 4 3 4" xfId="31374"/>
    <cellStyle name="Normal 5 3 3 2 3 4 4" xfId="10275"/>
    <cellStyle name="Normal 5 3 3 2 3 4 5" xfId="18717"/>
    <cellStyle name="Normal 5 3 3 2 3 4 6" xfId="27157"/>
    <cellStyle name="Normal 5 3 3 2 3 5" xfId="2163"/>
    <cellStyle name="Normal 5 3 3 2 3 5 2" xfId="4392"/>
    <cellStyle name="Normal 5 3 3 2 3 5 2 2" xfId="8615"/>
    <cellStyle name="Normal 5 3 3 2 3 5 2 2 2" xfId="17051"/>
    <cellStyle name="Normal 5 3 3 2 3 5 2 2 3" xfId="25492"/>
    <cellStyle name="Normal 5 3 3 2 3 5 2 2 4" xfId="33932"/>
    <cellStyle name="Normal 5 3 3 2 3 5 2 3" xfId="12833"/>
    <cellStyle name="Normal 5 3 3 2 3 5 2 4" xfId="21275"/>
    <cellStyle name="Normal 5 3 3 2 3 5 2 5" xfId="29715"/>
    <cellStyle name="Normal 5 3 3 2 3 5 3" xfId="6470"/>
    <cellStyle name="Normal 5 3 3 2 3 5 3 2" xfId="14906"/>
    <cellStyle name="Normal 5 3 3 2 3 5 3 3" xfId="23347"/>
    <cellStyle name="Normal 5 3 3 2 3 5 3 4" xfId="31787"/>
    <cellStyle name="Normal 5 3 3 2 3 5 4" xfId="10688"/>
    <cellStyle name="Normal 5 3 3 2 3 5 5" xfId="19130"/>
    <cellStyle name="Normal 5 3 3 2 3 5 6" xfId="27570"/>
    <cellStyle name="Normal 5 3 3 2 3 6" xfId="2599"/>
    <cellStyle name="Normal 5 3 3 2 3 6 2" xfId="6883"/>
    <cellStyle name="Normal 5 3 3 2 3 6 2 2" xfId="15319"/>
    <cellStyle name="Normal 5 3 3 2 3 6 2 3" xfId="23760"/>
    <cellStyle name="Normal 5 3 3 2 3 6 2 4" xfId="32200"/>
    <cellStyle name="Normal 5 3 3 2 3 6 3" xfId="11101"/>
    <cellStyle name="Normal 5 3 3 2 3 6 4" xfId="19543"/>
    <cellStyle name="Normal 5 3 3 2 3 6 5" xfId="27983"/>
    <cellStyle name="Normal 5 3 3 2 3 7" xfId="4818"/>
    <cellStyle name="Normal 5 3 3 2 3 7 2" xfId="13254"/>
    <cellStyle name="Normal 5 3 3 2 3 7 3" xfId="21695"/>
    <cellStyle name="Normal 5 3 3 2 3 7 4" xfId="30135"/>
    <cellStyle name="Normal 5 3 3 2 3 8" xfId="9036"/>
    <cellStyle name="Normal 5 3 3 2 3 9" xfId="17478"/>
    <cellStyle name="Normal 5 3 3 2 4" xfId="916"/>
    <cellStyle name="Normal 5 3 3 2 4 2" xfId="3150"/>
    <cellStyle name="Normal 5 3 3 2 4 2 2" xfId="7373"/>
    <cellStyle name="Normal 5 3 3 2 4 2 2 2" xfId="15809"/>
    <cellStyle name="Normal 5 3 3 2 4 2 2 3" xfId="24250"/>
    <cellStyle name="Normal 5 3 3 2 4 2 2 4" xfId="32690"/>
    <cellStyle name="Normal 5 3 3 2 4 2 3" xfId="11591"/>
    <cellStyle name="Normal 5 3 3 2 4 2 4" xfId="20033"/>
    <cellStyle name="Normal 5 3 3 2 4 2 5" xfId="28473"/>
    <cellStyle name="Normal 5 3 3 2 4 3" xfId="5228"/>
    <cellStyle name="Normal 5 3 3 2 4 3 2" xfId="13664"/>
    <cellStyle name="Normal 5 3 3 2 4 3 3" xfId="22105"/>
    <cellStyle name="Normal 5 3 3 2 4 3 4" xfId="30545"/>
    <cellStyle name="Normal 5 3 3 2 4 4" xfId="9446"/>
    <cellStyle name="Normal 5 3 3 2 4 5" xfId="17888"/>
    <cellStyle name="Normal 5 3 3 2 4 6" xfId="26328"/>
    <cellStyle name="Normal 5 3 3 2 5" xfId="1333"/>
    <cellStyle name="Normal 5 3 3 2 5 2" xfId="3563"/>
    <cellStyle name="Normal 5 3 3 2 5 2 2" xfId="7786"/>
    <cellStyle name="Normal 5 3 3 2 5 2 2 2" xfId="16222"/>
    <cellStyle name="Normal 5 3 3 2 5 2 2 3" xfId="24663"/>
    <cellStyle name="Normal 5 3 3 2 5 2 2 4" xfId="33103"/>
    <cellStyle name="Normal 5 3 3 2 5 2 3" xfId="12004"/>
    <cellStyle name="Normal 5 3 3 2 5 2 4" xfId="20446"/>
    <cellStyle name="Normal 5 3 3 2 5 2 5" xfId="28886"/>
    <cellStyle name="Normal 5 3 3 2 5 3" xfId="5641"/>
    <cellStyle name="Normal 5 3 3 2 5 3 2" xfId="14077"/>
    <cellStyle name="Normal 5 3 3 2 5 3 3" xfId="22518"/>
    <cellStyle name="Normal 5 3 3 2 5 3 4" xfId="30958"/>
    <cellStyle name="Normal 5 3 3 2 5 4" xfId="9859"/>
    <cellStyle name="Normal 5 3 3 2 5 5" xfId="18301"/>
    <cellStyle name="Normal 5 3 3 2 5 6" xfId="26741"/>
    <cellStyle name="Normal 5 3 3 2 6" xfId="1746"/>
    <cellStyle name="Normal 5 3 3 2 6 2" xfId="3976"/>
    <cellStyle name="Normal 5 3 3 2 6 2 2" xfId="8199"/>
    <cellStyle name="Normal 5 3 3 2 6 2 2 2" xfId="16635"/>
    <cellStyle name="Normal 5 3 3 2 6 2 2 3" xfId="25076"/>
    <cellStyle name="Normal 5 3 3 2 6 2 2 4" xfId="33516"/>
    <cellStyle name="Normal 5 3 3 2 6 2 3" xfId="12417"/>
    <cellStyle name="Normal 5 3 3 2 6 2 4" xfId="20859"/>
    <cellStyle name="Normal 5 3 3 2 6 2 5" xfId="29299"/>
    <cellStyle name="Normal 5 3 3 2 6 3" xfId="6054"/>
    <cellStyle name="Normal 5 3 3 2 6 3 2" xfId="14490"/>
    <cellStyle name="Normal 5 3 3 2 6 3 3" xfId="22931"/>
    <cellStyle name="Normal 5 3 3 2 6 3 4" xfId="31371"/>
    <cellStyle name="Normal 5 3 3 2 6 4" xfId="10272"/>
    <cellStyle name="Normal 5 3 3 2 6 5" xfId="18714"/>
    <cellStyle name="Normal 5 3 3 2 6 6" xfId="27154"/>
    <cellStyle name="Normal 5 3 3 2 7" xfId="2160"/>
    <cellStyle name="Normal 5 3 3 2 7 2" xfId="4389"/>
    <cellStyle name="Normal 5 3 3 2 7 2 2" xfId="8612"/>
    <cellStyle name="Normal 5 3 3 2 7 2 2 2" xfId="17048"/>
    <cellStyle name="Normal 5 3 3 2 7 2 2 3" xfId="25489"/>
    <cellStyle name="Normal 5 3 3 2 7 2 2 4" xfId="33929"/>
    <cellStyle name="Normal 5 3 3 2 7 2 3" xfId="12830"/>
    <cellStyle name="Normal 5 3 3 2 7 2 4" xfId="21272"/>
    <cellStyle name="Normal 5 3 3 2 7 2 5" xfId="29712"/>
    <cellStyle name="Normal 5 3 3 2 7 3" xfId="6467"/>
    <cellStyle name="Normal 5 3 3 2 7 3 2" xfId="14903"/>
    <cellStyle name="Normal 5 3 3 2 7 3 3" xfId="23344"/>
    <cellStyle name="Normal 5 3 3 2 7 3 4" xfId="31784"/>
    <cellStyle name="Normal 5 3 3 2 7 4" xfId="10685"/>
    <cellStyle name="Normal 5 3 3 2 7 5" xfId="19127"/>
    <cellStyle name="Normal 5 3 3 2 7 6" xfId="27567"/>
    <cellStyle name="Normal 5 3 3 2 8" xfId="2596"/>
    <cellStyle name="Normal 5 3 3 2 8 2" xfId="6880"/>
    <cellStyle name="Normal 5 3 3 2 8 2 2" xfId="15316"/>
    <cellStyle name="Normal 5 3 3 2 8 2 3" xfId="23757"/>
    <cellStyle name="Normal 5 3 3 2 8 2 4" xfId="32197"/>
    <cellStyle name="Normal 5 3 3 2 8 3" xfId="11098"/>
    <cellStyle name="Normal 5 3 3 2 8 4" xfId="19540"/>
    <cellStyle name="Normal 5 3 3 2 8 5" xfId="27980"/>
    <cellStyle name="Normal 5 3 3 2 9" xfId="4815"/>
    <cellStyle name="Normal 5 3 3 2 9 2" xfId="13251"/>
    <cellStyle name="Normal 5 3 3 2 9 3" xfId="21692"/>
    <cellStyle name="Normal 5 3 3 2 9 4" xfId="30132"/>
    <cellStyle name="Normal 5 3 3 3" xfId="446"/>
    <cellStyle name="Normal 5 3 3 3 10" xfId="17479"/>
    <cellStyle name="Normal 5 3 3 3 11" xfId="25919"/>
    <cellStyle name="Normal 5 3 3 3 2" xfId="447"/>
    <cellStyle name="Normal 5 3 3 3 2 10" xfId="25920"/>
    <cellStyle name="Normal 5 3 3 3 2 2" xfId="921"/>
    <cellStyle name="Normal 5 3 3 3 2 2 2" xfId="3155"/>
    <cellStyle name="Normal 5 3 3 3 2 2 2 2" xfId="7378"/>
    <cellStyle name="Normal 5 3 3 3 2 2 2 2 2" xfId="15814"/>
    <cellStyle name="Normal 5 3 3 3 2 2 2 2 3" xfId="24255"/>
    <cellStyle name="Normal 5 3 3 3 2 2 2 2 4" xfId="32695"/>
    <cellStyle name="Normal 5 3 3 3 2 2 2 3" xfId="11596"/>
    <cellStyle name="Normal 5 3 3 3 2 2 2 4" xfId="20038"/>
    <cellStyle name="Normal 5 3 3 3 2 2 2 5" xfId="28478"/>
    <cellStyle name="Normal 5 3 3 3 2 2 3" xfId="5233"/>
    <cellStyle name="Normal 5 3 3 3 2 2 3 2" xfId="13669"/>
    <cellStyle name="Normal 5 3 3 3 2 2 3 3" xfId="22110"/>
    <cellStyle name="Normal 5 3 3 3 2 2 3 4" xfId="30550"/>
    <cellStyle name="Normal 5 3 3 3 2 2 4" xfId="9451"/>
    <cellStyle name="Normal 5 3 3 3 2 2 5" xfId="17893"/>
    <cellStyle name="Normal 5 3 3 3 2 2 6" xfId="26333"/>
    <cellStyle name="Normal 5 3 3 3 2 3" xfId="1338"/>
    <cellStyle name="Normal 5 3 3 3 2 3 2" xfId="3568"/>
    <cellStyle name="Normal 5 3 3 3 2 3 2 2" xfId="7791"/>
    <cellStyle name="Normal 5 3 3 3 2 3 2 2 2" xfId="16227"/>
    <cellStyle name="Normal 5 3 3 3 2 3 2 2 3" xfId="24668"/>
    <cellStyle name="Normal 5 3 3 3 2 3 2 2 4" xfId="33108"/>
    <cellStyle name="Normal 5 3 3 3 2 3 2 3" xfId="12009"/>
    <cellStyle name="Normal 5 3 3 3 2 3 2 4" xfId="20451"/>
    <cellStyle name="Normal 5 3 3 3 2 3 2 5" xfId="28891"/>
    <cellStyle name="Normal 5 3 3 3 2 3 3" xfId="5646"/>
    <cellStyle name="Normal 5 3 3 3 2 3 3 2" xfId="14082"/>
    <cellStyle name="Normal 5 3 3 3 2 3 3 3" xfId="22523"/>
    <cellStyle name="Normal 5 3 3 3 2 3 3 4" xfId="30963"/>
    <cellStyle name="Normal 5 3 3 3 2 3 4" xfId="9864"/>
    <cellStyle name="Normal 5 3 3 3 2 3 5" xfId="18306"/>
    <cellStyle name="Normal 5 3 3 3 2 3 6" xfId="26746"/>
    <cellStyle name="Normal 5 3 3 3 2 4" xfId="1751"/>
    <cellStyle name="Normal 5 3 3 3 2 4 2" xfId="3981"/>
    <cellStyle name="Normal 5 3 3 3 2 4 2 2" xfId="8204"/>
    <cellStyle name="Normal 5 3 3 3 2 4 2 2 2" xfId="16640"/>
    <cellStyle name="Normal 5 3 3 3 2 4 2 2 3" xfId="25081"/>
    <cellStyle name="Normal 5 3 3 3 2 4 2 2 4" xfId="33521"/>
    <cellStyle name="Normal 5 3 3 3 2 4 2 3" xfId="12422"/>
    <cellStyle name="Normal 5 3 3 3 2 4 2 4" xfId="20864"/>
    <cellStyle name="Normal 5 3 3 3 2 4 2 5" xfId="29304"/>
    <cellStyle name="Normal 5 3 3 3 2 4 3" xfId="6059"/>
    <cellStyle name="Normal 5 3 3 3 2 4 3 2" xfId="14495"/>
    <cellStyle name="Normal 5 3 3 3 2 4 3 3" xfId="22936"/>
    <cellStyle name="Normal 5 3 3 3 2 4 3 4" xfId="31376"/>
    <cellStyle name="Normal 5 3 3 3 2 4 4" xfId="10277"/>
    <cellStyle name="Normal 5 3 3 3 2 4 5" xfId="18719"/>
    <cellStyle name="Normal 5 3 3 3 2 4 6" xfId="27159"/>
    <cellStyle name="Normal 5 3 3 3 2 5" xfId="2165"/>
    <cellStyle name="Normal 5 3 3 3 2 5 2" xfId="4394"/>
    <cellStyle name="Normal 5 3 3 3 2 5 2 2" xfId="8617"/>
    <cellStyle name="Normal 5 3 3 3 2 5 2 2 2" xfId="17053"/>
    <cellStyle name="Normal 5 3 3 3 2 5 2 2 3" xfId="25494"/>
    <cellStyle name="Normal 5 3 3 3 2 5 2 2 4" xfId="33934"/>
    <cellStyle name="Normal 5 3 3 3 2 5 2 3" xfId="12835"/>
    <cellStyle name="Normal 5 3 3 3 2 5 2 4" xfId="21277"/>
    <cellStyle name="Normal 5 3 3 3 2 5 2 5" xfId="29717"/>
    <cellStyle name="Normal 5 3 3 3 2 5 3" xfId="6472"/>
    <cellStyle name="Normal 5 3 3 3 2 5 3 2" xfId="14908"/>
    <cellStyle name="Normal 5 3 3 3 2 5 3 3" xfId="23349"/>
    <cellStyle name="Normal 5 3 3 3 2 5 3 4" xfId="31789"/>
    <cellStyle name="Normal 5 3 3 3 2 5 4" xfId="10690"/>
    <cellStyle name="Normal 5 3 3 3 2 5 5" xfId="19132"/>
    <cellStyle name="Normal 5 3 3 3 2 5 6" xfId="27572"/>
    <cellStyle name="Normal 5 3 3 3 2 6" xfId="2601"/>
    <cellStyle name="Normal 5 3 3 3 2 6 2" xfId="6885"/>
    <cellStyle name="Normal 5 3 3 3 2 6 2 2" xfId="15321"/>
    <cellStyle name="Normal 5 3 3 3 2 6 2 3" xfId="23762"/>
    <cellStyle name="Normal 5 3 3 3 2 6 2 4" xfId="32202"/>
    <cellStyle name="Normal 5 3 3 3 2 6 3" xfId="11103"/>
    <cellStyle name="Normal 5 3 3 3 2 6 4" xfId="19545"/>
    <cellStyle name="Normal 5 3 3 3 2 6 5" xfId="27985"/>
    <cellStyle name="Normal 5 3 3 3 2 7" xfId="4820"/>
    <cellStyle name="Normal 5 3 3 3 2 7 2" xfId="13256"/>
    <cellStyle name="Normal 5 3 3 3 2 7 3" xfId="21697"/>
    <cellStyle name="Normal 5 3 3 3 2 7 4" xfId="30137"/>
    <cellStyle name="Normal 5 3 3 3 2 8" xfId="9038"/>
    <cellStyle name="Normal 5 3 3 3 2 9" xfId="17480"/>
    <cellStyle name="Normal 5 3 3 3 3" xfId="920"/>
    <cellStyle name="Normal 5 3 3 3 3 2" xfId="3154"/>
    <cellStyle name="Normal 5 3 3 3 3 2 2" xfId="7377"/>
    <cellStyle name="Normal 5 3 3 3 3 2 2 2" xfId="15813"/>
    <cellStyle name="Normal 5 3 3 3 3 2 2 3" xfId="24254"/>
    <cellStyle name="Normal 5 3 3 3 3 2 2 4" xfId="32694"/>
    <cellStyle name="Normal 5 3 3 3 3 2 3" xfId="11595"/>
    <cellStyle name="Normal 5 3 3 3 3 2 4" xfId="20037"/>
    <cellStyle name="Normal 5 3 3 3 3 2 5" xfId="28477"/>
    <cellStyle name="Normal 5 3 3 3 3 3" xfId="5232"/>
    <cellStyle name="Normal 5 3 3 3 3 3 2" xfId="13668"/>
    <cellStyle name="Normal 5 3 3 3 3 3 3" xfId="22109"/>
    <cellStyle name="Normal 5 3 3 3 3 3 4" xfId="30549"/>
    <cellStyle name="Normal 5 3 3 3 3 4" xfId="9450"/>
    <cellStyle name="Normal 5 3 3 3 3 5" xfId="17892"/>
    <cellStyle name="Normal 5 3 3 3 3 6" xfId="26332"/>
    <cellStyle name="Normal 5 3 3 3 4" xfId="1337"/>
    <cellStyle name="Normal 5 3 3 3 4 2" xfId="3567"/>
    <cellStyle name="Normal 5 3 3 3 4 2 2" xfId="7790"/>
    <cellStyle name="Normal 5 3 3 3 4 2 2 2" xfId="16226"/>
    <cellStyle name="Normal 5 3 3 3 4 2 2 3" xfId="24667"/>
    <cellStyle name="Normal 5 3 3 3 4 2 2 4" xfId="33107"/>
    <cellStyle name="Normal 5 3 3 3 4 2 3" xfId="12008"/>
    <cellStyle name="Normal 5 3 3 3 4 2 4" xfId="20450"/>
    <cellStyle name="Normal 5 3 3 3 4 2 5" xfId="28890"/>
    <cellStyle name="Normal 5 3 3 3 4 3" xfId="5645"/>
    <cellStyle name="Normal 5 3 3 3 4 3 2" xfId="14081"/>
    <cellStyle name="Normal 5 3 3 3 4 3 3" xfId="22522"/>
    <cellStyle name="Normal 5 3 3 3 4 3 4" xfId="30962"/>
    <cellStyle name="Normal 5 3 3 3 4 4" xfId="9863"/>
    <cellStyle name="Normal 5 3 3 3 4 5" xfId="18305"/>
    <cellStyle name="Normal 5 3 3 3 4 6" xfId="26745"/>
    <cellStyle name="Normal 5 3 3 3 5" xfId="1750"/>
    <cellStyle name="Normal 5 3 3 3 5 2" xfId="3980"/>
    <cellStyle name="Normal 5 3 3 3 5 2 2" xfId="8203"/>
    <cellStyle name="Normal 5 3 3 3 5 2 2 2" xfId="16639"/>
    <cellStyle name="Normal 5 3 3 3 5 2 2 3" xfId="25080"/>
    <cellStyle name="Normal 5 3 3 3 5 2 2 4" xfId="33520"/>
    <cellStyle name="Normal 5 3 3 3 5 2 3" xfId="12421"/>
    <cellStyle name="Normal 5 3 3 3 5 2 4" xfId="20863"/>
    <cellStyle name="Normal 5 3 3 3 5 2 5" xfId="29303"/>
    <cellStyle name="Normal 5 3 3 3 5 3" xfId="6058"/>
    <cellStyle name="Normal 5 3 3 3 5 3 2" xfId="14494"/>
    <cellStyle name="Normal 5 3 3 3 5 3 3" xfId="22935"/>
    <cellStyle name="Normal 5 3 3 3 5 3 4" xfId="31375"/>
    <cellStyle name="Normal 5 3 3 3 5 4" xfId="10276"/>
    <cellStyle name="Normal 5 3 3 3 5 5" xfId="18718"/>
    <cellStyle name="Normal 5 3 3 3 5 6" xfId="27158"/>
    <cellStyle name="Normal 5 3 3 3 6" xfId="2164"/>
    <cellStyle name="Normal 5 3 3 3 6 2" xfId="4393"/>
    <cellStyle name="Normal 5 3 3 3 6 2 2" xfId="8616"/>
    <cellStyle name="Normal 5 3 3 3 6 2 2 2" xfId="17052"/>
    <cellStyle name="Normal 5 3 3 3 6 2 2 3" xfId="25493"/>
    <cellStyle name="Normal 5 3 3 3 6 2 2 4" xfId="33933"/>
    <cellStyle name="Normal 5 3 3 3 6 2 3" xfId="12834"/>
    <cellStyle name="Normal 5 3 3 3 6 2 4" xfId="21276"/>
    <cellStyle name="Normal 5 3 3 3 6 2 5" xfId="29716"/>
    <cellStyle name="Normal 5 3 3 3 6 3" xfId="6471"/>
    <cellStyle name="Normal 5 3 3 3 6 3 2" xfId="14907"/>
    <cellStyle name="Normal 5 3 3 3 6 3 3" xfId="23348"/>
    <cellStyle name="Normal 5 3 3 3 6 3 4" xfId="31788"/>
    <cellStyle name="Normal 5 3 3 3 6 4" xfId="10689"/>
    <cellStyle name="Normal 5 3 3 3 6 5" xfId="19131"/>
    <cellStyle name="Normal 5 3 3 3 6 6" xfId="27571"/>
    <cellStyle name="Normal 5 3 3 3 7" xfId="2600"/>
    <cellStyle name="Normal 5 3 3 3 7 2" xfId="6884"/>
    <cellStyle name="Normal 5 3 3 3 7 2 2" xfId="15320"/>
    <cellStyle name="Normal 5 3 3 3 7 2 3" xfId="23761"/>
    <cellStyle name="Normal 5 3 3 3 7 2 4" xfId="32201"/>
    <cellStyle name="Normal 5 3 3 3 7 3" xfId="11102"/>
    <cellStyle name="Normal 5 3 3 3 7 4" xfId="19544"/>
    <cellStyle name="Normal 5 3 3 3 7 5" xfId="27984"/>
    <cellStyle name="Normal 5 3 3 3 8" xfId="4819"/>
    <cellStyle name="Normal 5 3 3 3 8 2" xfId="13255"/>
    <cellStyle name="Normal 5 3 3 3 8 3" xfId="21696"/>
    <cellStyle name="Normal 5 3 3 3 8 4" xfId="30136"/>
    <cellStyle name="Normal 5 3 3 3 9" xfId="9037"/>
    <cellStyle name="Normal 5 3 3 4" xfId="448"/>
    <cellStyle name="Normal 5 3 3 4 10" xfId="25921"/>
    <cellStyle name="Normal 5 3 3 4 2" xfId="922"/>
    <cellStyle name="Normal 5 3 3 4 2 2" xfId="3156"/>
    <cellStyle name="Normal 5 3 3 4 2 2 2" xfId="7379"/>
    <cellStyle name="Normal 5 3 3 4 2 2 2 2" xfId="15815"/>
    <cellStyle name="Normal 5 3 3 4 2 2 2 3" xfId="24256"/>
    <cellStyle name="Normal 5 3 3 4 2 2 2 4" xfId="32696"/>
    <cellStyle name="Normal 5 3 3 4 2 2 3" xfId="11597"/>
    <cellStyle name="Normal 5 3 3 4 2 2 4" xfId="20039"/>
    <cellStyle name="Normal 5 3 3 4 2 2 5" xfId="28479"/>
    <cellStyle name="Normal 5 3 3 4 2 3" xfId="5234"/>
    <cellStyle name="Normal 5 3 3 4 2 3 2" xfId="13670"/>
    <cellStyle name="Normal 5 3 3 4 2 3 3" xfId="22111"/>
    <cellStyle name="Normal 5 3 3 4 2 3 4" xfId="30551"/>
    <cellStyle name="Normal 5 3 3 4 2 4" xfId="9452"/>
    <cellStyle name="Normal 5 3 3 4 2 5" xfId="17894"/>
    <cellStyle name="Normal 5 3 3 4 2 6" xfId="26334"/>
    <cellStyle name="Normal 5 3 3 4 3" xfId="1339"/>
    <cellStyle name="Normal 5 3 3 4 3 2" xfId="3569"/>
    <cellStyle name="Normal 5 3 3 4 3 2 2" xfId="7792"/>
    <cellStyle name="Normal 5 3 3 4 3 2 2 2" xfId="16228"/>
    <cellStyle name="Normal 5 3 3 4 3 2 2 3" xfId="24669"/>
    <cellStyle name="Normal 5 3 3 4 3 2 2 4" xfId="33109"/>
    <cellStyle name="Normal 5 3 3 4 3 2 3" xfId="12010"/>
    <cellStyle name="Normal 5 3 3 4 3 2 4" xfId="20452"/>
    <cellStyle name="Normal 5 3 3 4 3 2 5" xfId="28892"/>
    <cellStyle name="Normal 5 3 3 4 3 3" xfId="5647"/>
    <cellStyle name="Normal 5 3 3 4 3 3 2" xfId="14083"/>
    <cellStyle name="Normal 5 3 3 4 3 3 3" xfId="22524"/>
    <cellStyle name="Normal 5 3 3 4 3 3 4" xfId="30964"/>
    <cellStyle name="Normal 5 3 3 4 3 4" xfId="9865"/>
    <cellStyle name="Normal 5 3 3 4 3 5" xfId="18307"/>
    <cellStyle name="Normal 5 3 3 4 3 6" xfId="26747"/>
    <cellStyle name="Normal 5 3 3 4 4" xfId="1752"/>
    <cellStyle name="Normal 5 3 3 4 4 2" xfId="3982"/>
    <cellStyle name="Normal 5 3 3 4 4 2 2" xfId="8205"/>
    <cellStyle name="Normal 5 3 3 4 4 2 2 2" xfId="16641"/>
    <cellStyle name="Normal 5 3 3 4 4 2 2 3" xfId="25082"/>
    <cellStyle name="Normal 5 3 3 4 4 2 2 4" xfId="33522"/>
    <cellStyle name="Normal 5 3 3 4 4 2 3" xfId="12423"/>
    <cellStyle name="Normal 5 3 3 4 4 2 4" xfId="20865"/>
    <cellStyle name="Normal 5 3 3 4 4 2 5" xfId="29305"/>
    <cellStyle name="Normal 5 3 3 4 4 3" xfId="6060"/>
    <cellStyle name="Normal 5 3 3 4 4 3 2" xfId="14496"/>
    <cellStyle name="Normal 5 3 3 4 4 3 3" xfId="22937"/>
    <cellStyle name="Normal 5 3 3 4 4 3 4" xfId="31377"/>
    <cellStyle name="Normal 5 3 3 4 4 4" xfId="10278"/>
    <cellStyle name="Normal 5 3 3 4 4 5" xfId="18720"/>
    <cellStyle name="Normal 5 3 3 4 4 6" xfId="27160"/>
    <cellStyle name="Normal 5 3 3 4 5" xfId="2166"/>
    <cellStyle name="Normal 5 3 3 4 5 2" xfId="4395"/>
    <cellStyle name="Normal 5 3 3 4 5 2 2" xfId="8618"/>
    <cellStyle name="Normal 5 3 3 4 5 2 2 2" xfId="17054"/>
    <cellStyle name="Normal 5 3 3 4 5 2 2 3" xfId="25495"/>
    <cellStyle name="Normal 5 3 3 4 5 2 2 4" xfId="33935"/>
    <cellStyle name="Normal 5 3 3 4 5 2 3" xfId="12836"/>
    <cellStyle name="Normal 5 3 3 4 5 2 4" xfId="21278"/>
    <cellStyle name="Normal 5 3 3 4 5 2 5" xfId="29718"/>
    <cellStyle name="Normal 5 3 3 4 5 3" xfId="6473"/>
    <cellStyle name="Normal 5 3 3 4 5 3 2" xfId="14909"/>
    <cellStyle name="Normal 5 3 3 4 5 3 3" xfId="23350"/>
    <cellStyle name="Normal 5 3 3 4 5 3 4" xfId="31790"/>
    <cellStyle name="Normal 5 3 3 4 5 4" xfId="10691"/>
    <cellStyle name="Normal 5 3 3 4 5 5" xfId="19133"/>
    <cellStyle name="Normal 5 3 3 4 5 6" xfId="27573"/>
    <cellStyle name="Normal 5 3 3 4 6" xfId="2602"/>
    <cellStyle name="Normal 5 3 3 4 6 2" xfId="6886"/>
    <cellStyle name="Normal 5 3 3 4 6 2 2" xfId="15322"/>
    <cellStyle name="Normal 5 3 3 4 6 2 3" xfId="23763"/>
    <cellStyle name="Normal 5 3 3 4 6 2 4" xfId="32203"/>
    <cellStyle name="Normal 5 3 3 4 6 3" xfId="11104"/>
    <cellStyle name="Normal 5 3 3 4 6 4" xfId="19546"/>
    <cellStyle name="Normal 5 3 3 4 6 5" xfId="27986"/>
    <cellStyle name="Normal 5 3 3 4 7" xfId="4821"/>
    <cellStyle name="Normal 5 3 3 4 7 2" xfId="13257"/>
    <cellStyle name="Normal 5 3 3 4 7 3" xfId="21698"/>
    <cellStyle name="Normal 5 3 3 4 7 4" xfId="30138"/>
    <cellStyle name="Normal 5 3 3 4 8" xfId="9039"/>
    <cellStyle name="Normal 5 3 3 4 9" xfId="17481"/>
    <cellStyle name="Normal 5 3 3 5" xfId="915"/>
    <cellStyle name="Normal 5 3 3 5 2" xfId="3149"/>
    <cellStyle name="Normal 5 3 3 5 2 2" xfId="7372"/>
    <cellStyle name="Normal 5 3 3 5 2 2 2" xfId="15808"/>
    <cellStyle name="Normal 5 3 3 5 2 2 3" xfId="24249"/>
    <cellStyle name="Normal 5 3 3 5 2 2 4" xfId="32689"/>
    <cellStyle name="Normal 5 3 3 5 2 3" xfId="11590"/>
    <cellStyle name="Normal 5 3 3 5 2 4" xfId="20032"/>
    <cellStyle name="Normal 5 3 3 5 2 5" xfId="28472"/>
    <cellStyle name="Normal 5 3 3 5 3" xfId="5227"/>
    <cellStyle name="Normal 5 3 3 5 3 2" xfId="13663"/>
    <cellStyle name="Normal 5 3 3 5 3 3" xfId="22104"/>
    <cellStyle name="Normal 5 3 3 5 3 4" xfId="30544"/>
    <cellStyle name="Normal 5 3 3 5 4" xfId="9445"/>
    <cellStyle name="Normal 5 3 3 5 5" xfId="17887"/>
    <cellStyle name="Normal 5 3 3 5 6" xfId="26327"/>
    <cellStyle name="Normal 5 3 3 6" xfId="1332"/>
    <cellStyle name="Normal 5 3 3 6 2" xfId="3562"/>
    <cellStyle name="Normal 5 3 3 6 2 2" xfId="7785"/>
    <cellStyle name="Normal 5 3 3 6 2 2 2" xfId="16221"/>
    <cellStyle name="Normal 5 3 3 6 2 2 3" xfId="24662"/>
    <cellStyle name="Normal 5 3 3 6 2 2 4" xfId="33102"/>
    <cellStyle name="Normal 5 3 3 6 2 3" xfId="12003"/>
    <cellStyle name="Normal 5 3 3 6 2 4" xfId="20445"/>
    <cellStyle name="Normal 5 3 3 6 2 5" xfId="28885"/>
    <cellStyle name="Normal 5 3 3 6 3" xfId="5640"/>
    <cellStyle name="Normal 5 3 3 6 3 2" xfId="14076"/>
    <cellStyle name="Normal 5 3 3 6 3 3" xfId="22517"/>
    <cellStyle name="Normal 5 3 3 6 3 4" xfId="30957"/>
    <cellStyle name="Normal 5 3 3 6 4" xfId="9858"/>
    <cellStyle name="Normal 5 3 3 6 5" xfId="18300"/>
    <cellStyle name="Normal 5 3 3 6 6" xfId="26740"/>
    <cellStyle name="Normal 5 3 3 7" xfId="1745"/>
    <cellStyle name="Normal 5 3 3 7 2" xfId="3975"/>
    <cellStyle name="Normal 5 3 3 7 2 2" xfId="8198"/>
    <cellStyle name="Normal 5 3 3 7 2 2 2" xfId="16634"/>
    <cellStyle name="Normal 5 3 3 7 2 2 3" xfId="25075"/>
    <cellStyle name="Normal 5 3 3 7 2 2 4" xfId="33515"/>
    <cellStyle name="Normal 5 3 3 7 2 3" xfId="12416"/>
    <cellStyle name="Normal 5 3 3 7 2 4" xfId="20858"/>
    <cellStyle name="Normal 5 3 3 7 2 5" xfId="29298"/>
    <cellStyle name="Normal 5 3 3 7 3" xfId="6053"/>
    <cellStyle name="Normal 5 3 3 7 3 2" xfId="14489"/>
    <cellStyle name="Normal 5 3 3 7 3 3" xfId="22930"/>
    <cellStyle name="Normal 5 3 3 7 3 4" xfId="31370"/>
    <cellStyle name="Normal 5 3 3 7 4" xfId="10271"/>
    <cellStyle name="Normal 5 3 3 7 5" xfId="18713"/>
    <cellStyle name="Normal 5 3 3 7 6" xfId="27153"/>
    <cellStyle name="Normal 5 3 3 8" xfId="2159"/>
    <cellStyle name="Normal 5 3 3 8 2" xfId="4388"/>
    <cellStyle name="Normal 5 3 3 8 2 2" xfId="8611"/>
    <cellStyle name="Normal 5 3 3 8 2 2 2" xfId="17047"/>
    <cellStyle name="Normal 5 3 3 8 2 2 3" xfId="25488"/>
    <cellStyle name="Normal 5 3 3 8 2 2 4" xfId="33928"/>
    <cellStyle name="Normal 5 3 3 8 2 3" xfId="12829"/>
    <cellStyle name="Normal 5 3 3 8 2 4" xfId="21271"/>
    <cellStyle name="Normal 5 3 3 8 2 5" xfId="29711"/>
    <cellStyle name="Normal 5 3 3 8 3" xfId="6466"/>
    <cellStyle name="Normal 5 3 3 8 3 2" xfId="14902"/>
    <cellStyle name="Normal 5 3 3 8 3 3" xfId="23343"/>
    <cellStyle name="Normal 5 3 3 8 3 4" xfId="31783"/>
    <cellStyle name="Normal 5 3 3 8 4" xfId="10684"/>
    <cellStyle name="Normal 5 3 3 8 5" xfId="19126"/>
    <cellStyle name="Normal 5 3 3 8 6" xfId="27566"/>
    <cellStyle name="Normal 5 3 3 9" xfId="2595"/>
    <cellStyle name="Normal 5 3 3 9 2" xfId="6879"/>
    <cellStyle name="Normal 5 3 3 9 2 2" xfId="15315"/>
    <cellStyle name="Normal 5 3 3 9 2 3" xfId="23756"/>
    <cellStyle name="Normal 5 3 3 9 2 4" xfId="32196"/>
    <cellStyle name="Normal 5 3 3 9 3" xfId="11097"/>
    <cellStyle name="Normal 5 3 3 9 4" xfId="19539"/>
    <cellStyle name="Normal 5 3 3 9 5" xfId="27979"/>
    <cellStyle name="Normal 5 3 4" xfId="449"/>
    <cellStyle name="Normal 5 3 4 10" xfId="9040"/>
    <cellStyle name="Normal 5 3 4 11" xfId="17482"/>
    <cellStyle name="Normal 5 3 4 12" xfId="25922"/>
    <cellStyle name="Normal 5 3 4 2" xfId="450"/>
    <cellStyle name="Normal 5 3 4 2 10" xfId="17483"/>
    <cellStyle name="Normal 5 3 4 2 11" xfId="25923"/>
    <cellStyle name="Normal 5 3 4 2 2" xfId="451"/>
    <cellStyle name="Normal 5 3 4 2 2 10" xfId="25924"/>
    <cellStyle name="Normal 5 3 4 2 2 2" xfId="925"/>
    <cellStyle name="Normal 5 3 4 2 2 2 2" xfId="3159"/>
    <cellStyle name="Normal 5 3 4 2 2 2 2 2" xfId="7382"/>
    <cellStyle name="Normal 5 3 4 2 2 2 2 2 2" xfId="15818"/>
    <cellStyle name="Normal 5 3 4 2 2 2 2 2 3" xfId="24259"/>
    <cellStyle name="Normal 5 3 4 2 2 2 2 2 4" xfId="32699"/>
    <cellStyle name="Normal 5 3 4 2 2 2 2 3" xfId="11600"/>
    <cellStyle name="Normal 5 3 4 2 2 2 2 4" xfId="20042"/>
    <cellStyle name="Normal 5 3 4 2 2 2 2 5" xfId="28482"/>
    <cellStyle name="Normal 5 3 4 2 2 2 3" xfId="5237"/>
    <cellStyle name="Normal 5 3 4 2 2 2 3 2" xfId="13673"/>
    <cellStyle name="Normal 5 3 4 2 2 2 3 3" xfId="22114"/>
    <cellStyle name="Normal 5 3 4 2 2 2 3 4" xfId="30554"/>
    <cellStyle name="Normal 5 3 4 2 2 2 4" xfId="9455"/>
    <cellStyle name="Normal 5 3 4 2 2 2 5" xfId="17897"/>
    <cellStyle name="Normal 5 3 4 2 2 2 6" xfId="26337"/>
    <cellStyle name="Normal 5 3 4 2 2 3" xfId="1342"/>
    <cellStyle name="Normal 5 3 4 2 2 3 2" xfId="3572"/>
    <cellStyle name="Normal 5 3 4 2 2 3 2 2" xfId="7795"/>
    <cellStyle name="Normal 5 3 4 2 2 3 2 2 2" xfId="16231"/>
    <cellStyle name="Normal 5 3 4 2 2 3 2 2 3" xfId="24672"/>
    <cellStyle name="Normal 5 3 4 2 2 3 2 2 4" xfId="33112"/>
    <cellStyle name="Normal 5 3 4 2 2 3 2 3" xfId="12013"/>
    <cellStyle name="Normal 5 3 4 2 2 3 2 4" xfId="20455"/>
    <cellStyle name="Normal 5 3 4 2 2 3 2 5" xfId="28895"/>
    <cellStyle name="Normal 5 3 4 2 2 3 3" xfId="5650"/>
    <cellStyle name="Normal 5 3 4 2 2 3 3 2" xfId="14086"/>
    <cellStyle name="Normal 5 3 4 2 2 3 3 3" xfId="22527"/>
    <cellStyle name="Normal 5 3 4 2 2 3 3 4" xfId="30967"/>
    <cellStyle name="Normal 5 3 4 2 2 3 4" xfId="9868"/>
    <cellStyle name="Normal 5 3 4 2 2 3 5" xfId="18310"/>
    <cellStyle name="Normal 5 3 4 2 2 3 6" xfId="26750"/>
    <cellStyle name="Normal 5 3 4 2 2 4" xfId="1755"/>
    <cellStyle name="Normal 5 3 4 2 2 4 2" xfId="3985"/>
    <cellStyle name="Normal 5 3 4 2 2 4 2 2" xfId="8208"/>
    <cellStyle name="Normal 5 3 4 2 2 4 2 2 2" xfId="16644"/>
    <cellStyle name="Normal 5 3 4 2 2 4 2 2 3" xfId="25085"/>
    <cellStyle name="Normal 5 3 4 2 2 4 2 2 4" xfId="33525"/>
    <cellStyle name="Normal 5 3 4 2 2 4 2 3" xfId="12426"/>
    <cellStyle name="Normal 5 3 4 2 2 4 2 4" xfId="20868"/>
    <cellStyle name="Normal 5 3 4 2 2 4 2 5" xfId="29308"/>
    <cellStyle name="Normal 5 3 4 2 2 4 3" xfId="6063"/>
    <cellStyle name="Normal 5 3 4 2 2 4 3 2" xfId="14499"/>
    <cellStyle name="Normal 5 3 4 2 2 4 3 3" xfId="22940"/>
    <cellStyle name="Normal 5 3 4 2 2 4 3 4" xfId="31380"/>
    <cellStyle name="Normal 5 3 4 2 2 4 4" xfId="10281"/>
    <cellStyle name="Normal 5 3 4 2 2 4 5" xfId="18723"/>
    <cellStyle name="Normal 5 3 4 2 2 4 6" xfId="27163"/>
    <cellStyle name="Normal 5 3 4 2 2 5" xfId="2169"/>
    <cellStyle name="Normal 5 3 4 2 2 5 2" xfId="4398"/>
    <cellStyle name="Normal 5 3 4 2 2 5 2 2" xfId="8621"/>
    <cellStyle name="Normal 5 3 4 2 2 5 2 2 2" xfId="17057"/>
    <cellStyle name="Normal 5 3 4 2 2 5 2 2 3" xfId="25498"/>
    <cellStyle name="Normal 5 3 4 2 2 5 2 2 4" xfId="33938"/>
    <cellStyle name="Normal 5 3 4 2 2 5 2 3" xfId="12839"/>
    <cellStyle name="Normal 5 3 4 2 2 5 2 4" xfId="21281"/>
    <cellStyle name="Normal 5 3 4 2 2 5 2 5" xfId="29721"/>
    <cellStyle name="Normal 5 3 4 2 2 5 3" xfId="6476"/>
    <cellStyle name="Normal 5 3 4 2 2 5 3 2" xfId="14912"/>
    <cellStyle name="Normal 5 3 4 2 2 5 3 3" xfId="23353"/>
    <cellStyle name="Normal 5 3 4 2 2 5 3 4" xfId="31793"/>
    <cellStyle name="Normal 5 3 4 2 2 5 4" xfId="10694"/>
    <cellStyle name="Normal 5 3 4 2 2 5 5" xfId="19136"/>
    <cellStyle name="Normal 5 3 4 2 2 5 6" xfId="27576"/>
    <cellStyle name="Normal 5 3 4 2 2 6" xfId="2605"/>
    <cellStyle name="Normal 5 3 4 2 2 6 2" xfId="6889"/>
    <cellStyle name="Normal 5 3 4 2 2 6 2 2" xfId="15325"/>
    <cellStyle name="Normal 5 3 4 2 2 6 2 3" xfId="23766"/>
    <cellStyle name="Normal 5 3 4 2 2 6 2 4" xfId="32206"/>
    <cellStyle name="Normal 5 3 4 2 2 6 3" xfId="11107"/>
    <cellStyle name="Normal 5 3 4 2 2 6 4" xfId="19549"/>
    <cellStyle name="Normal 5 3 4 2 2 6 5" xfId="27989"/>
    <cellStyle name="Normal 5 3 4 2 2 7" xfId="4824"/>
    <cellStyle name="Normal 5 3 4 2 2 7 2" xfId="13260"/>
    <cellStyle name="Normal 5 3 4 2 2 7 3" xfId="21701"/>
    <cellStyle name="Normal 5 3 4 2 2 7 4" xfId="30141"/>
    <cellStyle name="Normal 5 3 4 2 2 8" xfId="9042"/>
    <cellStyle name="Normal 5 3 4 2 2 9" xfId="17484"/>
    <cellStyle name="Normal 5 3 4 2 3" xfId="924"/>
    <cellStyle name="Normal 5 3 4 2 3 2" xfId="3158"/>
    <cellStyle name="Normal 5 3 4 2 3 2 2" xfId="7381"/>
    <cellStyle name="Normal 5 3 4 2 3 2 2 2" xfId="15817"/>
    <cellStyle name="Normal 5 3 4 2 3 2 2 3" xfId="24258"/>
    <cellStyle name="Normal 5 3 4 2 3 2 2 4" xfId="32698"/>
    <cellStyle name="Normal 5 3 4 2 3 2 3" xfId="11599"/>
    <cellStyle name="Normal 5 3 4 2 3 2 4" xfId="20041"/>
    <cellStyle name="Normal 5 3 4 2 3 2 5" xfId="28481"/>
    <cellStyle name="Normal 5 3 4 2 3 3" xfId="5236"/>
    <cellStyle name="Normal 5 3 4 2 3 3 2" xfId="13672"/>
    <cellStyle name="Normal 5 3 4 2 3 3 3" xfId="22113"/>
    <cellStyle name="Normal 5 3 4 2 3 3 4" xfId="30553"/>
    <cellStyle name="Normal 5 3 4 2 3 4" xfId="9454"/>
    <cellStyle name="Normal 5 3 4 2 3 5" xfId="17896"/>
    <cellStyle name="Normal 5 3 4 2 3 6" xfId="26336"/>
    <cellStyle name="Normal 5 3 4 2 4" xfId="1341"/>
    <cellStyle name="Normal 5 3 4 2 4 2" xfId="3571"/>
    <cellStyle name="Normal 5 3 4 2 4 2 2" xfId="7794"/>
    <cellStyle name="Normal 5 3 4 2 4 2 2 2" xfId="16230"/>
    <cellStyle name="Normal 5 3 4 2 4 2 2 3" xfId="24671"/>
    <cellStyle name="Normal 5 3 4 2 4 2 2 4" xfId="33111"/>
    <cellStyle name="Normal 5 3 4 2 4 2 3" xfId="12012"/>
    <cellStyle name="Normal 5 3 4 2 4 2 4" xfId="20454"/>
    <cellStyle name="Normal 5 3 4 2 4 2 5" xfId="28894"/>
    <cellStyle name="Normal 5 3 4 2 4 3" xfId="5649"/>
    <cellStyle name="Normal 5 3 4 2 4 3 2" xfId="14085"/>
    <cellStyle name="Normal 5 3 4 2 4 3 3" xfId="22526"/>
    <cellStyle name="Normal 5 3 4 2 4 3 4" xfId="30966"/>
    <cellStyle name="Normal 5 3 4 2 4 4" xfId="9867"/>
    <cellStyle name="Normal 5 3 4 2 4 5" xfId="18309"/>
    <cellStyle name="Normal 5 3 4 2 4 6" xfId="26749"/>
    <cellStyle name="Normal 5 3 4 2 5" xfId="1754"/>
    <cellStyle name="Normal 5 3 4 2 5 2" xfId="3984"/>
    <cellStyle name="Normal 5 3 4 2 5 2 2" xfId="8207"/>
    <cellStyle name="Normal 5 3 4 2 5 2 2 2" xfId="16643"/>
    <cellStyle name="Normal 5 3 4 2 5 2 2 3" xfId="25084"/>
    <cellStyle name="Normal 5 3 4 2 5 2 2 4" xfId="33524"/>
    <cellStyle name="Normal 5 3 4 2 5 2 3" xfId="12425"/>
    <cellStyle name="Normal 5 3 4 2 5 2 4" xfId="20867"/>
    <cellStyle name="Normal 5 3 4 2 5 2 5" xfId="29307"/>
    <cellStyle name="Normal 5 3 4 2 5 3" xfId="6062"/>
    <cellStyle name="Normal 5 3 4 2 5 3 2" xfId="14498"/>
    <cellStyle name="Normal 5 3 4 2 5 3 3" xfId="22939"/>
    <cellStyle name="Normal 5 3 4 2 5 3 4" xfId="31379"/>
    <cellStyle name="Normal 5 3 4 2 5 4" xfId="10280"/>
    <cellStyle name="Normal 5 3 4 2 5 5" xfId="18722"/>
    <cellStyle name="Normal 5 3 4 2 5 6" xfId="27162"/>
    <cellStyle name="Normal 5 3 4 2 6" xfId="2168"/>
    <cellStyle name="Normal 5 3 4 2 6 2" xfId="4397"/>
    <cellStyle name="Normal 5 3 4 2 6 2 2" xfId="8620"/>
    <cellStyle name="Normal 5 3 4 2 6 2 2 2" xfId="17056"/>
    <cellStyle name="Normal 5 3 4 2 6 2 2 3" xfId="25497"/>
    <cellStyle name="Normal 5 3 4 2 6 2 2 4" xfId="33937"/>
    <cellStyle name="Normal 5 3 4 2 6 2 3" xfId="12838"/>
    <cellStyle name="Normal 5 3 4 2 6 2 4" xfId="21280"/>
    <cellStyle name="Normal 5 3 4 2 6 2 5" xfId="29720"/>
    <cellStyle name="Normal 5 3 4 2 6 3" xfId="6475"/>
    <cellStyle name="Normal 5 3 4 2 6 3 2" xfId="14911"/>
    <cellStyle name="Normal 5 3 4 2 6 3 3" xfId="23352"/>
    <cellStyle name="Normal 5 3 4 2 6 3 4" xfId="31792"/>
    <cellStyle name="Normal 5 3 4 2 6 4" xfId="10693"/>
    <cellStyle name="Normal 5 3 4 2 6 5" xfId="19135"/>
    <cellStyle name="Normal 5 3 4 2 6 6" xfId="27575"/>
    <cellStyle name="Normal 5 3 4 2 7" xfId="2604"/>
    <cellStyle name="Normal 5 3 4 2 7 2" xfId="6888"/>
    <cellStyle name="Normal 5 3 4 2 7 2 2" xfId="15324"/>
    <cellStyle name="Normal 5 3 4 2 7 2 3" xfId="23765"/>
    <cellStyle name="Normal 5 3 4 2 7 2 4" xfId="32205"/>
    <cellStyle name="Normal 5 3 4 2 7 3" xfId="11106"/>
    <cellStyle name="Normal 5 3 4 2 7 4" xfId="19548"/>
    <cellStyle name="Normal 5 3 4 2 7 5" xfId="27988"/>
    <cellStyle name="Normal 5 3 4 2 8" xfId="4823"/>
    <cellStyle name="Normal 5 3 4 2 8 2" xfId="13259"/>
    <cellStyle name="Normal 5 3 4 2 8 3" xfId="21700"/>
    <cellStyle name="Normal 5 3 4 2 8 4" xfId="30140"/>
    <cellStyle name="Normal 5 3 4 2 9" xfId="9041"/>
    <cellStyle name="Normal 5 3 4 3" xfId="452"/>
    <cellStyle name="Normal 5 3 4 3 10" xfId="25925"/>
    <cellStyle name="Normal 5 3 4 3 2" xfId="926"/>
    <cellStyle name="Normal 5 3 4 3 2 2" xfId="3160"/>
    <cellStyle name="Normal 5 3 4 3 2 2 2" xfId="7383"/>
    <cellStyle name="Normal 5 3 4 3 2 2 2 2" xfId="15819"/>
    <cellStyle name="Normal 5 3 4 3 2 2 2 3" xfId="24260"/>
    <cellStyle name="Normal 5 3 4 3 2 2 2 4" xfId="32700"/>
    <cellStyle name="Normal 5 3 4 3 2 2 3" xfId="11601"/>
    <cellStyle name="Normal 5 3 4 3 2 2 4" xfId="20043"/>
    <cellStyle name="Normal 5 3 4 3 2 2 5" xfId="28483"/>
    <cellStyle name="Normal 5 3 4 3 2 3" xfId="5238"/>
    <cellStyle name="Normal 5 3 4 3 2 3 2" xfId="13674"/>
    <cellStyle name="Normal 5 3 4 3 2 3 3" xfId="22115"/>
    <cellStyle name="Normal 5 3 4 3 2 3 4" xfId="30555"/>
    <cellStyle name="Normal 5 3 4 3 2 4" xfId="9456"/>
    <cellStyle name="Normal 5 3 4 3 2 5" xfId="17898"/>
    <cellStyle name="Normal 5 3 4 3 2 6" xfId="26338"/>
    <cellStyle name="Normal 5 3 4 3 3" xfId="1343"/>
    <cellStyle name="Normal 5 3 4 3 3 2" xfId="3573"/>
    <cellStyle name="Normal 5 3 4 3 3 2 2" xfId="7796"/>
    <cellStyle name="Normal 5 3 4 3 3 2 2 2" xfId="16232"/>
    <cellStyle name="Normal 5 3 4 3 3 2 2 3" xfId="24673"/>
    <cellStyle name="Normal 5 3 4 3 3 2 2 4" xfId="33113"/>
    <cellStyle name="Normal 5 3 4 3 3 2 3" xfId="12014"/>
    <cellStyle name="Normal 5 3 4 3 3 2 4" xfId="20456"/>
    <cellStyle name="Normal 5 3 4 3 3 2 5" xfId="28896"/>
    <cellStyle name="Normal 5 3 4 3 3 3" xfId="5651"/>
    <cellStyle name="Normal 5 3 4 3 3 3 2" xfId="14087"/>
    <cellStyle name="Normal 5 3 4 3 3 3 3" xfId="22528"/>
    <cellStyle name="Normal 5 3 4 3 3 3 4" xfId="30968"/>
    <cellStyle name="Normal 5 3 4 3 3 4" xfId="9869"/>
    <cellStyle name="Normal 5 3 4 3 3 5" xfId="18311"/>
    <cellStyle name="Normal 5 3 4 3 3 6" xfId="26751"/>
    <cellStyle name="Normal 5 3 4 3 4" xfId="1756"/>
    <cellStyle name="Normal 5 3 4 3 4 2" xfId="3986"/>
    <cellStyle name="Normal 5 3 4 3 4 2 2" xfId="8209"/>
    <cellStyle name="Normal 5 3 4 3 4 2 2 2" xfId="16645"/>
    <cellStyle name="Normal 5 3 4 3 4 2 2 3" xfId="25086"/>
    <cellStyle name="Normal 5 3 4 3 4 2 2 4" xfId="33526"/>
    <cellStyle name="Normal 5 3 4 3 4 2 3" xfId="12427"/>
    <cellStyle name="Normal 5 3 4 3 4 2 4" xfId="20869"/>
    <cellStyle name="Normal 5 3 4 3 4 2 5" xfId="29309"/>
    <cellStyle name="Normal 5 3 4 3 4 3" xfId="6064"/>
    <cellStyle name="Normal 5 3 4 3 4 3 2" xfId="14500"/>
    <cellStyle name="Normal 5 3 4 3 4 3 3" xfId="22941"/>
    <cellStyle name="Normal 5 3 4 3 4 3 4" xfId="31381"/>
    <cellStyle name="Normal 5 3 4 3 4 4" xfId="10282"/>
    <cellStyle name="Normal 5 3 4 3 4 5" xfId="18724"/>
    <cellStyle name="Normal 5 3 4 3 4 6" xfId="27164"/>
    <cellStyle name="Normal 5 3 4 3 5" xfId="2170"/>
    <cellStyle name="Normal 5 3 4 3 5 2" xfId="4399"/>
    <cellStyle name="Normal 5 3 4 3 5 2 2" xfId="8622"/>
    <cellStyle name="Normal 5 3 4 3 5 2 2 2" xfId="17058"/>
    <cellStyle name="Normal 5 3 4 3 5 2 2 3" xfId="25499"/>
    <cellStyle name="Normal 5 3 4 3 5 2 2 4" xfId="33939"/>
    <cellStyle name="Normal 5 3 4 3 5 2 3" xfId="12840"/>
    <cellStyle name="Normal 5 3 4 3 5 2 4" xfId="21282"/>
    <cellStyle name="Normal 5 3 4 3 5 2 5" xfId="29722"/>
    <cellStyle name="Normal 5 3 4 3 5 3" xfId="6477"/>
    <cellStyle name="Normal 5 3 4 3 5 3 2" xfId="14913"/>
    <cellStyle name="Normal 5 3 4 3 5 3 3" xfId="23354"/>
    <cellStyle name="Normal 5 3 4 3 5 3 4" xfId="31794"/>
    <cellStyle name="Normal 5 3 4 3 5 4" xfId="10695"/>
    <cellStyle name="Normal 5 3 4 3 5 5" xfId="19137"/>
    <cellStyle name="Normal 5 3 4 3 5 6" xfId="27577"/>
    <cellStyle name="Normal 5 3 4 3 6" xfId="2606"/>
    <cellStyle name="Normal 5 3 4 3 6 2" xfId="6890"/>
    <cellStyle name="Normal 5 3 4 3 6 2 2" xfId="15326"/>
    <cellStyle name="Normal 5 3 4 3 6 2 3" xfId="23767"/>
    <cellStyle name="Normal 5 3 4 3 6 2 4" xfId="32207"/>
    <cellStyle name="Normal 5 3 4 3 6 3" xfId="11108"/>
    <cellStyle name="Normal 5 3 4 3 6 4" xfId="19550"/>
    <cellStyle name="Normal 5 3 4 3 6 5" xfId="27990"/>
    <cellStyle name="Normal 5 3 4 3 7" xfId="4825"/>
    <cellStyle name="Normal 5 3 4 3 7 2" xfId="13261"/>
    <cellStyle name="Normal 5 3 4 3 7 3" xfId="21702"/>
    <cellStyle name="Normal 5 3 4 3 7 4" xfId="30142"/>
    <cellStyle name="Normal 5 3 4 3 8" xfId="9043"/>
    <cellStyle name="Normal 5 3 4 3 9" xfId="17485"/>
    <cellStyle name="Normal 5 3 4 4" xfId="923"/>
    <cellStyle name="Normal 5 3 4 4 2" xfId="3157"/>
    <cellStyle name="Normal 5 3 4 4 2 2" xfId="7380"/>
    <cellStyle name="Normal 5 3 4 4 2 2 2" xfId="15816"/>
    <cellStyle name="Normal 5 3 4 4 2 2 3" xfId="24257"/>
    <cellStyle name="Normal 5 3 4 4 2 2 4" xfId="32697"/>
    <cellStyle name="Normal 5 3 4 4 2 3" xfId="11598"/>
    <cellStyle name="Normal 5 3 4 4 2 4" xfId="20040"/>
    <cellStyle name="Normal 5 3 4 4 2 5" xfId="28480"/>
    <cellStyle name="Normal 5 3 4 4 3" xfId="5235"/>
    <cellStyle name="Normal 5 3 4 4 3 2" xfId="13671"/>
    <cellStyle name="Normal 5 3 4 4 3 3" xfId="22112"/>
    <cellStyle name="Normal 5 3 4 4 3 4" xfId="30552"/>
    <cellStyle name="Normal 5 3 4 4 4" xfId="9453"/>
    <cellStyle name="Normal 5 3 4 4 5" xfId="17895"/>
    <cellStyle name="Normal 5 3 4 4 6" xfId="26335"/>
    <cellStyle name="Normal 5 3 4 5" xfId="1340"/>
    <cellStyle name="Normal 5 3 4 5 2" xfId="3570"/>
    <cellStyle name="Normal 5 3 4 5 2 2" xfId="7793"/>
    <cellStyle name="Normal 5 3 4 5 2 2 2" xfId="16229"/>
    <cellStyle name="Normal 5 3 4 5 2 2 3" xfId="24670"/>
    <cellStyle name="Normal 5 3 4 5 2 2 4" xfId="33110"/>
    <cellStyle name="Normal 5 3 4 5 2 3" xfId="12011"/>
    <cellStyle name="Normal 5 3 4 5 2 4" xfId="20453"/>
    <cellStyle name="Normal 5 3 4 5 2 5" xfId="28893"/>
    <cellStyle name="Normal 5 3 4 5 3" xfId="5648"/>
    <cellStyle name="Normal 5 3 4 5 3 2" xfId="14084"/>
    <cellStyle name="Normal 5 3 4 5 3 3" xfId="22525"/>
    <cellStyle name="Normal 5 3 4 5 3 4" xfId="30965"/>
    <cellStyle name="Normal 5 3 4 5 4" xfId="9866"/>
    <cellStyle name="Normal 5 3 4 5 5" xfId="18308"/>
    <cellStyle name="Normal 5 3 4 5 6" xfId="26748"/>
    <cellStyle name="Normal 5 3 4 6" xfId="1753"/>
    <cellStyle name="Normal 5 3 4 6 2" xfId="3983"/>
    <cellStyle name="Normal 5 3 4 6 2 2" xfId="8206"/>
    <cellStyle name="Normal 5 3 4 6 2 2 2" xfId="16642"/>
    <cellStyle name="Normal 5 3 4 6 2 2 3" xfId="25083"/>
    <cellStyle name="Normal 5 3 4 6 2 2 4" xfId="33523"/>
    <cellStyle name="Normal 5 3 4 6 2 3" xfId="12424"/>
    <cellStyle name="Normal 5 3 4 6 2 4" xfId="20866"/>
    <cellStyle name="Normal 5 3 4 6 2 5" xfId="29306"/>
    <cellStyle name="Normal 5 3 4 6 3" xfId="6061"/>
    <cellStyle name="Normal 5 3 4 6 3 2" xfId="14497"/>
    <cellStyle name="Normal 5 3 4 6 3 3" xfId="22938"/>
    <cellStyle name="Normal 5 3 4 6 3 4" xfId="31378"/>
    <cellStyle name="Normal 5 3 4 6 4" xfId="10279"/>
    <cellStyle name="Normal 5 3 4 6 5" xfId="18721"/>
    <cellStyle name="Normal 5 3 4 6 6" xfId="27161"/>
    <cellStyle name="Normal 5 3 4 7" xfId="2167"/>
    <cellStyle name="Normal 5 3 4 7 2" xfId="4396"/>
    <cellStyle name="Normal 5 3 4 7 2 2" xfId="8619"/>
    <cellStyle name="Normal 5 3 4 7 2 2 2" xfId="17055"/>
    <cellStyle name="Normal 5 3 4 7 2 2 3" xfId="25496"/>
    <cellStyle name="Normal 5 3 4 7 2 2 4" xfId="33936"/>
    <cellStyle name="Normal 5 3 4 7 2 3" xfId="12837"/>
    <cellStyle name="Normal 5 3 4 7 2 4" xfId="21279"/>
    <cellStyle name="Normal 5 3 4 7 2 5" xfId="29719"/>
    <cellStyle name="Normal 5 3 4 7 3" xfId="6474"/>
    <cellStyle name="Normal 5 3 4 7 3 2" xfId="14910"/>
    <cellStyle name="Normal 5 3 4 7 3 3" xfId="23351"/>
    <cellStyle name="Normal 5 3 4 7 3 4" xfId="31791"/>
    <cellStyle name="Normal 5 3 4 7 4" xfId="10692"/>
    <cellStyle name="Normal 5 3 4 7 5" xfId="19134"/>
    <cellStyle name="Normal 5 3 4 7 6" xfId="27574"/>
    <cellStyle name="Normal 5 3 4 8" xfId="2603"/>
    <cellStyle name="Normal 5 3 4 8 2" xfId="6887"/>
    <cellStyle name="Normal 5 3 4 8 2 2" xfId="15323"/>
    <cellStyle name="Normal 5 3 4 8 2 3" xfId="23764"/>
    <cellStyle name="Normal 5 3 4 8 2 4" xfId="32204"/>
    <cellStyle name="Normal 5 3 4 8 3" xfId="11105"/>
    <cellStyle name="Normal 5 3 4 8 4" xfId="19547"/>
    <cellStyle name="Normal 5 3 4 8 5" xfId="27987"/>
    <cellStyle name="Normal 5 3 4 9" xfId="4822"/>
    <cellStyle name="Normal 5 3 4 9 2" xfId="13258"/>
    <cellStyle name="Normal 5 3 4 9 3" xfId="21699"/>
    <cellStyle name="Normal 5 3 4 9 4" xfId="30139"/>
    <cellStyle name="Normal 5 3 5" xfId="453"/>
    <cellStyle name="Normal 5 3 5 10" xfId="17486"/>
    <cellStyle name="Normal 5 3 5 11" xfId="25926"/>
    <cellStyle name="Normal 5 3 5 2" xfId="454"/>
    <cellStyle name="Normal 5 3 5 2 10" xfId="25927"/>
    <cellStyle name="Normal 5 3 5 2 2" xfId="928"/>
    <cellStyle name="Normal 5 3 5 2 2 2" xfId="3162"/>
    <cellStyle name="Normal 5 3 5 2 2 2 2" xfId="7385"/>
    <cellStyle name="Normal 5 3 5 2 2 2 2 2" xfId="15821"/>
    <cellStyle name="Normal 5 3 5 2 2 2 2 3" xfId="24262"/>
    <cellStyle name="Normal 5 3 5 2 2 2 2 4" xfId="32702"/>
    <cellStyle name="Normal 5 3 5 2 2 2 3" xfId="11603"/>
    <cellStyle name="Normal 5 3 5 2 2 2 4" xfId="20045"/>
    <cellStyle name="Normal 5 3 5 2 2 2 5" xfId="28485"/>
    <cellStyle name="Normal 5 3 5 2 2 3" xfId="5240"/>
    <cellStyle name="Normal 5 3 5 2 2 3 2" xfId="13676"/>
    <cellStyle name="Normal 5 3 5 2 2 3 3" xfId="22117"/>
    <cellStyle name="Normal 5 3 5 2 2 3 4" xfId="30557"/>
    <cellStyle name="Normal 5 3 5 2 2 4" xfId="9458"/>
    <cellStyle name="Normal 5 3 5 2 2 5" xfId="17900"/>
    <cellStyle name="Normal 5 3 5 2 2 6" xfId="26340"/>
    <cellStyle name="Normal 5 3 5 2 3" xfId="1345"/>
    <cellStyle name="Normal 5 3 5 2 3 2" xfId="3575"/>
    <cellStyle name="Normal 5 3 5 2 3 2 2" xfId="7798"/>
    <cellStyle name="Normal 5 3 5 2 3 2 2 2" xfId="16234"/>
    <cellStyle name="Normal 5 3 5 2 3 2 2 3" xfId="24675"/>
    <cellStyle name="Normal 5 3 5 2 3 2 2 4" xfId="33115"/>
    <cellStyle name="Normal 5 3 5 2 3 2 3" xfId="12016"/>
    <cellStyle name="Normal 5 3 5 2 3 2 4" xfId="20458"/>
    <cellStyle name="Normal 5 3 5 2 3 2 5" xfId="28898"/>
    <cellStyle name="Normal 5 3 5 2 3 3" xfId="5653"/>
    <cellStyle name="Normal 5 3 5 2 3 3 2" xfId="14089"/>
    <cellStyle name="Normal 5 3 5 2 3 3 3" xfId="22530"/>
    <cellStyle name="Normal 5 3 5 2 3 3 4" xfId="30970"/>
    <cellStyle name="Normal 5 3 5 2 3 4" xfId="9871"/>
    <cellStyle name="Normal 5 3 5 2 3 5" xfId="18313"/>
    <cellStyle name="Normal 5 3 5 2 3 6" xfId="26753"/>
    <cellStyle name="Normal 5 3 5 2 4" xfId="1758"/>
    <cellStyle name="Normal 5 3 5 2 4 2" xfId="3988"/>
    <cellStyle name="Normal 5 3 5 2 4 2 2" xfId="8211"/>
    <cellStyle name="Normal 5 3 5 2 4 2 2 2" xfId="16647"/>
    <cellStyle name="Normal 5 3 5 2 4 2 2 3" xfId="25088"/>
    <cellStyle name="Normal 5 3 5 2 4 2 2 4" xfId="33528"/>
    <cellStyle name="Normal 5 3 5 2 4 2 3" xfId="12429"/>
    <cellStyle name="Normal 5 3 5 2 4 2 4" xfId="20871"/>
    <cellStyle name="Normal 5 3 5 2 4 2 5" xfId="29311"/>
    <cellStyle name="Normal 5 3 5 2 4 3" xfId="6066"/>
    <cellStyle name="Normal 5 3 5 2 4 3 2" xfId="14502"/>
    <cellStyle name="Normal 5 3 5 2 4 3 3" xfId="22943"/>
    <cellStyle name="Normal 5 3 5 2 4 3 4" xfId="31383"/>
    <cellStyle name="Normal 5 3 5 2 4 4" xfId="10284"/>
    <cellStyle name="Normal 5 3 5 2 4 5" xfId="18726"/>
    <cellStyle name="Normal 5 3 5 2 4 6" xfId="27166"/>
    <cellStyle name="Normal 5 3 5 2 5" xfId="2172"/>
    <cellStyle name="Normal 5 3 5 2 5 2" xfId="4401"/>
    <cellStyle name="Normal 5 3 5 2 5 2 2" xfId="8624"/>
    <cellStyle name="Normal 5 3 5 2 5 2 2 2" xfId="17060"/>
    <cellStyle name="Normal 5 3 5 2 5 2 2 3" xfId="25501"/>
    <cellStyle name="Normal 5 3 5 2 5 2 2 4" xfId="33941"/>
    <cellStyle name="Normal 5 3 5 2 5 2 3" xfId="12842"/>
    <cellStyle name="Normal 5 3 5 2 5 2 4" xfId="21284"/>
    <cellStyle name="Normal 5 3 5 2 5 2 5" xfId="29724"/>
    <cellStyle name="Normal 5 3 5 2 5 3" xfId="6479"/>
    <cellStyle name="Normal 5 3 5 2 5 3 2" xfId="14915"/>
    <cellStyle name="Normal 5 3 5 2 5 3 3" xfId="23356"/>
    <cellStyle name="Normal 5 3 5 2 5 3 4" xfId="31796"/>
    <cellStyle name="Normal 5 3 5 2 5 4" xfId="10697"/>
    <cellStyle name="Normal 5 3 5 2 5 5" xfId="19139"/>
    <cellStyle name="Normal 5 3 5 2 5 6" xfId="27579"/>
    <cellStyle name="Normal 5 3 5 2 6" xfId="2608"/>
    <cellStyle name="Normal 5 3 5 2 6 2" xfId="6892"/>
    <cellStyle name="Normal 5 3 5 2 6 2 2" xfId="15328"/>
    <cellStyle name="Normal 5 3 5 2 6 2 3" xfId="23769"/>
    <cellStyle name="Normal 5 3 5 2 6 2 4" xfId="32209"/>
    <cellStyle name="Normal 5 3 5 2 6 3" xfId="11110"/>
    <cellStyle name="Normal 5 3 5 2 6 4" xfId="19552"/>
    <cellStyle name="Normal 5 3 5 2 6 5" xfId="27992"/>
    <cellStyle name="Normal 5 3 5 2 7" xfId="4827"/>
    <cellStyle name="Normal 5 3 5 2 7 2" xfId="13263"/>
    <cellStyle name="Normal 5 3 5 2 7 3" xfId="21704"/>
    <cellStyle name="Normal 5 3 5 2 7 4" xfId="30144"/>
    <cellStyle name="Normal 5 3 5 2 8" xfId="9045"/>
    <cellStyle name="Normal 5 3 5 2 9" xfId="17487"/>
    <cellStyle name="Normal 5 3 5 3" xfId="927"/>
    <cellStyle name="Normal 5 3 5 3 2" xfId="3161"/>
    <cellStyle name="Normal 5 3 5 3 2 2" xfId="7384"/>
    <cellStyle name="Normal 5 3 5 3 2 2 2" xfId="15820"/>
    <cellStyle name="Normal 5 3 5 3 2 2 3" xfId="24261"/>
    <cellStyle name="Normal 5 3 5 3 2 2 4" xfId="32701"/>
    <cellStyle name="Normal 5 3 5 3 2 3" xfId="11602"/>
    <cellStyle name="Normal 5 3 5 3 2 4" xfId="20044"/>
    <cellStyle name="Normal 5 3 5 3 2 5" xfId="28484"/>
    <cellStyle name="Normal 5 3 5 3 3" xfId="5239"/>
    <cellStyle name="Normal 5 3 5 3 3 2" xfId="13675"/>
    <cellStyle name="Normal 5 3 5 3 3 3" xfId="22116"/>
    <cellStyle name="Normal 5 3 5 3 3 4" xfId="30556"/>
    <cellStyle name="Normal 5 3 5 3 4" xfId="9457"/>
    <cellStyle name="Normal 5 3 5 3 5" xfId="17899"/>
    <cellStyle name="Normal 5 3 5 3 6" xfId="26339"/>
    <cellStyle name="Normal 5 3 5 4" xfId="1344"/>
    <cellStyle name="Normal 5 3 5 4 2" xfId="3574"/>
    <cellStyle name="Normal 5 3 5 4 2 2" xfId="7797"/>
    <cellStyle name="Normal 5 3 5 4 2 2 2" xfId="16233"/>
    <cellStyle name="Normal 5 3 5 4 2 2 3" xfId="24674"/>
    <cellStyle name="Normal 5 3 5 4 2 2 4" xfId="33114"/>
    <cellStyle name="Normal 5 3 5 4 2 3" xfId="12015"/>
    <cellStyle name="Normal 5 3 5 4 2 4" xfId="20457"/>
    <cellStyle name="Normal 5 3 5 4 2 5" xfId="28897"/>
    <cellStyle name="Normal 5 3 5 4 3" xfId="5652"/>
    <cellStyle name="Normal 5 3 5 4 3 2" xfId="14088"/>
    <cellStyle name="Normal 5 3 5 4 3 3" xfId="22529"/>
    <cellStyle name="Normal 5 3 5 4 3 4" xfId="30969"/>
    <cellStyle name="Normal 5 3 5 4 4" xfId="9870"/>
    <cellStyle name="Normal 5 3 5 4 5" xfId="18312"/>
    <cellStyle name="Normal 5 3 5 4 6" xfId="26752"/>
    <cellStyle name="Normal 5 3 5 5" xfId="1757"/>
    <cellStyle name="Normal 5 3 5 5 2" xfId="3987"/>
    <cellStyle name="Normal 5 3 5 5 2 2" xfId="8210"/>
    <cellStyle name="Normal 5 3 5 5 2 2 2" xfId="16646"/>
    <cellStyle name="Normal 5 3 5 5 2 2 3" xfId="25087"/>
    <cellStyle name="Normal 5 3 5 5 2 2 4" xfId="33527"/>
    <cellStyle name="Normal 5 3 5 5 2 3" xfId="12428"/>
    <cellStyle name="Normal 5 3 5 5 2 4" xfId="20870"/>
    <cellStyle name="Normal 5 3 5 5 2 5" xfId="29310"/>
    <cellStyle name="Normal 5 3 5 5 3" xfId="6065"/>
    <cellStyle name="Normal 5 3 5 5 3 2" xfId="14501"/>
    <cellStyle name="Normal 5 3 5 5 3 3" xfId="22942"/>
    <cellStyle name="Normal 5 3 5 5 3 4" xfId="31382"/>
    <cellStyle name="Normal 5 3 5 5 4" xfId="10283"/>
    <cellStyle name="Normal 5 3 5 5 5" xfId="18725"/>
    <cellStyle name="Normal 5 3 5 5 6" xfId="27165"/>
    <cellStyle name="Normal 5 3 5 6" xfId="2171"/>
    <cellStyle name="Normal 5 3 5 6 2" xfId="4400"/>
    <cellStyle name="Normal 5 3 5 6 2 2" xfId="8623"/>
    <cellStyle name="Normal 5 3 5 6 2 2 2" xfId="17059"/>
    <cellStyle name="Normal 5 3 5 6 2 2 3" xfId="25500"/>
    <cellStyle name="Normal 5 3 5 6 2 2 4" xfId="33940"/>
    <cellStyle name="Normal 5 3 5 6 2 3" xfId="12841"/>
    <cellStyle name="Normal 5 3 5 6 2 4" xfId="21283"/>
    <cellStyle name="Normal 5 3 5 6 2 5" xfId="29723"/>
    <cellStyle name="Normal 5 3 5 6 3" xfId="6478"/>
    <cellStyle name="Normal 5 3 5 6 3 2" xfId="14914"/>
    <cellStyle name="Normal 5 3 5 6 3 3" xfId="23355"/>
    <cellStyle name="Normal 5 3 5 6 3 4" xfId="31795"/>
    <cellStyle name="Normal 5 3 5 6 4" xfId="10696"/>
    <cellStyle name="Normal 5 3 5 6 5" xfId="19138"/>
    <cellStyle name="Normal 5 3 5 6 6" xfId="27578"/>
    <cellStyle name="Normal 5 3 5 7" xfId="2607"/>
    <cellStyle name="Normal 5 3 5 7 2" xfId="6891"/>
    <cellStyle name="Normal 5 3 5 7 2 2" xfId="15327"/>
    <cellStyle name="Normal 5 3 5 7 2 3" xfId="23768"/>
    <cellStyle name="Normal 5 3 5 7 2 4" xfId="32208"/>
    <cellStyle name="Normal 5 3 5 7 3" xfId="11109"/>
    <cellStyle name="Normal 5 3 5 7 4" xfId="19551"/>
    <cellStyle name="Normal 5 3 5 7 5" xfId="27991"/>
    <cellStyle name="Normal 5 3 5 8" xfId="4826"/>
    <cellStyle name="Normal 5 3 5 8 2" xfId="13262"/>
    <cellStyle name="Normal 5 3 5 8 3" xfId="21703"/>
    <cellStyle name="Normal 5 3 5 8 4" xfId="30143"/>
    <cellStyle name="Normal 5 3 5 9" xfId="9044"/>
    <cellStyle name="Normal 5 3 6" xfId="455"/>
    <cellStyle name="Normal 5 3 6 10" xfId="25928"/>
    <cellStyle name="Normal 5 3 6 2" xfId="929"/>
    <cellStyle name="Normal 5 3 6 2 2" xfId="3163"/>
    <cellStyle name="Normal 5 3 6 2 2 2" xfId="7386"/>
    <cellStyle name="Normal 5 3 6 2 2 2 2" xfId="15822"/>
    <cellStyle name="Normal 5 3 6 2 2 2 3" xfId="24263"/>
    <cellStyle name="Normal 5 3 6 2 2 2 4" xfId="32703"/>
    <cellStyle name="Normal 5 3 6 2 2 3" xfId="11604"/>
    <cellStyle name="Normal 5 3 6 2 2 4" xfId="20046"/>
    <cellStyle name="Normal 5 3 6 2 2 5" xfId="28486"/>
    <cellStyle name="Normal 5 3 6 2 3" xfId="5241"/>
    <cellStyle name="Normal 5 3 6 2 3 2" xfId="13677"/>
    <cellStyle name="Normal 5 3 6 2 3 3" xfId="22118"/>
    <cellStyle name="Normal 5 3 6 2 3 4" xfId="30558"/>
    <cellStyle name="Normal 5 3 6 2 4" xfId="9459"/>
    <cellStyle name="Normal 5 3 6 2 5" xfId="17901"/>
    <cellStyle name="Normal 5 3 6 2 6" xfId="26341"/>
    <cellStyle name="Normal 5 3 6 3" xfId="1346"/>
    <cellStyle name="Normal 5 3 6 3 2" xfId="3576"/>
    <cellStyle name="Normal 5 3 6 3 2 2" xfId="7799"/>
    <cellStyle name="Normal 5 3 6 3 2 2 2" xfId="16235"/>
    <cellStyle name="Normal 5 3 6 3 2 2 3" xfId="24676"/>
    <cellStyle name="Normal 5 3 6 3 2 2 4" xfId="33116"/>
    <cellStyle name="Normal 5 3 6 3 2 3" xfId="12017"/>
    <cellStyle name="Normal 5 3 6 3 2 4" xfId="20459"/>
    <cellStyle name="Normal 5 3 6 3 2 5" xfId="28899"/>
    <cellStyle name="Normal 5 3 6 3 3" xfId="5654"/>
    <cellStyle name="Normal 5 3 6 3 3 2" xfId="14090"/>
    <cellStyle name="Normal 5 3 6 3 3 3" xfId="22531"/>
    <cellStyle name="Normal 5 3 6 3 3 4" xfId="30971"/>
    <cellStyle name="Normal 5 3 6 3 4" xfId="9872"/>
    <cellStyle name="Normal 5 3 6 3 5" xfId="18314"/>
    <cellStyle name="Normal 5 3 6 3 6" xfId="26754"/>
    <cellStyle name="Normal 5 3 6 4" xfId="1759"/>
    <cellStyle name="Normal 5 3 6 4 2" xfId="3989"/>
    <cellStyle name="Normal 5 3 6 4 2 2" xfId="8212"/>
    <cellStyle name="Normal 5 3 6 4 2 2 2" xfId="16648"/>
    <cellStyle name="Normal 5 3 6 4 2 2 3" xfId="25089"/>
    <cellStyle name="Normal 5 3 6 4 2 2 4" xfId="33529"/>
    <cellStyle name="Normal 5 3 6 4 2 3" xfId="12430"/>
    <cellStyle name="Normal 5 3 6 4 2 4" xfId="20872"/>
    <cellStyle name="Normal 5 3 6 4 2 5" xfId="29312"/>
    <cellStyle name="Normal 5 3 6 4 3" xfId="6067"/>
    <cellStyle name="Normal 5 3 6 4 3 2" xfId="14503"/>
    <cellStyle name="Normal 5 3 6 4 3 3" xfId="22944"/>
    <cellStyle name="Normal 5 3 6 4 3 4" xfId="31384"/>
    <cellStyle name="Normal 5 3 6 4 4" xfId="10285"/>
    <cellStyle name="Normal 5 3 6 4 5" xfId="18727"/>
    <cellStyle name="Normal 5 3 6 4 6" xfId="27167"/>
    <cellStyle name="Normal 5 3 6 5" xfId="2173"/>
    <cellStyle name="Normal 5 3 6 5 2" xfId="4402"/>
    <cellStyle name="Normal 5 3 6 5 2 2" xfId="8625"/>
    <cellStyle name="Normal 5 3 6 5 2 2 2" xfId="17061"/>
    <cellStyle name="Normal 5 3 6 5 2 2 3" xfId="25502"/>
    <cellStyle name="Normal 5 3 6 5 2 2 4" xfId="33942"/>
    <cellStyle name="Normal 5 3 6 5 2 3" xfId="12843"/>
    <cellStyle name="Normal 5 3 6 5 2 4" xfId="21285"/>
    <cellStyle name="Normal 5 3 6 5 2 5" xfId="29725"/>
    <cellStyle name="Normal 5 3 6 5 3" xfId="6480"/>
    <cellStyle name="Normal 5 3 6 5 3 2" xfId="14916"/>
    <cellStyle name="Normal 5 3 6 5 3 3" xfId="23357"/>
    <cellStyle name="Normal 5 3 6 5 3 4" xfId="31797"/>
    <cellStyle name="Normal 5 3 6 5 4" xfId="10698"/>
    <cellStyle name="Normal 5 3 6 5 5" xfId="19140"/>
    <cellStyle name="Normal 5 3 6 5 6" xfId="27580"/>
    <cellStyle name="Normal 5 3 6 6" xfId="2609"/>
    <cellStyle name="Normal 5 3 6 6 2" xfId="6893"/>
    <cellStyle name="Normal 5 3 6 6 2 2" xfId="15329"/>
    <cellStyle name="Normal 5 3 6 6 2 3" xfId="23770"/>
    <cellStyle name="Normal 5 3 6 6 2 4" xfId="32210"/>
    <cellStyle name="Normal 5 3 6 6 3" xfId="11111"/>
    <cellStyle name="Normal 5 3 6 6 4" xfId="19553"/>
    <cellStyle name="Normal 5 3 6 6 5" xfId="27993"/>
    <cellStyle name="Normal 5 3 6 7" xfId="4828"/>
    <cellStyle name="Normal 5 3 6 7 2" xfId="13264"/>
    <cellStyle name="Normal 5 3 6 7 3" xfId="21705"/>
    <cellStyle name="Normal 5 3 6 7 4" xfId="30145"/>
    <cellStyle name="Normal 5 3 6 8" xfId="9046"/>
    <cellStyle name="Normal 5 3 6 9" xfId="17488"/>
    <cellStyle name="Normal 5 3 7" xfId="913"/>
    <cellStyle name="Normal 5 3 7 2" xfId="3148"/>
    <cellStyle name="Normal 5 3 7 2 2" xfId="7371"/>
    <cellStyle name="Normal 5 3 7 2 2 2" xfId="15807"/>
    <cellStyle name="Normal 5 3 7 2 2 3" xfId="24248"/>
    <cellStyle name="Normal 5 3 7 2 2 4" xfId="32688"/>
    <cellStyle name="Normal 5 3 7 2 3" xfId="11589"/>
    <cellStyle name="Normal 5 3 7 2 4" xfId="20031"/>
    <cellStyle name="Normal 5 3 7 2 5" xfId="28471"/>
    <cellStyle name="Normal 5 3 7 3" xfId="5226"/>
    <cellStyle name="Normal 5 3 7 3 2" xfId="13662"/>
    <cellStyle name="Normal 5 3 7 3 3" xfId="22103"/>
    <cellStyle name="Normal 5 3 7 3 4" xfId="30543"/>
    <cellStyle name="Normal 5 3 7 4" xfId="9444"/>
    <cellStyle name="Normal 5 3 7 5" xfId="17886"/>
    <cellStyle name="Normal 5 3 7 6" xfId="26326"/>
    <cellStyle name="Normal 5 3 8" xfId="1331"/>
    <cellStyle name="Normal 5 3 8 2" xfId="3561"/>
    <cellStyle name="Normal 5 3 8 2 2" xfId="7784"/>
    <cellStyle name="Normal 5 3 8 2 2 2" xfId="16220"/>
    <cellStyle name="Normal 5 3 8 2 2 3" xfId="24661"/>
    <cellStyle name="Normal 5 3 8 2 2 4" xfId="33101"/>
    <cellStyle name="Normal 5 3 8 2 3" xfId="12002"/>
    <cellStyle name="Normal 5 3 8 2 4" xfId="20444"/>
    <cellStyle name="Normal 5 3 8 2 5" xfId="28884"/>
    <cellStyle name="Normal 5 3 8 3" xfId="5639"/>
    <cellStyle name="Normal 5 3 8 3 2" xfId="14075"/>
    <cellStyle name="Normal 5 3 8 3 3" xfId="22516"/>
    <cellStyle name="Normal 5 3 8 3 4" xfId="30956"/>
    <cellStyle name="Normal 5 3 8 4" xfId="9857"/>
    <cellStyle name="Normal 5 3 8 5" xfId="18299"/>
    <cellStyle name="Normal 5 3 8 6" xfId="26739"/>
    <cellStyle name="Normal 5 3 9" xfId="1744"/>
    <cellStyle name="Normal 5 3 9 2" xfId="3974"/>
    <cellStyle name="Normal 5 3 9 2 2" xfId="8197"/>
    <cellStyle name="Normal 5 3 9 2 2 2" xfId="16633"/>
    <cellStyle name="Normal 5 3 9 2 2 3" xfId="25074"/>
    <cellStyle name="Normal 5 3 9 2 2 4" xfId="33514"/>
    <cellStyle name="Normal 5 3 9 2 3" xfId="12415"/>
    <cellStyle name="Normal 5 3 9 2 4" xfId="20857"/>
    <cellStyle name="Normal 5 3 9 2 5" xfId="29297"/>
    <cellStyle name="Normal 5 3 9 3" xfId="6052"/>
    <cellStyle name="Normal 5 3 9 3 2" xfId="14488"/>
    <cellStyle name="Normal 5 3 9 3 3" xfId="22929"/>
    <cellStyle name="Normal 5 3 9 3 4" xfId="31369"/>
    <cellStyle name="Normal 5 3 9 4" xfId="10270"/>
    <cellStyle name="Normal 5 3 9 5" xfId="18712"/>
    <cellStyle name="Normal 5 3 9 6" xfId="27152"/>
    <cellStyle name="Normal 5 4" xfId="456"/>
    <cellStyle name="Normal 5 4 10" xfId="4829"/>
    <cellStyle name="Normal 5 4 10 2" xfId="13265"/>
    <cellStyle name="Normal 5 4 10 3" xfId="21706"/>
    <cellStyle name="Normal 5 4 10 4" xfId="30146"/>
    <cellStyle name="Normal 5 4 11" xfId="9047"/>
    <cellStyle name="Normal 5 4 12" xfId="17489"/>
    <cellStyle name="Normal 5 4 13" xfId="25929"/>
    <cellStyle name="Normal 5 4 2" xfId="457"/>
    <cellStyle name="Normal 5 4 2 10" xfId="9048"/>
    <cellStyle name="Normal 5 4 2 11" xfId="17490"/>
    <cellStyle name="Normal 5 4 2 12" xfId="25930"/>
    <cellStyle name="Normal 5 4 2 2" xfId="458"/>
    <cellStyle name="Normal 5 4 2 2 10" xfId="17491"/>
    <cellStyle name="Normal 5 4 2 2 11" xfId="25931"/>
    <cellStyle name="Normal 5 4 2 2 2" xfId="459"/>
    <cellStyle name="Normal 5 4 2 2 2 10" xfId="25932"/>
    <cellStyle name="Normal 5 4 2 2 2 2" xfId="933"/>
    <cellStyle name="Normal 5 4 2 2 2 2 2" xfId="3167"/>
    <cellStyle name="Normal 5 4 2 2 2 2 2 2" xfId="7390"/>
    <cellStyle name="Normal 5 4 2 2 2 2 2 2 2" xfId="15826"/>
    <cellStyle name="Normal 5 4 2 2 2 2 2 2 3" xfId="24267"/>
    <cellStyle name="Normal 5 4 2 2 2 2 2 2 4" xfId="32707"/>
    <cellStyle name="Normal 5 4 2 2 2 2 2 3" xfId="11608"/>
    <cellStyle name="Normal 5 4 2 2 2 2 2 4" xfId="20050"/>
    <cellStyle name="Normal 5 4 2 2 2 2 2 5" xfId="28490"/>
    <cellStyle name="Normal 5 4 2 2 2 2 3" xfId="5245"/>
    <cellStyle name="Normal 5 4 2 2 2 2 3 2" xfId="13681"/>
    <cellStyle name="Normal 5 4 2 2 2 2 3 3" xfId="22122"/>
    <cellStyle name="Normal 5 4 2 2 2 2 3 4" xfId="30562"/>
    <cellStyle name="Normal 5 4 2 2 2 2 4" xfId="9463"/>
    <cellStyle name="Normal 5 4 2 2 2 2 5" xfId="17905"/>
    <cellStyle name="Normal 5 4 2 2 2 2 6" xfId="26345"/>
    <cellStyle name="Normal 5 4 2 2 2 3" xfId="1350"/>
    <cellStyle name="Normal 5 4 2 2 2 3 2" xfId="3580"/>
    <cellStyle name="Normal 5 4 2 2 2 3 2 2" xfId="7803"/>
    <cellStyle name="Normal 5 4 2 2 2 3 2 2 2" xfId="16239"/>
    <cellStyle name="Normal 5 4 2 2 2 3 2 2 3" xfId="24680"/>
    <cellStyle name="Normal 5 4 2 2 2 3 2 2 4" xfId="33120"/>
    <cellStyle name="Normal 5 4 2 2 2 3 2 3" xfId="12021"/>
    <cellStyle name="Normal 5 4 2 2 2 3 2 4" xfId="20463"/>
    <cellStyle name="Normal 5 4 2 2 2 3 2 5" xfId="28903"/>
    <cellStyle name="Normal 5 4 2 2 2 3 3" xfId="5658"/>
    <cellStyle name="Normal 5 4 2 2 2 3 3 2" xfId="14094"/>
    <cellStyle name="Normal 5 4 2 2 2 3 3 3" xfId="22535"/>
    <cellStyle name="Normal 5 4 2 2 2 3 3 4" xfId="30975"/>
    <cellStyle name="Normal 5 4 2 2 2 3 4" xfId="9876"/>
    <cellStyle name="Normal 5 4 2 2 2 3 5" xfId="18318"/>
    <cellStyle name="Normal 5 4 2 2 2 3 6" xfId="26758"/>
    <cellStyle name="Normal 5 4 2 2 2 4" xfId="1763"/>
    <cellStyle name="Normal 5 4 2 2 2 4 2" xfId="3993"/>
    <cellStyle name="Normal 5 4 2 2 2 4 2 2" xfId="8216"/>
    <cellStyle name="Normal 5 4 2 2 2 4 2 2 2" xfId="16652"/>
    <cellStyle name="Normal 5 4 2 2 2 4 2 2 3" xfId="25093"/>
    <cellStyle name="Normal 5 4 2 2 2 4 2 2 4" xfId="33533"/>
    <cellStyle name="Normal 5 4 2 2 2 4 2 3" xfId="12434"/>
    <cellStyle name="Normal 5 4 2 2 2 4 2 4" xfId="20876"/>
    <cellStyle name="Normal 5 4 2 2 2 4 2 5" xfId="29316"/>
    <cellStyle name="Normal 5 4 2 2 2 4 3" xfId="6071"/>
    <cellStyle name="Normal 5 4 2 2 2 4 3 2" xfId="14507"/>
    <cellStyle name="Normal 5 4 2 2 2 4 3 3" xfId="22948"/>
    <cellStyle name="Normal 5 4 2 2 2 4 3 4" xfId="31388"/>
    <cellStyle name="Normal 5 4 2 2 2 4 4" xfId="10289"/>
    <cellStyle name="Normal 5 4 2 2 2 4 5" xfId="18731"/>
    <cellStyle name="Normal 5 4 2 2 2 4 6" xfId="27171"/>
    <cellStyle name="Normal 5 4 2 2 2 5" xfId="2177"/>
    <cellStyle name="Normal 5 4 2 2 2 5 2" xfId="4406"/>
    <cellStyle name="Normal 5 4 2 2 2 5 2 2" xfId="8629"/>
    <cellStyle name="Normal 5 4 2 2 2 5 2 2 2" xfId="17065"/>
    <cellStyle name="Normal 5 4 2 2 2 5 2 2 3" xfId="25506"/>
    <cellStyle name="Normal 5 4 2 2 2 5 2 2 4" xfId="33946"/>
    <cellStyle name="Normal 5 4 2 2 2 5 2 3" xfId="12847"/>
    <cellStyle name="Normal 5 4 2 2 2 5 2 4" xfId="21289"/>
    <cellStyle name="Normal 5 4 2 2 2 5 2 5" xfId="29729"/>
    <cellStyle name="Normal 5 4 2 2 2 5 3" xfId="6484"/>
    <cellStyle name="Normal 5 4 2 2 2 5 3 2" xfId="14920"/>
    <cellStyle name="Normal 5 4 2 2 2 5 3 3" xfId="23361"/>
    <cellStyle name="Normal 5 4 2 2 2 5 3 4" xfId="31801"/>
    <cellStyle name="Normal 5 4 2 2 2 5 4" xfId="10702"/>
    <cellStyle name="Normal 5 4 2 2 2 5 5" xfId="19144"/>
    <cellStyle name="Normal 5 4 2 2 2 5 6" xfId="27584"/>
    <cellStyle name="Normal 5 4 2 2 2 6" xfId="2613"/>
    <cellStyle name="Normal 5 4 2 2 2 6 2" xfId="6897"/>
    <cellStyle name="Normal 5 4 2 2 2 6 2 2" xfId="15333"/>
    <cellStyle name="Normal 5 4 2 2 2 6 2 3" xfId="23774"/>
    <cellStyle name="Normal 5 4 2 2 2 6 2 4" xfId="32214"/>
    <cellStyle name="Normal 5 4 2 2 2 6 3" xfId="11115"/>
    <cellStyle name="Normal 5 4 2 2 2 6 4" xfId="19557"/>
    <cellStyle name="Normal 5 4 2 2 2 6 5" xfId="27997"/>
    <cellStyle name="Normal 5 4 2 2 2 7" xfId="4832"/>
    <cellStyle name="Normal 5 4 2 2 2 7 2" xfId="13268"/>
    <cellStyle name="Normal 5 4 2 2 2 7 3" xfId="21709"/>
    <cellStyle name="Normal 5 4 2 2 2 7 4" xfId="30149"/>
    <cellStyle name="Normal 5 4 2 2 2 8" xfId="9050"/>
    <cellStyle name="Normal 5 4 2 2 2 9" xfId="17492"/>
    <cellStyle name="Normal 5 4 2 2 3" xfId="932"/>
    <cellStyle name="Normal 5 4 2 2 3 2" xfId="3166"/>
    <cellStyle name="Normal 5 4 2 2 3 2 2" xfId="7389"/>
    <cellStyle name="Normal 5 4 2 2 3 2 2 2" xfId="15825"/>
    <cellStyle name="Normal 5 4 2 2 3 2 2 3" xfId="24266"/>
    <cellStyle name="Normal 5 4 2 2 3 2 2 4" xfId="32706"/>
    <cellStyle name="Normal 5 4 2 2 3 2 3" xfId="11607"/>
    <cellStyle name="Normal 5 4 2 2 3 2 4" xfId="20049"/>
    <cellStyle name="Normal 5 4 2 2 3 2 5" xfId="28489"/>
    <cellStyle name="Normal 5 4 2 2 3 3" xfId="5244"/>
    <cellStyle name="Normal 5 4 2 2 3 3 2" xfId="13680"/>
    <cellStyle name="Normal 5 4 2 2 3 3 3" xfId="22121"/>
    <cellStyle name="Normal 5 4 2 2 3 3 4" xfId="30561"/>
    <cellStyle name="Normal 5 4 2 2 3 4" xfId="9462"/>
    <cellStyle name="Normal 5 4 2 2 3 5" xfId="17904"/>
    <cellStyle name="Normal 5 4 2 2 3 6" xfId="26344"/>
    <cellStyle name="Normal 5 4 2 2 4" xfId="1349"/>
    <cellStyle name="Normal 5 4 2 2 4 2" xfId="3579"/>
    <cellStyle name="Normal 5 4 2 2 4 2 2" xfId="7802"/>
    <cellStyle name="Normal 5 4 2 2 4 2 2 2" xfId="16238"/>
    <cellStyle name="Normal 5 4 2 2 4 2 2 3" xfId="24679"/>
    <cellStyle name="Normal 5 4 2 2 4 2 2 4" xfId="33119"/>
    <cellStyle name="Normal 5 4 2 2 4 2 3" xfId="12020"/>
    <cellStyle name="Normal 5 4 2 2 4 2 4" xfId="20462"/>
    <cellStyle name="Normal 5 4 2 2 4 2 5" xfId="28902"/>
    <cellStyle name="Normal 5 4 2 2 4 3" xfId="5657"/>
    <cellStyle name="Normal 5 4 2 2 4 3 2" xfId="14093"/>
    <cellStyle name="Normal 5 4 2 2 4 3 3" xfId="22534"/>
    <cellStyle name="Normal 5 4 2 2 4 3 4" xfId="30974"/>
    <cellStyle name="Normal 5 4 2 2 4 4" xfId="9875"/>
    <cellStyle name="Normal 5 4 2 2 4 5" xfId="18317"/>
    <cellStyle name="Normal 5 4 2 2 4 6" xfId="26757"/>
    <cellStyle name="Normal 5 4 2 2 5" xfId="1762"/>
    <cellStyle name="Normal 5 4 2 2 5 2" xfId="3992"/>
    <cellStyle name="Normal 5 4 2 2 5 2 2" xfId="8215"/>
    <cellStyle name="Normal 5 4 2 2 5 2 2 2" xfId="16651"/>
    <cellStyle name="Normal 5 4 2 2 5 2 2 3" xfId="25092"/>
    <cellStyle name="Normal 5 4 2 2 5 2 2 4" xfId="33532"/>
    <cellStyle name="Normal 5 4 2 2 5 2 3" xfId="12433"/>
    <cellStyle name="Normal 5 4 2 2 5 2 4" xfId="20875"/>
    <cellStyle name="Normal 5 4 2 2 5 2 5" xfId="29315"/>
    <cellStyle name="Normal 5 4 2 2 5 3" xfId="6070"/>
    <cellStyle name="Normal 5 4 2 2 5 3 2" xfId="14506"/>
    <cellStyle name="Normal 5 4 2 2 5 3 3" xfId="22947"/>
    <cellStyle name="Normal 5 4 2 2 5 3 4" xfId="31387"/>
    <cellStyle name="Normal 5 4 2 2 5 4" xfId="10288"/>
    <cellStyle name="Normal 5 4 2 2 5 5" xfId="18730"/>
    <cellStyle name="Normal 5 4 2 2 5 6" xfId="27170"/>
    <cellStyle name="Normal 5 4 2 2 6" xfId="2176"/>
    <cellStyle name="Normal 5 4 2 2 6 2" xfId="4405"/>
    <cellStyle name="Normal 5 4 2 2 6 2 2" xfId="8628"/>
    <cellStyle name="Normal 5 4 2 2 6 2 2 2" xfId="17064"/>
    <cellStyle name="Normal 5 4 2 2 6 2 2 3" xfId="25505"/>
    <cellStyle name="Normal 5 4 2 2 6 2 2 4" xfId="33945"/>
    <cellStyle name="Normal 5 4 2 2 6 2 3" xfId="12846"/>
    <cellStyle name="Normal 5 4 2 2 6 2 4" xfId="21288"/>
    <cellStyle name="Normal 5 4 2 2 6 2 5" xfId="29728"/>
    <cellStyle name="Normal 5 4 2 2 6 3" xfId="6483"/>
    <cellStyle name="Normal 5 4 2 2 6 3 2" xfId="14919"/>
    <cellStyle name="Normal 5 4 2 2 6 3 3" xfId="23360"/>
    <cellStyle name="Normal 5 4 2 2 6 3 4" xfId="31800"/>
    <cellStyle name="Normal 5 4 2 2 6 4" xfId="10701"/>
    <cellStyle name="Normal 5 4 2 2 6 5" xfId="19143"/>
    <cellStyle name="Normal 5 4 2 2 6 6" xfId="27583"/>
    <cellStyle name="Normal 5 4 2 2 7" xfId="2612"/>
    <cellStyle name="Normal 5 4 2 2 7 2" xfId="6896"/>
    <cellStyle name="Normal 5 4 2 2 7 2 2" xfId="15332"/>
    <cellStyle name="Normal 5 4 2 2 7 2 3" xfId="23773"/>
    <cellStyle name="Normal 5 4 2 2 7 2 4" xfId="32213"/>
    <cellStyle name="Normal 5 4 2 2 7 3" xfId="11114"/>
    <cellStyle name="Normal 5 4 2 2 7 4" xfId="19556"/>
    <cellStyle name="Normal 5 4 2 2 7 5" xfId="27996"/>
    <cellStyle name="Normal 5 4 2 2 8" xfId="4831"/>
    <cellStyle name="Normal 5 4 2 2 8 2" xfId="13267"/>
    <cellStyle name="Normal 5 4 2 2 8 3" xfId="21708"/>
    <cellStyle name="Normal 5 4 2 2 8 4" xfId="30148"/>
    <cellStyle name="Normal 5 4 2 2 9" xfId="9049"/>
    <cellStyle name="Normal 5 4 2 3" xfId="460"/>
    <cellStyle name="Normal 5 4 2 3 10" xfId="25933"/>
    <cellStyle name="Normal 5 4 2 3 2" xfId="934"/>
    <cellStyle name="Normal 5 4 2 3 2 2" xfId="3168"/>
    <cellStyle name="Normal 5 4 2 3 2 2 2" xfId="7391"/>
    <cellStyle name="Normal 5 4 2 3 2 2 2 2" xfId="15827"/>
    <cellStyle name="Normal 5 4 2 3 2 2 2 3" xfId="24268"/>
    <cellStyle name="Normal 5 4 2 3 2 2 2 4" xfId="32708"/>
    <cellStyle name="Normal 5 4 2 3 2 2 3" xfId="11609"/>
    <cellStyle name="Normal 5 4 2 3 2 2 4" xfId="20051"/>
    <cellStyle name="Normal 5 4 2 3 2 2 5" xfId="28491"/>
    <cellStyle name="Normal 5 4 2 3 2 3" xfId="5246"/>
    <cellStyle name="Normal 5 4 2 3 2 3 2" xfId="13682"/>
    <cellStyle name="Normal 5 4 2 3 2 3 3" xfId="22123"/>
    <cellStyle name="Normal 5 4 2 3 2 3 4" xfId="30563"/>
    <cellStyle name="Normal 5 4 2 3 2 4" xfId="9464"/>
    <cellStyle name="Normal 5 4 2 3 2 5" xfId="17906"/>
    <cellStyle name="Normal 5 4 2 3 2 6" xfId="26346"/>
    <cellStyle name="Normal 5 4 2 3 3" xfId="1351"/>
    <cellStyle name="Normal 5 4 2 3 3 2" xfId="3581"/>
    <cellStyle name="Normal 5 4 2 3 3 2 2" xfId="7804"/>
    <cellStyle name="Normal 5 4 2 3 3 2 2 2" xfId="16240"/>
    <cellStyle name="Normal 5 4 2 3 3 2 2 3" xfId="24681"/>
    <cellStyle name="Normal 5 4 2 3 3 2 2 4" xfId="33121"/>
    <cellStyle name="Normal 5 4 2 3 3 2 3" xfId="12022"/>
    <cellStyle name="Normal 5 4 2 3 3 2 4" xfId="20464"/>
    <cellStyle name="Normal 5 4 2 3 3 2 5" xfId="28904"/>
    <cellStyle name="Normal 5 4 2 3 3 3" xfId="5659"/>
    <cellStyle name="Normal 5 4 2 3 3 3 2" xfId="14095"/>
    <cellStyle name="Normal 5 4 2 3 3 3 3" xfId="22536"/>
    <cellStyle name="Normal 5 4 2 3 3 3 4" xfId="30976"/>
    <cellStyle name="Normal 5 4 2 3 3 4" xfId="9877"/>
    <cellStyle name="Normal 5 4 2 3 3 5" xfId="18319"/>
    <cellStyle name="Normal 5 4 2 3 3 6" xfId="26759"/>
    <cellStyle name="Normal 5 4 2 3 4" xfId="1764"/>
    <cellStyle name="Normal 5 4 2 3 4 2" xfId="3994"/>
    <cellStyle name="Normal 5 4 2 3 4 2 2" xfId="8217"/>
    <cellStyle name="Normal 5 4 2 3 4 2 2 2" xfId="16653"/>
    <cellStyle name="Normal 5 4 2 3 4 2 2 3" xfId="25094"/>
    <cellStyle name="Normal 5 4 2 3 4 2 2 4" xfId="33534"/>
    <cellStyle name="Normal 5 4 2 3 4 2 3" xfId="12435"/>
    <cellStyle name="Normal 5 4 2 3 4 2 4" xfId="20877"/>
    <cellStyle name="Normal 5 4 2 3 4 2 5" xfId="29317"/>
    <cellStyle name="Normal 5 4 2 3 4 3" xfId="6072"/>
    <cellStyle name="Normal 5 4 2 3 4 3 2" xfId="14508"/>
    <cellStyle name="Normal 5 4 2 3 4 3 3" xfId="22949"/>
    <cellStyle name="Normal 5 4 2 3 4 3 4" xfId="31389"/>
    <cellStyle name="Normal 5 4 2 3 4 4" xfId="10290"/>
    <cellStyle name="Normal 5 4 2 3 4 5" xfId="18732"/>
    <cellStyle name="Normal 5 4 2 3 4 6" xfId="27172"/>
    <cellStyle name="Normal 5 4 2 3 5" xfId="2178"/>
    <cellStyle name="Normal 5 4 2 3 5 2" xfId="4407"/>
    <cellStyle name="Normal 5 4 2 3 5 2 2" xfId="8630"/>
    <cellStyle name="Normal 5 4 2 3 5 2 2 2" xfId="17066"/>
    <cellStyle name="Normal 5 4 2 3 5 2 2 3" xfId="25507"/>
    <cellStyle name="Normal 5 4 2 3 5 2 2 4" xfId="33947"/>
    <cellStyle name="Normal 5 4 2 3 5 2 3" xfId="12848"/>
    <cellStyle name="Normal 5 4 2 3 5 2 4" xfId="21290"/>
    <cellStyle name="Normal 5 4 2 3 5 2 5" xfId="29730"/>
    <cellStyle name="Normal 5 4 2 3 5 3" xfId="6485"/>
    <cellStyle name="Normal 5 4 2 3 5 3 2" xfId="14921"/>
    <cellStyle name="Normal 5 4 2 3 5 3 3" xfId="23362"/>
    <cellStyle name="Normal 5 4 2 3 5 3 4" xfId="31802"/>
    <cellStyle name="Normal 5 4 2 3 5 4" xfId="10703"/>
    <cellStyle name="Normal 5 4 2 3 5 5" xfId="19145"/>
    <cellStyle name="Normal 5 4 2 3 5 6" xfId="27585"/>
    <cellStyle name="Normal 5 4 2 3 6" xfId="2614"/>
    <cellStyle name="Normal 5 4 2 3 6 2" xfId="6898"/>
    <cellStyle name="Normal 5 4 2 3 6 2 2" xfId="15334"/>
    <cellStyle name="Normal 5 4 2 3 6 2 3" xfId="23775"/>
    <cellStyle name="Normal 5 4 2 3 6 2 4" xfId="32215"/>
    <cellStyle name="Normal 5 4 2 3 6 3" xfId="11116"/>
    <cellStyle name="Normal 5 4 2 3 6 4" xfId="19558"/>
    <cellStyle name="Normal 5 4 2 3 6 5" xfId="27998"/>
    <cellStyle name="Normal 5 4 2 3 7" xfId="4833"/>
    <cellStyle name="Normal 5 4 2 3 7 2" xfId="13269"/>
    <cellStyle name="Normal 5 4 2 3 7 3" xfId="21710"/>
    <cellStyle name="Normal 5 4 2 3 7 4" xfId="30150"/>
    <cellStyle name="Normal 5 4 2 3 8" xfId="9051"/>
    <cellStyle name="Normal 5 4 2 3 9" xfId="17493"/>
    <cellStyle name="Normal 5 4 2 4" xfId="931"/>
    <cellStyle name="Normal 5 4 2 4 2" xfId="3165"/>
    <cellStyle name="Normal 5 4 2 4 2 2" xfId="7388"/>
    <cellStyle name="Normal 5 4 2 4 2 2 2" xfId="15824"/>
    <cellStyle name="Normal 5 4 2 4 2 2 3" xfId="24265"/>
    <cellStyle name="Normal 5 4 2 4 2 2 4" xfId="32705"/>
    <cellStyle name="Normal 5 4 2 4 2 3" xfId="11606"/>
    <cellStyle name="Normal 5 4 2 4 2 4" xfId="20048"/>
    <cellStyle name="Normal 5 4 2 4 2 5" xfId="28488"/>
    <cellStyle name="Normal 5 4 2 4 3" xfId="5243"/>
    <cellStyle name="Normal 5 4 2 4 3 2" xfId="13679"/>
    <cellStyle name="Normal 5 4 2 4 3 3" xfId="22120"/>
    <cellStyle name="Normal 5 4 2 4 3 4" xfId="30560"/>
    <cellStyle name="Normal 5 4 2 4 4" xfId="9461"/>
    <cellStyle name="Normal 5 4 2 4 5" xfId="17903"/>
    <cellStyle name="Normal 5 4 2 4 6" xfId="26343"/>
    <cellStyle name="Normal 5 4 2 5" xfId="1348"/>
    <cellStyle name="Normal 5 4 2 5 2" xfId="3578"/>
    <cellStyle name="Normal 5 4 2 5 2 2" xfId="7801"/>
    <cellStyle name="Normal 5 4 2 5 2 2 2" xfId="16237"/>
    <cellStyle name="Normal 5 4 2 5 2 2 3" xfId="24678"/>
    <cellStyle name="Normal 5 4 2 5 2 2 4" xfId="33118"/>
    <cellStyle name="Normal 5 4 2 5 2 3" xfId="12019"/>
    <cellStyle name="Normal 5 4 2 5 2 4" xfId="20461"/>
    <cellStyle name="Normal 5 4 2 5 2 5" xfId="28901"/>
    <cellStyle name="Normal 5 4 2 5 3" xfId="5656"/>
    <cellStyle name="Normal 5 4 2 5 3 2" xfId="14092"/>
    <cellStyle name="Normal 5 4 2 5 3 3" xfId="22533"/>
    <cellStyle name="Normal 5 4 2 5 3 4" xfId="30973"/>
    <cellStyle name="Normal 5 4 2 5 4" xfId="9874"/>
    <cellStyle name="Normal 5 4 2 5 5" xfId="18316"/>
    <cellStyle name="Normal 5 4 2 5 6" xfId="26756"/>
    <cellStyle name="Normal 5 4 2 6" xfId="1761"/>
    <cellStyle name="Normal 5 4 2 6 2" xfId="3991"/>
    <cellStyle name="Normal 5 4 2 6 2 2" xfId="8214"/>
    <cellStyle name="Normal 5 4 2 6 2 2 2" xfId="16650"/>
    <cellStyle name="Normal 5 4 2 6 2 2 3" xfId="25091"/>
    <cellStyle name="Normal 5 4 2 6 2 2 4" xfId="33531"/>
    <cellStyle name="Normal 5 4 2 6 2 3" xfId="12432"/>
    <cellStyle name="Normal 5 4 2 6 2 4" xfId="20874"/>
    <cellStyle name="Normal 5 4 2 6 2 5" xfId="29314"/>
    <cellStyle name="Normal 5 4 2 6 3" xfId="6069"/>
    <cellStyle name="Normal 5 4 2 6 3 2" xfId="14505"/>
    <cellStyle name="Normal 5 4 2 6 3 3" xfId="22946"/>
    <cellStyle name="Normal 5 4 2 6 3 4" xfId="31386"/>
    <cellStyle name="Normal 5 4 2 6 4" xfId="10287"/>
    <cellStyle name="Normal 5 4 2 6 5" xfId="18729"/>
    <cellStyle name="Normal 5 4 2 6 6" xfId="27169"/>
    <cellStyle name="Normal 5 4 2 7" xfId="2175"/>
    <cellStyle name="Normal 5 4 2 7 2" xfId="4404"/>
    <cellStyle name="Normal 5 4 2 7 2 2" xfId="8627"/>
    <cellStyle name="Normal 5 4 2 7 2 2 2" xfId="17063"/>
    <cellStyle name="Normal 5 4 2 7 2 2 3" xfId="25504"/>
    <cellStyle name="Normal 5 4 2 7 2 2 4" xfId="33944"/>
    <cellStyle name="Normal 5 4 2 7 2 3" xfId="12845"/>
    <cellStyle name="Normal 5 4 2 7 2 4" xfId="21287"/>
    <cellStyle name="Normal 5 4 2 7 2 5" xfId="29727"/>
    <cellStyle name="Normal 5 4 2 7 3" xfId="6482"/>
    <cellStyle name="Normal 5 4 2 7 3 2" xfId="14918"/>
    <cellStyle name="Normal 5 4 2 7 3 3" xfId="23359"/>
    <cellStyle name="Normal 5 4 2 7 3 4" xfId="31799"/>
    <cellStyle name="Normal 5 4 2 7 4" xfId="10700"/>
    <cellStyle name="Normal 5 4 2 7 5" xfId="19142"/>
    <cellStyle name="Normal 5 4 2 7 6" xfId="27582"/>
    <cellStyle name="Normal 5 4 2 8" xfId="2611"/>
    <cellStyle name="Normal 5 4 2 8 2" xfId="6895"/>
    <cellStyle name="Normal 5 4 2 8 2 2" xfId="15331"/>
    <cellStyle name="Normal 5 4 2 8 2 3" xfId="23772"/>
    <cellStyle name="Normal 5 4 2 8 2 4" xfId="32212"/>
    <cellStyle name="Normal 5 4 2 8 3" xfId="11113"/>
    <cellStyle name="Normal 5 4 2 8 4" xfId="19555"/>
    <cellStyle name="Normal 5 4 2 8 5" xfId="27995"/>
    <cellStyle name="Normal 5 4 2 9" xfId="4830"/>
    <cellStyle name="Normal 5 4 2 9 2" xfId="13266"/>
    <cellStyle name="Normal 5 4 2 9 3" xfId="21707"/>
    <cellStyle name="Normal 5 4 2 9 4" xfId="30147"/>
    <cellStyle name="Normal 5 4 3" xfId="461"/>
    <cellStyle name="Normal 5 4 3 10" xfId="17494"/>
    <cellStyle name="Normal 5 4 3 11" xfId="25934"/>
    <cellStyle name="Normal 5 4 3 2" xfId="462"/>
    <cellStyle name="Normal 5 4 3 2 10" xfId="25935"/>
    <cellStyle name="Normal 5 4 3 2 2" xfId="936"/>
    <cellStyle name="Normal 5 4 3 2 2 2" xfId="3170"/>
    <cellStyle name="Normal 5 4 3 2 2 2 2" xfId="7393"/>
    <cellStyle name="Normal 5 4 3 2 2 2 2 2" xfId="15829"/>
    <cellStyle name="Normal 5 4 3 2 2 2 2 3" xfId="24270"/>
    <cellStyle name="Normal 5 4 3 2 2 2 2 4" xfId="32710"/>
    <cellStyle name="Normal 5 4 3 2 2 2 3" xfId="11611"/>
    <cellStyle name="Normal 5 4 3 2 2 2 4" xfId="20053"/>
    <cellStyle name="Normal 5 4 3 2 2 2 5" xfId="28493"/>
    <cellStyle name="Normal 5 4 3 2 2 3" xfId="5248"/>
    <cellStyle name="Normal 5 4 3 2 2 3 2" xfId="13684"/>
    <cellStyle name="Normal 5 4 3 2 2 3 3" xfId="22125"/>
    <cellStyle name="Normal 5 4 3 2 2 3 4" xfId="30565"/>
    <cellStyle name="Normal 5 4 3 2 2 4" xfId="9466"/>
    <cellStyle name="Normal 5 4 3 2 2 5" xfId="17908"/>
    <cellStyle name="Normal 5 4 3 2 2 6" xfId="26348"/>
    <cellStyle name="Normal 5 4 3 2 3" xfId="1353"/>
    <cellStyle name="Normal 5 4 3 2 3 2" xfId="3583"/>
    <cellStyle name="Normal 5 4 3 2 3 2 2" xfId="7806"/>
    <cellStyle name="Normal 5 4 3 2 3 2 2 2" xfId="16242"/>
    <cellStyle name="Normal 5 4 3 2 3 2 2 3" xfId="24683"/>
    <cellStyle name="Normal 5 4 3 2 3 2 2 4" xfId="33123"/>
    <cellStyle name="Normal 5 4 3 2 3 2 3" xfId="12024"/>
    <cellStyle name="Normal 5 4 3 2 3 2 4" xfId="20466"/>
    <cellStyle name="Normal 5 4 3 2 3 2 5" xfId="28906"/>
    <cellStyle name="Normal 5 4 3 2 3 3" xfId="5661"/>
    <cellStyle name="Normal 5 4 3 2 3 3 2" xfId="14097"/>
    <cellStyle name="Normal 5 4 3 2 3 3 3" xfId="22538"/>
    <cellStyle name="Normal 5 4 3 2 3 3 4" xfId="30978"/>
    <cellStyle name="Normal 5 4 3 2 3 4" xfId="9879"/>
    <cellStyle name="Normal 5 4 3 2 3 5" xfId="18321"/>
    <cellStyle name="Normal 5 4 3 2 3 6" xfId="26761"/>
    <cellStyle name="Normal 5 4 3 2 4" xfId="1766"/>
    <cellStyle name="Normal 5 4 3 2 4 2" xfId="3996"/>
    <cellStyle name="Normal 5 4 3 2 4 2 2" xfId="8219"/>
    <cellStyle name="Normal 5 4 3 2 4 2 2 2" xfId="16655"/>
    <cellStyle name="Normal 5 4 3 2 4 2 2 3" xfId="25096"/>
    <cellStyle name="Normal 5 4 3 2 4 2 2 4" xfId="33536"/>
    <cellStyle name="Normal 5 4 3 2 4 2 3" xfId="12437"/>
    <cellStyle name="Normal 5 4 3 2 4 2 4" xfId="20879"/>
    <cellStyle name="Normal 5 4 3 2 4 2 5" xfId="29319"/>
    <cellStyle name="Normal 5 4 3 2 4 3" xfId="6074"/>
    <cellStyle name="Normal 5 4 3 2 4 3 2" xfId="14510"/>
    <cellStyle name="Normal 5 4 3 2 4 3 3" xfId="22951"/>
    <cellStyle name="Normal 5 4 3 2 4 3 4" xfId="31391"/>
    <cellStyle name="Normal 5 4 3 2 4 4" xfId="10292"/>
    <cellStyle name="Normal 5 4 3 2 4 5" xfId="18734"/>
    <cellStyle name="Normal 5 4 3 2 4 6" xfId="27174"/>
    <cellStyle name="Normal 5 4 3 2 5" xfId="2180"/>
    <cellStyle name="Normal 5 4 3 2 5 2" xfId="4409"/>
    <cellStyle name="Normal 5 4 3 2 5 2 2" xfId="8632"/>
    <cellStyle name="Normal 5 4 3 2 5 2 2 2" xfId="17068"/>
    <cellStyle name="Normal 5 4 3 2 5 2 2 3" xfId="25509"/>
    <cellStyle name="Normal 5 4 3 2 5 2 2 4" xfId="33949"/>
    <cellStyle name="Normal 5 4 3 2 5 2 3" xfId="12850"/>
    <cellStyle name="Normal 5 4 3 2 5 2 4" xfId="21292"/>
    <cellStyle name="Normal 5 4 3 2 5 2 5" xfId="29732"/>
    <cellStyle name="Normal 5 4 3 2 5 3" xfId="6487"/>
    <cellStyle name="Normal 5 4 3 2 5 3 2" xfId="14923"/>
    <cellStyle name="Normal 5 4 3 2 5 3 3" xfId="23364"/>
    <cellStyle name="Normal 5 4 3 2 5 3 4" xfId="31804"/>
    <cellStyle name="Normal 5 4 3 2 5 4" xfId="10705"/>
    <cellStyle name="Normal 5 4 3 2 5 5" xfId="19147"/>
    <cellStyle name="Normal 5 4 3 2 5 6" xfId="27587"/>
    <cellStyle name="Normal 5 4 3 2 6" xfId="2616"/>
    <cellStyle name="Normal 5 4 3 2 6 2" xfId="6900"/>
    <cellStyle name="Normal 5 4 3 2 6 2 2" xfId="15336"/>
    <cellStyle name="Normal 5 4 3 2 6 2 3" xfId="23777"/>
    <cellStyle name="Normal 5 4 3 2 6 2 4" xfId="32217"/>
    <cellStyle name="Normal 5 4 3 2 6 3" xfId="11118"/>
    <cellStyle name="Normal 5 4 3 2 6 4" xfId="19560"/>
    <cellStyle name="Normal 5 4 3 2 6 5" xfId="28000"/>
    <cellStyle name="Normal 5 4 3 2 7" xfId="4835"/>
    <cellStyle name="Normal 5 4 3 2 7 2" xfId="13271"/>
    <cellStyle name="Normal 5 4 3 2 7 3" xfId="21712"/>
    <cellStyle name="Normal 5 4 3 2 7 4" xfId="30152"/>
    <cellStyle name="Normal 5 4 3 2 8" xfId="9053"/>
    <cellStyle name="Normal 5 4 3 2 9" xfId="17495"/>
    <cellStyle name="Normal 5 4 3 3" xfId="935"/>
    <cellStyle name="Normal 5 4 3 3 2" xfId="3169"/>
    <cellStyle name="Normal 5 4 3 3 2 2" xfId="7392"/>
    <cellStyle name="Normal 5 4 3 3 2 2 2" xfId="15828"/>
    <cellStyle name="Normal 5 4 3 3 2 2 3" xfId="24269"/>
    <cellStyle name="Normal 5 4 3 3 2 2 4" xfId="32709"/>
    <cellStyle name="Normal 5 4 3 3 2 3" xfId="11610"/>
    <cellStyle name="Normal 5 4 3 3 2 4" xfId="20052"/>
    <cellStyle name="Normal 5 4 3 3 2 5" xfId="28492"/>
    <cellStyle name="Normal 5 4 3 3 3" xfId="5247"/>
    <cellStyle name="Normal 5 4 3 3 3 2" xfId="13683"/>
    <cellStyle name="Normal 5 4 3 3 3 3" xfId="22124"/>
    <cellStyle name="Normal 5 4 3 3 3 4" xfId="30564"/>
    <cellStyle name="Normal 5 4 3 3 4" xfId="9465"/>
    <cellStyle name="Normal 5 4 3 3 5" xfId="17907"/>
    <cellStyle name="Normal 5 4 3 3 6" xfId="26347"/>
    <cellStyle name="Normal 5 4 3 4" xfId="1352"/>
    <cellStyle name="Normal 5 4 3 4 2" xfId="3582"/>
    <cellStyle name="Normal 5 4 3 4 2 2" xfId="7805"/>
    <cellStyle name="Normal 5 4 3 4 2 2 2" xfId="16241"/>
    <cellStyle name="Normal 5 4 3 4 2 2 3" xfId="24682"/>
    <cellStyle name="Normal 5 4 3 4 2 2 4" xfId="33122"/>
    <cellStyle name="Normal 5 4 3 4 2 3" xfId="12023"/>
    <cellStyle name="Normal 5 4 3 4 2 4" xfId="20465"/>
    <cellStyle name="Normal 5 4 3 4 2 5" xfId="28905"/>
    <cellStyle name="Normal 5 4 3 4 3" xfId="5660"/>
    <cellStyle name="Normal 5 4 3 4 3 2" xfId="14096"/>
    <cellStyle name="Normal 5 4 3 4 3 3" xfId="22537"/>
    <cellStyle name="Normal 5 4 3 4 3 4" xfId="30977"/>
    <cellStyle name="Normal 5 4 3 4 4" xfId="9878"/>
    <cellStyle name="Normal 5 4 3 4 5" xfId="18320"/>
    <cellStyle name="Normal 5 4 3 4 6" xfId="26760"/>
    <cellStyle name="Normal 5 4 3 5" xfId="1765"/>
    <cellStyle name="Normal 5 4 3 5 2" xfId="3995"/>
    <cellStyle name="Normal 5 4 3 5 2 2" xfId="8218"/>
    <cellStyle name="Normal 5 4 3 5 2 2 2" xfId="16654"/>
    <cellStyle name="Normal 5 4 3 5 2 2 3" xfId="25095"/>
    <cellStyle name="Normal 5 4 3 5 2 2 4" xfId="33535"/>
    <cellStyle name="Normal 5 4 3 5 2 3" xfId="12436"/>
    <cellStyle name="Normal 5 4 3 5 2 4" xfId="20878"/>
    <cellStyle name="Normal 5 4 3 5 2 5" xfId="29318"/>
    <cellStyle name="Normal 5 4 3 5 3" xfId="6073"/>
    <cellStyle name="Normal 5 4 3 5 3 2" xfId="14509"/>
    <cellStyle name="Normal 5 4 3 5 3 3" xfId="22950"/>
    <cellStyle name="Normal 5 4 3 5 3 4" xfId="31390"/>
    <cellStyle name="Normal 5 4 3 5 4" xfId="10291"/>
    <cellStyle name="Normal 5 4 3 5 5" xfId="18733"/>
    <cellStyle name="Normal 5 4 3 5 6" xfId="27173"/>
    <cellStyle name="Normal 5 4 3 6" xfId="2179"/>
    <cellStyle name="Normal 5 4 3 6 2" xfId="4408"/>
    <cellStyle name="Normal 5 4 3 6 2 2" xfId="8631"/>
    <cellStyle name="Normal 5 4 3 6 2 2 2" xfId="17067"/>
    <cellStyle name="Normal 5 4 3 6 2 2 3" xfId="25508"/>
    <cellStyle name="Normal 5 4 3 6 2 2 4" xfId="33948"/>
    <cellStyle name="Normal 5 4 3 6 2 3" xfId="12849"/>
    <cellStyle name="Normal 5 4 3 6 2 4" xfId="21291"/>
    <cellStyle name="Normal 5 4 3 6 2 5" xfId="29731"/>
    <cellStyle name="Normal 5 4 3 6 3" xfId="6486"/>
    <cellStyle name="Normal 5 4 3 6 3 2" xfId="14922"/>
    <cellStyle name="Normal 5 4 3 6 3 3" xfId="23363"/>
    <cellStyle name="Normal 5 4 3 6 3 4" xfId="31803"/>
    <cellStyle name="Normal 5 4 3 6 4" xfId="10704"/>
    <cellStyle name="Normal 5 4 3 6 5" xfId="19146"/>
    <cellStyle name="Normal 5 4 3 6 6" xfId="27586"/>
    <cellStyle name="Normal 5 4 3 7" xfId="2615"/>
    <cellStyle name="Normal 5 4 3 7 2" xfId="6899"/>
    <cellStyle name="Normal 5 4 3 7 2 2" xfId="15335"/>
    <cellStyle name="Normal 5 4 3 7 2 3" xfId="23776"/>
    <cellStyle name="Normal 5 4 3 7 2 4" xfId="32216"/>
    <cellStyle name="Normal 5 4 3 7 3" xfId="11117"/>
    <cellStyle name="Normal 5 4 3 7 4" xfId="19559"/>
    <cellStyle name="Normal 5 4 3 7 5" xfId="27999"/>
    <cellStyle name="Normal 5 4 3 8" xfId="4834"/>
    <cellStyle name="Normal 5 4 3 8 2" xfId="13270"/>
    <cellStyle name="Normal 5 4 3 8 3" xfId="21711"/>
    <cellStyle name="Normal 5 4 3 8 4" xfId="30151"/>
    <cellStyle name="Normal 5 4 3 9" xfId="9052"/>
    <cellStyle name="Normal 5 4 4" xfId="463"/>
    <cellStyle name="Normal 5 4 4 10" xfId="25936"/>
    <cellStyle name="Normal 5 4 4 2" xfId="937"/>
    <cellStyle name="Normal 5 4 4 2 2" xfId="3171"/>
    <cellStyle name="Normal 5 4 4 2 2 2" xfId="7394"/>
    <cellStyle name="Normal 5 4 4 2 2 2 2" xfId="15830"/>
    <cellStyle name="Normal 5 4 4 2 2 2 3" xfId="24271"/>
    <cellStyle name="Normal 5 4 4 2 2 2 4" xfId="32711"/>
    <cellStyle name="Normal 5 4 4 2 2 3" xfId="11612"/>
    <cellStyle name="Normal 5 4 4 2 2 4" xfId="20054"/>
    <cellStyle name="Normal 5 4 4 2 2 5" xfId="28494"/>
    <cellStyle name="Normal 5 4 4 2 3" xfId="5249"/>
    <cellStyle name="Normal 5 4 4 2 3 2" xfId="13685"/>
    <cellStyle name="Normal 5 4 4 2 3 3" xfId="22126"/>
    <cellStyle name="Normal 5 4 4 2 3 4" xfId="30566"/>
    <cellStyle name="Normal 5 4 4 2 4" xfId="9467"/>
    <cellStyle name="Normal 5 4 4 2 5" xfId="17909"/>
    <cellStyle name="Normal 5 4 4 2 6" xfId="26349"/>
    <cellStyle name="Normal 5 4 4 3" xfId="1354"/>
    <cellStyle name="Normal 5 4 4 3 2" xfId="3584"/>
    <cellStyle name="Normal 5 4 4 3 2 2" xfId="7807"/>
    <cellStyle name="Normal 5 4 4 3 2 2 2" xfId="16243"/>
    <cellStyle name="Normal 5 4 4 3 2 2 3" xfId="24684"/>
    <cellStyle name="Normal 5 4 4 3 2 2 4" xfId="33124"/>
    <cellStyle name="Normal 5 4 4 3 2 3" xfId="12025"/>
    <cellStyle name="Normal 5 4 4 3 2 4" xfId="20467"/>
    <cellStyle name="Normal 5 4 4 3 2 5" xfId="28907"/>
    <cellStyle name="Normal 5 4 4 3 3" xfId="5662"/>
    <cellStyle name="Normal 5 4 4 3 3 2" xfId="14098"/>
    <cellStyle name="Normal 5 4 4 3 3 3" xfId="22539"/>
    <cellStyle name="Normal 5 4 4 3 3 4" xfId="30979"/>
    <cellStyle name="Normal 5 4 4 3 4" xfId="9880"/>
    <cellStyle name="Normal 5 4 4 3 5" xfId="18322"/>
    <cellStyle name="Normal 5 4 4 3 6" xfId="26762"/>
    <cellStyle name="Normal 5 4 4 4" xfId="1767"/>
    <cellStyle name="Normal 5 4 4 4 2" xfId="3997"/>
    <cellStyle name="Normal 5 4 4 4 2 2" xfId="8220"/>
    <cellStyle name="Normal 5 4 4 4 2 2 2" xfId="16656"/>
    <cellStyle name="Normal 5 4 4 4 2 2 3" xfId="25097"/>
    <cellStyle name="Normal 5 4 4 4 2 2 4" xfId="33537"/>
    <cellStyle name="Normal 5 4 4 4 2 3" xfId="12438"/>
    <cellStyle name="Normal 5 4 4 4 2 4" xfId="20880"/>
    <cellStyle name="Normal 5 4 4 4 2 5" xfId="29320"/>
    <cellStyle name="Normal 5 4 4 4 3" xfId="6075"/>
    <cellStyle name="Normal 5 4 4 4 3 2" xfId="14511"/>
    <cellStyle name="Normal 5 4 4 4 3 3" xfId="22952"/>
    <cellStyle name="Normal 5 4 4 4 3 4" xfId="31392"/>
    <cellStyle name="Normal 5 4 4 4 4" xfId="10293"/>
    <cellStyle name="Normal 5 4 4 4 5" xfId="18735"/>
    <cellStyle name="Normal 5 4 4 4 6" xfId="27175"/>
    <cellStyle name="Normal 5 4 4 5" xfId="2181"/>
    <cellStyle name="Normal 5 4 4 5 2" xfId="4410"/>
    <cellStyle name="Normal 5 4 4 5 2 2" xfId="8633"/>
    <cellStyle name="Normal 5 4 4 5 2 2 2" xfId="17069"/>
    <cellStyle name="Normal 5 4 4 5 2 2 3" xfId="25510"/>
    <cellStyle name="Normal 5 4 4 5 2 2 4" xfId="33950"/>
    <cellStyle name="Normal 5 4 4 5 2 3" xfId="12851"/>
    <cellStyle name="Normal 5 4 4 5 2 4" xfId="21293"/>
    <cellStyle name="Normal 5 4 4 5 2 5" xfId="29733"/>
    <cellStyle name="Normal 5 4 4 5 3" xfId="6488"/>
    <cellStyle name="Normal 5 4 4 5 3 2" xfId="14924"/>
    <cellStyle name="Normal 5 4 4 5 3 3" xfId="23365"/>
    <cellStyle name="Normal 5 4 4 5 3 4" xfId="31805"/>
    <cellStyle name="Normal 5 4 4 5 4" xfId="10706"/>
    <cellStyle name="Normal 5 4 4 5 5" xfId="19148"/>
    <cellStyle name="Normal 5 4 4 5 6" xfId="27588"/>
    <cellStyle name="Normal 5 4 4 6" xfId="2617"/>
    <cellStyle name="Normal 5 4 4 6 2" xfId="6901"/>
    <cellStyle name="Normal 5 4 4 6 2 2" xfId="15337"/>
    <cellStyle name="Normal 5 4 4 6 2 3" xfId="23778"/>
    <cellStyle name="Normal 5 4 4 6 2 4" xfId="32218"/>
    <cellStyle name="Normal 5 4 4 6 3" xfId="11119"/>
    <cellStyle name="Normal 5 4 4 6 4" xfId="19561"/>
    <cellStyle name="Normal 5 4 4 6 5" xfId="28001"/>
    <cellStyle name="Normal 5 4 4 7" xfId="4836"/>
    <cellStyle name="Normal 5 4 4 7 2" xfId="13272"/>
    <cellStyle name="Normal 5 4 4 7 3" xfId="21713"/>
    <cellStyle name="Normal 5 4 4 7 4" xfId="30153"/>
    <cellStyle name="Normal 5 4 4 8" xfId="9054"/>
    <cellStyle name="Normal 5 4 4 9" xfId="17496"/>
    <cellStyle name="Normal 5 4 5" xfId="930"/>
    <cellStyle name="Normal 5 4 5 2" xfId="3164"/>
    <cellStyle name="Normal 5 4 5 2 2" xfId="7387"/>
    <cellStyle name="Normal 5 4 5 2 2 2" xfId="15823"/>
    <cellStyle name="Normal 5 4 5 2 2 3" xfId="24264"/>
    <cellStyle name="Normal 5 4 5 2 2 4" xfId="32704"/>
    <cellStyle name="Normal 5 4 5 2 3" xfId="11605"/>
    <cellStyle name="Normal 5 4 5 2 4" xfId="20047"/>
    <cellStyle name="Normal 5 4 5 2 5" xfId="28487"/>
    <cellStyle name="Normal 5 4 5 3" xfId="5242"/>
    <cellStyle name="Normal 5 4 5 3 2" xfId="13678"/>
    <cellStyle name="Normal 5 4 5 3 3" xfId="22119"/>
    <cellStyle name="Normal 5 4 5 3 4" xfId="30559"/>
    <cellStyle name="Normal 5 4 5 4" xfId="9460"/>
    <cellStyle name="Normal 5 4 5 5" xfId="17902"/>
    <cellStyle name="Normal 5 4 5 6" xfId="26342"/>
    <cellStyle name="Normal 5 4 6" xfId="1347"/>
    <cellStyle name="Normal 5 4 6 2" xfId="3577"/>
    <cellStyle name="Normal 5 4 6 2 2" xfId="7800"/>
    <cellStyle name="Normal 5 4 6 2 2 2" xfId="16236"/>
    <cellStyle name="Normal 5 4 6 2 2 3" xfId="24677"/>
    <cellStyle name="Normal 5 4 6 2 2 4" xfId="33117"/>
    <cellStyle name="Normal 5 4 6 2 3" xfId="12018"/>
    <cellStyle name="Normal 5 4 6 2 4" xfId="20460"/>
    <cellStyle name="Normal 5 4 6 2 5" xfId="28900"/>
    <cellStyle name="Normal 5 4 6 3" xfId="5655"/>
    <cellStyle name="Normal 5 4 6 3 2" xfId="14091"/>
    <cellStyle name="Normal 5 4 6 3 3" xfId="22532"/>
    <cellStyle name="Normal 5 4 6 3 4" xfId="30972"/>
    <cellStyle name="Normal 5 4 6 4" xfId="9873"/>
    <cellStyle name="Normal 5 4 6 5" xfId="18315"/>
    <cellStyle name="Normal 5 4 6 6" xfId="26755"/>
    <cellStyle name="Normal 5 4 7" xfId="1760"/>
    <cellStyle name="Normal 5 4 7 2" xfId="3990"/>
    <cellStyle name="Normal 5 4 7 2 2" xfId="8213"/>
    <cellStyle name="Normal 5 4 7 2 2 2" xfId="16649"/>
    <cellStyle name="Normal 5 4 7 2 2 3" xfId="25090"/>
    <cellStyle name="Normal 5 4 7 2 2 4" xfId="33530"/>
    <cellStyle name="Normal 5 4 7 2 3" xfId="12431"/>
    <cellStyle name="Normal 5 4 7 2 4" xfId="20873"/>
    <cellStyle name="Normal 5 4 7 2 5" xfId="29313"/>
    <cellStyle name="Normal 5 4 7 3" xfId="6068"/>
    <cellStyle name="Normal 5 4 7 3 2" xfId="14504"/>
    <cellStyle name="Normal 5 4 7 3 3" xfId="22945"/>
    <cellStyle name="Normal 5 4 7 3 4" xfId="31385"/>
    <cellStyle name="Normal 5 4 7 4" xfId="10286"/>
    <cellStyle name="Normal 5 4 7 5" xfId="18728"/>
    <cellStyle name="Normal 5 4 7 6" xfId="27168"/>
    <cellStyle name="Normal 5 4 8" xfId="2174"/>
    <cellStyle name="Normal 5 4 8 2" xfId="4403"/>
    <cellStyle name="Normal 5 4 8 2 2" xfId="8626"/>
    <cellStyle name="Normal 5 4 8 2 2 2" xfId="17062"/>
    <cellStyle name="Normal 5 4 8 2 2 3" xfId="25503"/>
    <cellStyle name="Normal 5 4 8 2 2 4" xfId="33943"/>
    <cellStyle name="Normal 5 4 8 2 3" xfId="12844"/>
    <cellStyle name="Normal 5 4 8 2 4" xfId="21286"/>
    <cellStyle name="Normal 5 4 8 2 5" xfId="29726"/>
    <cellStyle name="Normal 5 4 8 3" xfId="6481"/>
    <cellStyle name="Normal 5 4 8 3 2" xfId="14917"/>
    <cellStyle name="Normal 5 4 8 3 3" xfId="23358"/>
    <cellStyle name="Normal 5 4 8 3 4" xfId="31798"/>
    <cellStyle name="Normal 5 4 8 4" xfId="10699"/>
    <cellStyle name="Normal 5 4 8 5" xfId="19141"/>
    <cellStyle name="Normal 5 4 8 6" xfId="27581"/>
    <cellStyle name="Normal 5 4 9" xfId="2610"/>
    <cellStyle name="Normal 5 4 9 2" xfId="6894"/>
    <cellStyle name="Normal 5 4 9 2 2" xfId="15330"/>
    <cellStyle name="Normal 5 4 9 2 3" xfId="23771"/>
    <cellStyle name="Normal 5 4 9 2 4" xfId="32211"/>
    <cellStyle name="Normal 5 4 9 3" xfId="11112"/>
    <cellStyle name="Normal 5 4 9 4" xfId="19554"/>
    <cellStyle name="Normal 5 4 9 5" xfId="27994"/>
    <cellStyle name="Normal 5 5" xfId="464"/>
    <cellStyle name="Normal 5 5 10" xfId="9055"/>
    <cellStyle name="Normal 5 5 11" xfId="17497"/>
    <cellStyle name="Normal 5 5 12" xfId="25937"/>
    <cellStyle name="Normal 5 5 2" xfId="465"/>
    <cellStyle name="Normal 5 5 2 10" xfId="17498"/>
    <cellStyle name="Normal 5 5 2 11" xfId="25938"/>
    <cellStyle name="Normal 5 5 2 2" xfId="466"/>
    <cellStyle name="Normal 5 5 2 2 10" xfId="25939"/>
    <cellStyle name="Normal 5 5 2 2 2" xfId="940"/>
    <cellStyle name="Normal 5 5 2 2 2 2" xfId="3174"/>
    <cellStyle name="Normal 5 5 2 2 2 2 2" xfId="7397"/>
    <cellStyle name="Normal 5 5 2 2 2 2 2 2" xfId="15833"/>
    <cellStyle name="Normal 5 5 2 2 2 2 2 3" xfId="24274"/>
    <cellStyle name="Normal 5 5 2 2 2 2 2 4" xfId="32714"/>
    <cellStyle name="Normal 5 5 2 2 2 2 3" xfId="11615"/>
    <cellStyle name="Normal 5 5 2 2 2 2 4" xfId="20057"/>
    <cellStyle name="Normal 5 5 2 2 2 2 5" xfId="28497"/>
    <cellStyle name="Normal 5 5 2 2 2 3" xfId="5252"/>
    <cellStyle name="Normal 5 5 2 2 2 3 2" xfId="13688"/>
    <cellStyle name="Normal 5 5 2 2 2 3 3" xfId="22129"/>
    <cellStyle name="Normal 5 5 2 2 2 3 4" xfId="30569"/>
    <cellStyle name="Normal 5 5 2 2 2 4" xfId="9470"/>
    <cellStyle name="Normal 5 5 2 2 2 5" xfId="17912"/>
    <cellStyle name="Normal 5 5 2 2 2 6" xfId="26352"/>
    <cellStyle name="Normal 5 5 2 2 3" xfId="1357"/>
    <cellStyle name="Normal 5 5 2 2 3 2" xfId="3587"/>
    <cellStyle name="Normal 5 5 2 2 3 2 2" xfId="7810"/>
    <cellStyle name="Normal 5 5 2 2 3 2 2 2" xfId="16246"/>
    <cellStyle name="Normal 5 5 2 2 3 2 2 3" xfId="24687"/>
    <cellStyle name="Normal 5 5 2 2 3 2 2 4" xfId="33127"/>
    <cellStyle name="Normal 5 5 2 2 3 2 3" xfId="12028"/>
    <cellStyle name="Normal 5 5 2 2 3 2 4" xfId="20470"/>
    <cellStyle name="Normal 5 5 2 2 3 2 5" xfId="28910"/>
    <cellStyle name="Normal 5 5 2 2 3 3" xfId="5665"/>
    <cellStyle name="Normal 5 5 2 2 3 3 2" xfId="14101"/>
    <cellStyle name="Normal 5 5 2 2 3 3 3" xfId="22542"/>
    <cellStyle name="Normal 5 5 2 2 3 3 4" xfId="30982"/>
    <cellStyle name="Normal 5 5 2 2 3 4" xfId="9883"/>
    <cellStyle name="Normal 5 5 2 2 3 5" xfId="18325"/>
    <cellStyle name="Normal 5 5 2 2 3 6" xfId="26765"/>
    <cellStyle name="Normal 5 5 2 2 4" xfId="1770"/>
    <cellStyle name="Normal 5 5 2 2 4 2" xfId="4000"/>
    <cellStyle name="Normal 5 5 2 2 4 2 2" xfId="8223"/>
    <cellStyle name="Normal 5 5 2 2 4 2 2 2" xfId="16659"/>
    <cellStyle name="Normal 5 5 2 2 4 2 2 3" xfId="25100"/>
    <cellStyle name="Normal 5 5 2 2 4 2 2 4" xfId="33540"/>
    <cellStyle name="Normal 5 5 2 2 4 2 3" xfId="12441"/>
    <cellStyle name="Normal 5 5 2 2 4 2 4" xfId="20883"/>
    <cellStyle name="Normal 5 5 2 2 4 2 5" xfId="29323"/>
    <cellStyle name="Normal 5 5 2 2 4 3" xfId="6078"/>
    <cellStyle name="Normal 5 5 2 2 4 3 2" xfId="14514"/>
    <cellStyle name="Normal 5 5 2 2 4 3 3" xfId="22955"/>
    <cellStyle name="Normal 5 5 2 2 4 3 4" xfId="31395"/>
    <cellStyle name="Normal 5 5 2 2 4 4" xfId="10296"/>
    <cellStyle name="Normal 5 5 2 2 4 5" xfId="18738"/>
    <cellStyle name="Normal 5 5 2 2 4 6" xfId="27178"/>
    <cellStyle name="Normal 5 5 2 2 5" xfId="2184"/>
    <cellStyle name="Normal 5 5 2 2 5 2" xfId="4413"/>
    <cellStyle name="Normal 5 5 2 2 5 2 2" xfId="8636"/>
    <cellStyle name="Normal 5 5 2 2 5 2 2 2" xfId="17072"/>
    <cellStyle name="Normal 5 5 2 2 5 2 2 3" xfId="25513"/>
    <cellStyle name="Normal 5 5 2 2 5 2 2 4" xfId="33953"/>
    <cellStyle name="Normal 5 5 2 2 5 2 3" xfId="12854"/>
    <cellStyle name="Normal 5 5 2 2 5 2 4" xfId="21296"/>
    <cellStyle name="Normal 5 5 2 2 5 2 5" xfId="29736"/>
    <cellStyle name="Normal 5 5 2 2 5 3" xfId="6491"/>
    <cellStyle name="Normal 5 5 2 2 5 3 2" xfId="14927"/>
    <cellStyle name="Normal 5 5 2 2 5 3 3" xfId="23368"/>
    <cellStyle name="Normal 5 5 2 2 5 3 4" xfId="31808"/>
    <cellStyle name="Normal 5 5 2 2 5 4" xfId="10709"/>
    <cellStyle name="Normal 5 5 2 2 5 5" xfId="19151"/>
    <cellStyle name="Normal 5 5 2 2 5 6" xfId="27591"/>
    <cellStyle name="Normal 5 5 2 2 6" xfId="2620"/>
    <cellStyle name="Normal 5 5 2 2 6 2" xfId="6904"/>
    <cellStyle name="Normal 5 5 2 2 6 2 2" xfId="15340"/>
    <cellStyle name="Normal 5 5 2 2 6 2 3" xfId="23781"/>
    <cellStyle name="Normal 5 5 2 2 6 2 4" xfId="32221"/>
    <cellStyle name="Normal 5 5 2 2 6 3" xfId="11122"/>
    <cellStyle name="Normal 5 5 2 2 6 4" xfId="19564"/>
    <cellStyle name="Normal 5 5 2 2 6 5" xfId="28004"/>
    <cellStyle name="Normal 5 5 2 2 7" xfId="4839"/>
    <cellStyle name="Normal 5 5 2 2 7 2" xfId="13275"/>
    <cellStyle name="Normal 5 5 2 2 7 3" xfId="21716"/>
    <cellStyle name="Normal 5 5 2 2 7 4" xfId="30156"/>
    <cellStyle name="Normal 5 5 2 2 8" xfId="9057"/>
    <cellStyle name="Normal 5 5 2 2 9" xfId="17499"/>
    <cellStyle name="Normal 5 5 2 3" xfId="939"/>
    <cellStyle name="Normal 5 5 2 3 2" xfId="3173"/>
    <cellStyle name="Normal 5 5 2 3 2 2" xfId="7396"/>
    <cellStyle name="Normal 5 5 2 3 2 2 2" xfId="15832"/>
    <cellStyle name="Normal 5 5 2 3 2 2 3" xfId="24273"/>
    <cellStyle name="Normal 5 5 2 3 2 2 4" xfId="32713"/>
    <cellStyle name="Normal 5 5 2 3 2 3" xfId="11614"/>
    <cellStyle name="Normal 5 5 2 3 2 4" xfId="20056"/>
    <cellStyle name="Normal 5 5 2 3 2 5" xfId="28496"/>
    <cellStyle name="Normal 5 5 2 3 3" xfId="5251"/>
    <cellStyle name="Normal 5 5 2 3 3 2" xfId="13687"/>
    <cellStyle name="Normal 5 5 2 3 3 3" xfId="22128"/>
    <cellStyle name="Normal 5 5 2 3 3 4" xfId="30568"/>
    <cellStyle name="Normal 5 5 2 3 4" xfId="9469"/>
    <cellStyle name="Normal 5 5 2 3 5" xfId="17911"/>
    <cellStyle name="Normal 5 5 2 3 6" xfId="26351"/>
    <cellStyle name="Normal 5 5 2 4" xfId="1356"/>
    <cellStyle name="Normal 5 5 2 4 2" xfId="3586"/>
    <cellStyle name="Normal 5 5 2 4 2 2" xfId="7809"/>
    <cellStyle name="Normal 5 5 2 4 2 2 2" xfId="16245"/>
    <cellStyle name="Normal 5 5 2 4 2 2 3" xfId="24686"/>
    <cellStyle name="Normal 5 5 2 4 2 2 4" xfId="33126"/>
    <cellStyle name="Normal 5 5 2 4 2 3" xfId="12027"/>
    <cellStyle name="Normal 5 5 2 4 2 4" xfId="20469"/>
    <cellStyle name="Normal 5 5 2 4 2 5" xfId="28909"/>
    <cellStyle name="Normal 5 5 2 4 3" xfId="5664"/>
    <cellStyle name="Normal 5 5 2 4 3 2" xfId="14100"/>
    <cellStyle name="Normal 5 5 2 4 3 3" xfId="22541"/>
    <cellStyle name="Normal 5 5 2 4 3 4" xfId="30981"/>
    <cellStyle name="Normal 5 5 2 4 4" xfId="9882"/>
    <cellStyle name="Normal 5 5 2 4 5" xfId="18324"/>
    <cellStyle name="Normal 5 5 2 4 6" xfId="26764"/>
    <cellStyle name="Normal 5 5 2 5" xfId="1769"/>
    <cellStyle name="Normal 5 5 2 5 2" xfId="3999"/>
    <cellStyle name="Normal 5 5 2 5 2 2" xfId="8222"/>
    <cellStyle name="Normal 5 5 2 5 2 2 2" xfId="16658"/>
    <cellStyle name="Normal 5 5 2 5 2 2 3" xfId="25099"/>
    <cellStyle name="Normal 5 5 2 5 2 2 4" xfId="33539"/>
    <cellStyle name="Normal 5 5 2 5 2 3" xfId="12440"/>
    <cellStyle name="Normal 5 5 2 5 2 4" xfId="20882"/>
    <cellStyle name="Normal 5 5 2 5 2 5" xfId="29322"/>
    <cellStyle name="Normal 5 5 2 5 3" xfId="6077"/>
    <cellStyle name="Normal 5 5 2 5 3 2" xfId="14513"/>
    <cellStyle name="Normal 5 5 2 5 3 3" xfId="22954"/>
    <cellStyle name="Normal 5 5 2 5 3 4" xfId="31394"/>
    <cellStyle name="Normal 5 5 2 5 4" xfId="10295"/>
    <cellStyle name="Normal 5 5 2 5 5" xfId="18737"/>
    <cellStyle name="Normal 5 5 2 5 6" xfId="27177"/>
    <cellStyle name="Normal 5 5 2 6" xfId="2183"/>
    <cellStyle name="Normal 5 5 2 6 2" xfId="4412"/>
    <cellStyle name="Normal 5 5 2 6 2 2" xfId="8635"/>
    <cellStyle name="Normal 5 5 2 6 2 2 2" xfId="17071"/>
    <cellStyle name="Normal 5 5 2 6 2 2 3" xfId="25512"/>
    <cellStyle name="Normal 5 5 2 6 2 2 4" xfId="33952"/>
    <cellStyle name="Normal 5 5 2 6 2 3" xfId="12853"/>
    <cellStyle name="Normal 5 5 2 6 2 4" xfId="21295"/>
    <cellStyle name="Normal 5 5 2 6 2 5" xfId="29735"/>
    <cellStyle name="Normal 5 5 2 6 3" xfId="6490"/>
    <cellStyle name="Normal 5 5 2 6 3 2" xfId="14926"/>
    <cellStyle name="Normal 5 5 2 6 3 3" xfId="23367"/>
    <cellStyle name="Normal 5 5 2 6 3 4" xfId="31807"/>
    <cellStyle name="Normal 5 5 2 6 4" xfId="10708"/>
    <cellStyle name="Normal 5 5 2 6 5" xfId="19150"/>
    <cellStyle name="Normal 5 5 2 6 6" xfId="27590"/>
    <cellStyle name="Normal 5 5 2 7" xfId="2619"/>
    <cellStyle name="Normal 5 5 2 7 2" xfId="6903"/>
    <cellStyle name="Normal 5 5 2 7 2 2" xfId="15339"/>
    <cellStyle name="Normal 5 5 2 7 2 3" xfId="23780"/>
    <cellStyle name="Normal 5 5 2 7 2 4" xfId="32220"/>
    <cellStyle name="Normal 5 5 2 7 3" xfId="11121"/>
    <cellStyle name="Normal 5 5 2 7 4" xfId="19563"/>
    <cellStyle name="Normal 5 5 2 7 5" xfId="28003"/>
    <cellStyle name="Normal 5 5 2 8" xfId="4838"/>
    <cellStyle name="Normal 5 5 2 8 2" xfId="13274"/>
    <cellStyle name="Normal 5 5 2 8 3" xfId="21715"/>
    <cellStyle name="Normal 5 5 2 8 4" xfId="30155"/>
    <cellStyle name="Normal 5 5 2 9" xfId="9056"/>
    <cellStyle name="Normal 5 5 3" xfId="467"/>
    <cellStyle name="Normal 5 5 3 10" xfId="25940"/>
    <cellStyle name="Normal 5 5 3 2" xfId="941"/>
    <cellStyle name="Normal 5 5 3 2 2" xfId="3175"/>
    <cellStyle name="Normal 5 5 3 2 2 2" xfId="7398"/>
    <cellStyle name="Normal 5 5 3 2 2 2 2" xfId="15834"/>
    <cellStyle name="Normal 5 5 3 2 2 2 3" xfId="24275"/>
    <cellStyle name="Normal 5 5 3 2 2 2 4" xfId="32715"/>
    <cellStyle name="Normal 5 5 3 2 2 3" xfId="11616"/>
    <cellStyle name="Normal 5 5 3 2 2 4" xfId="20058"/>
    <cellStyle name="Normal 5 5 3 2 2 5" xfId="28498"/>
    <cellStyle name="Normal 5 5 3 2 3" xfId="5253"/>
    <cellStyle name="Normal 5 5 3 2 3 2" xfId="13689"/>
    <cellStyle name="Normal 5 5 3 2 3 3" xfId="22130"/>
    <cellStyle name="Normal 5 5 3 2 3 4" xfId="30570"/>
    <cellStyle name="Normal 5 5 3 2 4" xfId="9471"/>
    <cellStyle name="Normal 5 5 3 2 5" xfId="17913"/>
    <cellStyle name="Normal 5 5 3 2 6" xfId="26353"/>
    <cellStyle name="Normal 5 5 3 3" xfId="1358"/>
    <cellStyle name="Normal 5 5 3 3 2" xfId="3588"/>
    <cellStyle name="Normal 5 5 3 3 2 2" xfId="7811"/>
    <cellStyle name="Normal 5 5 3 3 2 2 2" xfId="16247"/>
    <cellStyle name="Normal 5 5 3 3 2 2 3" xfId="24688"/>
    <cellStyle name="Normal 5 5 3 3 2 2 4" xfId="33128"/>
    <cellStyle name="Normal 5 5 3 3 2 3" xfId="12029"/>
    <cellStyle name="Normal 5 5 3 3 2 4" xfId="20471"/>
    <cellStyle name="Normal 5 5 3 3 2 5" xfId="28911"/>
    <cellStyle name="Normal 5 5 3 3 3" xfId="5666"/>
    <cellStyle name="Normal 5 5 3 3 3 2" xfId="14102"/>
    <cellStyle name="Normal 5 5 3 3 3 3" xfId="22543"/>
    <cellStyle name="Normal 5 5 3 3 3 4" xfId="30983"/>
    <cellStyle name="Normal 5 5 3 3 4" xfId="9884"/>
    <cellStyle name="Normal 5 5 3 3 5" xfId="18326"/>
    <cellStyle name="Normal 5 5 3 3 6" xfId="26766"/>
    <cellStyle name="Normal 5 5 3 4" xfId="1771"/>
    <cellStyle name="Normal 5 5 3 4 2" xfId="4001"/>
    <cellStyle name="Normal 5 5 3 4 2 2" xfId="8224"/>
    <cellStyle name="Normal 5 5 3 4 2 2 2" xfId="16660"/>
    <cellStyle name="Normal 5 5 3 4 2 2 3" xfId="25101"/>
    <cellStyle name="Normal 5 5 3 4 2 2 4" xfId="33541"/>
    <cellStyle name="Normal 5 5 3 4 2 3" xfId="12442"/>
    <cellStyle name="Normal 5 5 3 4 2 4" xfId="20884"/>
    <cellStyle name="Normal 5 5 3 4 2 5" xfId="29324"/>
    <cellStyle name="Normal 5 5 3 4 3" xfId="6079"/>
    <cellStyle name="Normal 5 5 3 4 3 2" xfId="14515"/>
    <cellStyle name="Normal 5 5 3 4 3 3" xfId="22956"/>
    <cellStyle name="Normal 5 5 3 4 3 4" xfId="31396"/>
    <cellStyle name="Normal 5 5 3 4 4" xfId="10297"/>
    <cellStyle name="Normal 5 5 3 4 5" xfId="18739"/>
    <cellStyle name="Normal 5 5 3 4 6" xfId="27179"/>
    <cellStyle name="Normal 5 5 3 5" xfId="2185"/>
    <cellStyle name="Normal 5 5 3 5 2" xfId="4414"/>
    <cellStyle name="Normal 5 5 3 5 2 2" xfId="8637"/>
    <cellStyle name="Normal 5 5 3 5 2 2 2" xfId="17073"/>
    <cellStyle name="Normal 5 5 3 5 2 2 3" xfId="25514"/>
    <cellStyle name="Normal 5 5 3 5 2 2 4" xfId="33954"/>
    <cellStyle name="Normal 5 5 3 5 2 3" xfId="12855"/>
    <cellStyle name="Normal 5 5 3 5 2 4" xfId="21297"/>
    <cellStyle name="Normal 5 5 3 5 2 5" xfId="29737"/>
    <cellStyle name="Normal 5 5 3 5 3" xfId="6492"/>
    <cellStyle name="Normal 5 5 3 5 3 2" xfId="14928"/>
    <cellStyle name="Normal 5 5 3 5 3 3" xfId="23369"/>
    <cellStyle name="Normal 5 5 3 5 3 4" xfId="31809"/>
    <cellStyle name="Normal 5 5 3 5 4" xfId="10710"/>
    <cellStyle name="Normal 5 5 3 5 5" xfId="19152"/>
    <cellStyle name="Normal 5 5 3 5 6" xfId="27592"/>
    <cellStyle name="Normal 5 5 3 6" xfId="2621"/>
    <cellStyle name="Normal 5 5 3 6 2" xfId="6905"/>
    <cellStyle name="Normal 5 5 3 6 2 2" xfId="15341"/>
    <cellStyle name="Normal 5 5 3 6 2 3" xfId="23782"/>
    <cellStyle name="Normal 5 5 3 6 2 4" xfId="32222"/>
    <cellStyle name="Normal 5 5 3 6 3" xfId="11123"/>
    <cellStyle name="Normal 5 5 3 6 4" xfId="19565"/>
    <cellStyle name="Normal 5 5 3 6 5" xfId="28005"/>
    <cellStyle name="Normal 5 5 3 7" xfId="4840"/>
    <cellStyle name="Normal 5 5 3 7 2" xfId="13276"/>
    <cellStyle name="Normal 5 5 3 7 3" xfId="21717"/>
    <cellStyle name="Normal 5 5 3 7 4" xfId="30157"/>
    <cellStyle name="Normal 5 5 3 8" xfId="9058"/>
    <cellStyle name="Normal 5 5 3 9" xfId="17500"/>
    <cellStyle name="Normal 5 5 4" xfId="938"/>
    <cellStyle name="Normal 5 5 4 2" xfId="3172"/>
    <cellStyle name="Normal 5 5 4 2 2" xfId="7395"/>
    <cellStyle name="Normal 5 5 4 2 2 2" xfId="15831"/>
    <cellStyle name="Normal 5 5 4 2 2 3" xfId="24272"/>
    <cellStyle name="Normal 5 5 4 2 2 4" xfId="32712"/>
    <cellStyle name="Normal 5 5 4 2 3" xfId="11613"/>
    <cellStyle name="Normal 5 5 4 2 4" xfId="20055"/>
    <cellStyle name="Normal 5 5 4 2 5" xfId="28495"/>
    <cellStyle name="Normal 5 5 4 3" xfId="5250"/>
    <cellStyle name="Normal 5 5 4 3 2" xfId="13686"/>
    <cellStyle name="Normal 5 5 4 3 3" xfId="22127"/>
    <cellStyle name="Normal 5 5 4 3 4" xfId="30567"/>
    <cellStyle name="Normal 5 5 4 4" xfId="9468"/>
    <cellStyle name="Normal 5 5 4 5" xfId="17910"/>
    <cellStyle name="Normal 5 5 4 6" xfId="26350"/>
    <cellStyle name="Normal 5 5 5" xfId="1355"/>
    <cellStyle name="Normal 5 5 5 2" xfId="3585"/>
    <cellStyle name="Normal 5 5 5 2 2" xfId="7808"/>
    <cellStyle name="Normal 5 5 5 2 2 2" xfId="16244"/>
    <cellStyle name="Normal 5 5 5 2 2 3" xfId="24685"/>
    <cellStyle name="Normal 5 5 5 2 2 4" xfId="33125"/>
    <cellStyle name="Normal 5 5 5 2 3" xfId="12026"/>
    <cellStyle name="Normal 5 5 5 2 4" xfId="20468"/>
    <cellStyle name="Normal 5 5 5 2 5" xfId="28908"/>
    <cellStyle name="Normal 5 5 5 3" xfId="5663"/>
    <cellStyle name="Normal 5 5 5 3 2" xfId="14099"/>
    <cellStyle name="Normal 5 5 5 3 3" xfId="22540"/>
    <cellStyle name="Normal 5 5 5 3 4" xfId="30980"/>
    <cellStyle name="Normal 5 5 5 4" xfId="9881"/>
    <cellStyle name="Normal 5 5 5 5" xfId="18323"/>
    <cellStyle name="Normal 5 5 5 6" xfId="26763"/>
    <cellStyle name="Normal 5 5 6" xfId="1768"/>
    <cellStyle name="Normal 5 5 6 2" xfId="3998"/>
    <cellStyle name="Normal 5 5 6 2 2" xfId="8221"/>
    <cellStyle name="Normal 5 5 6 2 2 2" xfId="16657"/>
    <cellStyle name="Normal 5 5 6 2 2 3" xfId="25098"/>
    <cellStyle name="Normal 5 5 6 2 2 4" xfId="33538"/>
    <cellStyle name="Normal 5 5 6 2 3" xfId="12439"/>
    <cellStyle name="Normal 5 5 6 2 4" xfId="20881"/>
    <cellStyle name="Normal 5 5 6 2 5" xfId="29321"/>
    <cellStyle name="Normal 5 5 6 3" xfId="6076"/>
    <cellStyle name="Normal 5 5 6 3 2" xfId="14512"/>
    <cellStyle name="Normal 5 5 6 3 3" xfId="22953"/>
    <cellStyle name="Normal 5 5 6 3 4" xfId="31393"/>
    <cellStyle name="Normal 5 5 6 4" xfId="10294"/>
    <cellStyle name="Normal 5 5 6 5" xfId="18736"/>
    <cellStyle name="Normal 5 5 6 6" xfId="27176"/>
    <cellStyle name="Normal 5 5 7" xfId="2182"/>
    <cellStyle name="Normal 5 5 7 2" xfId="4411"/>
    <cellStyle name="Normal 5 5 7 2 2" xfId="8634"/>
    <cellStyle name="Normal 5 5 7 2 2 2" xfId="17070"/>
    <cellStyle name="Normal 5 5 7 2 2 3" xfId="25511"/>
    <cellStyle name="Normal 5 5 7 2 2 4" xfId="33951"/>
    <cellStyle name="Normal 5 5 7 2 3" xfId="12852"/>
    <cellStyle name="Normal 5 5 7 2 4" xfId="21294"/>
    <cellStyle name="Normal 5 5 7 2 5" xfId="29734"/>
    <cellStyle name="Normal 5 5 7 3" xfId="6489"/>
    <cellStyle name="Normal 5 5 7 3 2" xfId="14925"/>
    <cellStyle name="Normal 5 5 7 3 3" xfId="23366"/>
    <cellStyle name="Normal 5 5 7 3 4" xfId="31806"/>
    <cellStyle name="Normal 5 5 7 4" xfId="10707"/>
    <cellStyle name="Normal 5 5 7 5" xfId="19149"/>
    <cellStyle name="Normal 5 5 7 6" xfId="27589"/>
    <cellStyle name="Normal 5 5 8" xfId="2618"/>
    <cellStyle name="Normal 5 5 8 2" xfId="6902"/>
    <cellStyle name="Normal 5 5 8 2 2" xfId="15338"/>
    <cellStyle name="Normal 5 5 8 2 3" xfId="23779"/>
    <cellStyle name="Normal 5 5 8 2 4" xfId="32219"/>
    <cellStyle name="Normal 5 5 8 3" xfId="11120"/>
    <cellStyle name="Normal 5 5 8 4" xfId="19562"/>
    <cellStyle name="Normal 5 5 8 5" xfId="28002"/>
    <cellStyle name="Normal 5 5 9" xfId="4837"/>
    <cellStyle name="Normal 5 5 9 2" xfId="13273"/>
    <cellStyle name="Normal 5 5 9 3" xfId="21714"/>
    <cellStyle name="Normal 5 5 9 4" xfId="30154"/>
    <cellStyle name="Normal 5 6" xfId="468"/>
    <cellStyle name="Normal 5 6 10" xfId="17501"/>
    <cellStyle name="Normal 5 6 11" xfId="25941"/>
    <cellStyle name="Normal 5 6 2" xfId="469"/>
    <cellStyle name="Normal 5 6 2 10" xfId="25942"/>
    <cellStyle name="Normal 5 6 2 2" xfId="943"/>
    <cellStyle name="Normal 5 6 2 2 2" xfId="3177"/>
    <cellStyle name="Normal 5 6 2 2 2 2" xfId="7400"/>
    <cellStyle name="Normal 5 6 2 2 2 2 2" xfId="15836"/>
    <cellStyle name="Normal 5 6 2 2 2 2 3" xfId="24277"/>
    <cellStyle name="Normal 5 6 2 2 2 2 4" xfId="32717"/>
    <cellStyle name="Normal 5 6 2 2 2 3" xfId="11618"/>
    <cellStyle name="Normal 5 6 2 2 2 4" xfId="20060"/>
    <cellStyle name="Normal 5 6 2 2 2 5" xfId="28500"/>
    <cellStyle name="Normal 5 6 2 2 3" xfId="5255"/>
    <cellStyle name="Normal 5 6 2 2 3 2" xfId="13691"/>
    <cellStyle name="Normal 5 6 2 2 3 3" xfId="22132"/>
    <cellStyle name="Normal 5 6 2 2 3 4" xfId="30572"/>
    <cellStyle name="Normal 5 6 2 2 4" xfId="9473"/>
    <cellStyle name="Normal 5 6 2 2 5" xfId="17915"/>
    <cellStyle name="Normal 5 6 2 2 6" xfId="26355"/>
    <cellStyle name="Normal 5 6 2 3" xfId="1360"/>
    <cellStyle name="Normal 5 6 2 3 2" xfId="3590"/>
    <cellStyle name="Normal 5 6 2 3 2 2" xfId="7813"/>
    <cellStyle name="Normal 5 6 2 3 2 2 2" xfId="16249"/>
    <cellStyle name="Normal 5 6 2 3 2 2 3" xfId="24690"/>
    <cellStyle name="Normal 5 6 2 3 2 2 4" xfId="33130"/>
    <cellStyle name="Normal 5 6 2 3 2 3" xfId="12031"/>
    <cellStyle name="Normal 5 6 2 3 2 4" xfId="20473"/>
    <cellStyle name="Normal 5 6 2 3 2 5" xfId="28913"/>
    <cellStyle name="Normal 5 6 2 3 3" xfId="5668"/>
    <cellStyle name="Normal 5 6 2 3 3 2" xfId="14104"/>
    <cellStyle name="Normal 5 6 2 3 3 3" xfId="22545"/>
    <cellStyle name="Normal 5 6 2 3 3 4" xfId="30985"/>
    <cellStyle name="Normal 5 6 2 3 4" xfId="9886"/>
    <cellStyle name="Normal 5 6 2 3 5" xfId="18328"/>
    <cellStyle name="Normal 5 6 2 3 6" xfId="26768"/>
    <cellStyle name="Normal 5 6 2 4" xfId="1773"/>
    <cellStyle name="Normal 5 6 2 4 2" xfId="4003"/>
    <cellStyle name="Normal 5 6 2 4 2 2" xfId="8226"/>
    <cellStyle name="Normal 5 6 2 4 2 2 2" xfId="16662"/>
    <cellStyle name="Normal 5 6 2 4 2 2 3" xfId="25103"/>
    <cellStyle name="Normal 5 6 2 4 2 2 4" xfId="33543"/>
    <cellStyle name="Normal 5 6 2 4 2 3" xfId="12444"/>
    <cellStyle name="Normal 5 6 2 4 2 4" xfId="20886"/>
    <cellStyle name="Normal 5 6 2 4 2 5" xfId="29326"/>
    <cellStyle name="Normal 5 6 2 4 3" xfId="6081"/>
    <cellStyle name="Normal 5 6 2 4 3 2" xfId="14517"/>
    <cellStyle name="Normal 5 6 2 4 3 3" xfId="22958"/>
    <cellStyle name="Normal 5 6 2 4 3 4" xfId="31398"/>
    <cellStyle name="Normal 5 6 2 4 4" xfId="10299"/>
    <cellStyle name="Normal 5 6 2 4 5" xfId="18741"/>
    <cellStyle name="Normal 5 6 2 4 6" xfId="27181"/>
    <cellStyle name="Normal 5 6 2 5" xfId="2187"/>
    <cellStyle name="Normal 5 6 2 5 2" xfId="4416"/>
    <cellStyle name="Normal 5 6 2 5 2 2" xfId="8639"/>
    <cellStyle name="Normal 5 6 2 5 2 2 2" xfId="17075"/>
    <cellStyle name="Normal 5 6 2 5 2 2 3" xfId="25516"/>
    <cellStyle name="Normal 5 6 2 5 2 2 4" xfId="33956"/>
    <cellStyle name="Normal 5 6 2 5 2 3" xfId="12857"/>
    <cellStyle name="Normal 5 6 2 5 2 4" xfId="21299"/>
    <cellStyle name="Normal 5 6 2 5 2 5" xfId="29739"/>
    <cellStyle name="Normal 5 6 2 5 3" xfId="6494"/>
    <cellStyle name="Normal 5 6 2 5 3 2" xfId="14930"/>
    <cellStyle name="Normal 5 6 2 5 3 3" xfId="23371"/>
    <cellStyle name="Normal 5 6 2 5 3 4" xfId="31811"/>
    <cellStyle name="Normal 5 6 2 5 4" xfId="10712"/>
    <cellStyle name="Normal 5 6 2 5 5" xfId="19154"/>
    <cellStyle name="Normal 5 6 2 5 6" xfId="27594"/>
    <cellStyle name="Normal 5 6 2 6" xfId="2623"/>
    <cellStyle name="Normal 5 6 2 6 2" xfId="6907"/>
    <cellStyle name="Normal 5 6 2 6 2 2" xfId="15343"/>
    <cellStyle name="Normal 5 6 2 6 2 3" xfId="23784"/>
    <cellStyle name="Normal 5 6 2 6 2 4" xfId="32224"/>
    <cellStyle name="Normal 5 6 2 6 3" xfId="11125"/>
    <cellStyle name="Normal 5 6 2 6 4" xfId="19567"/>
    <cellStyle name="Normal 5 6 2 6 5" xfId="28007"/>
    <cellStyle name="Normal 5 6 2 7" xfId="4842"/>
    <cellStyle name="Normal 5 6 2 7 2" xfId="13278"/>
    <cellStyle name="Normal 5 6 2 7 3" xfId="21719"/>
    <cellStyle name="Normal 5 6 2 7 4" xfId="30159"/>
    <cellStyle name="Normal 5 6 2 8" xfId="9060"/>
    <cellStyle name="Normal 5 6 2 9" xfId="17502"/>
    <cellStyle name="Normal 5 6 3" xfId="942"/>
    <cellStyle name="Normal 5 6 3 2" xfId="3176"/>
    <cellStyle name="Normal 5 6 3 2 2" xfId="7399"/>
    <cellStyle name="Normal 5 6 3 2 2 2" xfId="15835"/>
    <cellStyle name="Normal 5 6 3 2 2 3" xfId="24276"/>
    <cellStyle name="Normal 5 6 3 2 2 4" xfId="32716"/>
    <cellStyle name="Normal 5 6 3 2 3" xfId="11617"/>
    <cellStyle name="Normal 5 6 3 2 4" xfId="20059"/>
    <cellStyle name="Normal 5 6 3 2 5" xfId="28499"/>
    <cellStyle name="Normal 5 6 3 3" xfId="5254"/>
    <cellStyle name="Normal 5 6 3 3 2" xfId="13690"/>
    <cellStyle name="Normal 5 6 3 3 3" xfId="22131"/>
    <cellStyle name="Normal 5 6 3 3 4" xfId="30571"/>
    <cellStyle name="Normal 5 6 3 4" xfId="9472"/>
    <cellStyle name="Normal 5 6 3 5" xfId="17914"/>
    <cellStyle name="Normal 5 6 3 6" xfId="26354"/>
    <cellStyle name="Normal 5 6 4" xfId="1359"/>
    <cellStyle name="Normal 5 6 4 2" xfId="3589"/>
    <cellStyle name="Normal 5 6 4 2 2" xfId="7812"/>
    <cellStyle name="Normal 5 6 4 2 2 2" xfId="16248"/>
    <cellStyle name="Normal 5 6 4 2 2 3" xfId="24689"/>
    <cellStyle name="Normal 5 6 4 2 2 4" xfId="33129"/>
    <cellStyle name="Normal 5 6 4 2 3" xfId="12030"/>
    <cellStyle name="Normal 5 6 4 2 4" xfId="20472"/>
    <cellStyle name="Normal 5 6 4 2 5" xfId="28912"/>
    <cellStyle name="Normal 5 6 4 3" xfId="5667"/>
    <cellStyle name="Normal 5 6 4 3 2" xfId="14103"/>
    <cellStyle name="Normal 5 6 4 3 3" xfId="22544"/>
    <cellStyle name="Normal 5 6 4 3 4" xfId="30984"/>
    <cellStyle name="Normal 5 6 4 4" xfId="9885"/>
    <cellStyle name="Normal 5 6 4 5" xfId="18327"/>
    <cellStyle name="Normal 5 6 4 6" xfId="26767"/>
    <cellStyle name="Normal 5 6 5" xfId="1772"/>
    <cellStyle name="Normal 5 6 5 2" xfId="4002"/>
    <cellStyle name="Normal 5 6 5 2 2" xfId="8225"/>
    <cellStyle name="Normal 5 6 5 2 2 2" xfId="16661"/>
    <cellStyle name="Normal 5 6 5 2 2 3" xfId="25102"/>
    <cellStyle name="Normal 5 6 5 2 2 4" xfId="33542"/>
    <cellStyle name="Normal 5 6 5 2 3" xfId="12443"/>
    <cellStyle name="Normal 5 6 5 2 4" xfId="20885"/>
    <cellStyle name="Normal 5 6 5 2 5" xfId="29325"/>
    <cellStyle name="Normal 5 6 5 3" xfId="6080"/>
    <cellStyle name="Normal 5 6 5 3 2" xfId="14516"/>
    <cellStyle name="Normal 5 6 5 3 3" xfId="22957"/>
    <cellStyle name="Normal 5 6 5 3 4" xfId="31397"/>
    <cellStyle name="Normal 5 6 5 4" xfId="10298"/>
    <cellStyle name="Normal 5 6 5 5" xfId="18740"/>
    <cellStyle name="Normal 5 6 5 6" xfId="27180"/>
    <cellStyle name="Normal 5 6 6" xfId="2186"/>
    <cellStyle name="Normal 5 6 6 2" xfId="4415"/>
    <cellStyle name="Normal 5 6 6 2 2" xfId="8638"/>
    <cellStyle name="Normal 5 6 6 2 2 2" xfId="17074"/>
    <cellStyle name="Normal 5 6 6 2 2 3" xfId="25515"/>
    <cellStyle name="Normal 5 6 6 2 2 4" xfId="33955"/>
    <cellStyle name="Normal 5 6 6 2 3" xfId="12856"/>
    <cellStyle name="Normal 5 6 6 2 4" xfId="21298"/>
    <cellStyle name="Normal 5 6 6 2 5" xfId="29738"/>
    <cellStyle name="Normal 5 6 6 3" xfId="6493"/>
    <cellStyle name="Normal 5 6 6 3 2" xfId="14929"/>
    <cellStyle name="Normal 5 6 6 3 3" xfId="23370"/>
    <cellStyle name="Normal 5 6 6 3 4" xfId="31810"/>
    <cellStyle name="Normal 5 6 6 4" xfId="10711"/>
    <cellStyle name="Normal 5 6 6 5" xfId="19153"/>
    <cellStyle name="Normal 5 6 6 6" xfId="27593"/>
    <cellStyle name="Normal 5 6 7" xfId="2622"/>
    <cellStyle name="Normal 5 6 7 2" xfId="6906"/>
    <cellStyle name="Normal 5 6 7 2 2" xfId="15342"/>
    <cellStyle name="Normal 5 6 7 2 3" xfId="23783"/>
    <cellStyle name="Normal 5 6 7 2 4" xfId="32223"/>
    <cellStyle name="Normal 5 6 7 3" xfId="11124"/>
    <cellStyle name="Normal 5 6 7 4" xfId="19566"/>
    <cellStyle name="Normal 5 6 7 5" xfId="28006"/>
    <cellStyle name="Normal 5 6 8" xfId="4841"/>
    <cellStyle name="Normal 5 6 8 2" xfId="13277"/>
    <cellStyle name="Normal 5 6 8 3" xfId="21718"/>
    <cellStyle name="Normal 5 6 8 4" xfId="30158"/>
    <cellStyle name="Normal 5 6 9" xfId="9059"/>
    <cellStyle name="Normal 5 7" xfId="470"/>
    <cellStyle name="Normal 5 7 10" xfId="25943"/>
    <cellStyle name="Normal 5 7 2" xfId="944"/>
    <cellStyle name="Normal 5 7 2 2" xfId="3178"/>
    <cellStyle name="Normal 5 7 2 2 2" xfId="7401"/>
    <cellStyle name="Normal 5 7 2 2 2 2" xfId="15837"/>
    <cellStyle name="Normal 5 7 2 2 2 3" xfId="24278"/>
    <cellStyle name="Normal 5 7 2 2 2 4" xfId="32718"/>
    <cellStyle name="Normal 5 7 2 2 3" xfId="11619"/>
    <cellStyle name="Normal 5 7 2 2 4" xfId="20061"/>
    <cellStyle name="Normal 5 7 2 2 5" xfId="28501"/>
    <cellStyle name="Normal 5 7 2 3" xfId="5256"/>
    <cellStyle name="Normal 5 7 2 3 2" xfId="13692"/>
    <cellStyle name="Normal 5 7 2 3 3" xfId="22133"/>
    <cellStyle name="Normal 5 7 2 3 4" xfId="30573"/>
    <cellStyle name="Normal 5 7 2 4" xfId="9474"/>
    <cellStyle name="Normal 5 7 2 5" xfId="17916"/>
    <cellStyle name="Normal 5 7 2 6" xfId="26356"/>
    <cellStyle name="Normal 5 7 3" xfId="1361"/>
    <cellStyle name="Normal 5 7 3 2" xfId="3591"/>
    <cellStyle name="Normal 5 7 3 2 2" xfId="7814"/>
    <cellStyle name="Normal 5 7 3 2 2 2" xfId="16250"/>
    <cellStyle name="Normal 5 7 3 2 2 3" xfId="24691"/>
    <cellStyle name="Normal 5 7 3 2 2 4" xfId="33131"/>
    <cellStyle name="Normal 5 7 3 2 3" xfId="12032"/>
    <cellStyle name="Normal 5 7 3 2 4" xfId="20474"/>
    <cellStyle name="Normal 5 7 3 2 5" xfId="28914"/>
    <cellStyle name="Normal 5 7 3 3" xfId="5669"/>
    <cellStyle name="Normal 5 7 3 3 2" xfId="14105"/>
    <cellStyle name="Normal 5 7 3 3 3" xfId="22546"/>
    <cellStyle name="Normal 5 7 3 3 4" xfId="30986"/>
    <cellStyle name="Normal 5 7 3 4" xfId="9887"/>
    <cellStyle name="Normal 5 7 3 5" xfId="18329"/>
    <cellStyle name="Normal 5 7 3 6" xfId="26769"/>
    <cellStyle name="Normal 5 7 4" xfId="1774"/>
    <cellStyle name="Normal 5 7 4 2" xfId="4004"/>
    <cellStyle name="Normal 5 7 4 2 2" xfId="8227"/>
    <cellStyle name="Normal 5 7 4 2 2 2" xfId="16663"/>
    <cellStyle name="Normal 5 7 4 2 2 3" xfId="25104"/>
    <cellStyle name="Normal 5 7 4 2 2 4" xfId="33544"/>
    <cellStyle name="Normal 5 7 4 2 3" xfId="12445"/>
    <cellStyle name="Normal 5 7 4 2 4" xfId="20887"/>
    <cellStyle name="Normal 5 7 4 2 5" xfId="29327"/>
    <cellStyle name="Normal 5 7 4 3" xfId="6082"/>
    <cellStyle name="Normal 5 7 4 3 2" xfId="14518"/>
    <cellStyle name="Normal 5 7 4 3 3" xfId="22959"/>
    <cellStyle name="Normal 5 7 4 3 4" xfId="31399"/>
    <cellStyle name="Normal 5 7 4 4" xfId="10300"/>
    <cellStyle name="Normal 5 7 4 5" xfId="18742"/>
    <cellStyle name="Normal 5 7 4 6" xfId="27182"/>
    <cellStyle name="Normal 5 7 5" xfId="2188"/>
    <cellStyle name="Normal 5 7 5 2" xfId="4417"/>
    <cellStyle name="Normal 5 7 5 2 2" xfId="8640"/>
    <cellStyle name="Normal 5 7 5 2 2 2" xfId="17076"/>
    <cellStyle name="Normal 5 7 5 2 2 3" xfId="25517"/>
    <cellStyle name="Normal 5 7 5 2 2 4" xfId="33957"/>
    <cellStyle name="Normal 5 7 5 2 3" xfId="12858"/>
    <cellStyle name="Normal 5 7 5 2 4" xfId="21300"/>
    <cellStyle name="Normal 5 7 5 2 5" xfId="29740"/>
    <cellStyle name="Normal 5 7 5 3" xfId="6495"/>
    <cellStyle name="Normal 5 7 5 3 2" xfId="14931"/>
    <cellStyle name="Normal 5 7 5 3 3" xfId="23372"/>
    <cellStyle name="Normal 5 7 5 3 4" xfId="31812"/>
    <cellStyle name="Normal 5 7 5 4" xfId="10713"/>
    <cellStyle name="Normal 5 7 5 5" xfId="19155"/>
    <cellStyle name="Normal 5 7 5 6" xfId="27595"/>
    <cellStyle name="Normal 5 7 6" xfId="2624"/>
    <cellStyle name="Normal 5 7 6 2" xfId="6908"/>
    <cellStyle name="Normal 5 7 6 2 2" xfId="15344"/>
    <cellStyle name="Normal 5 7 6 2 3" xfId="23785"/>
    <cellStyle name="Normal 5 7 6 2 4" xfId="32225"/>
    <cellStyle name="Normal 5 7 6 3" xfId="11126"/>
    <cellStyle name="Normal 5 7 6 4" xfId="19568"/>
    <cellStyle name="Normal 5 7 6 5" xfId="28008"/>
    <cellStyle name="Normal 5 7 7" xfId="4843"/>
    <cellStyle name="Normal 5 7 7 2" xfId="13279"/>
    <cellStyle name="Normal 5 7 7 3" xfId="21720"/>
    <cellStyle name="Normal 5 7 7 4" xfId="30160"/>
    <cellStyle name="Normal 5 7 8" xfId="9061"/>
    <cellStyle name="Normal 5 7 9" xfId="17503"/>
    <cellStyle name="Normal 5 8" xfId="880"/>
    <cellStyle name="Normal 5 8 2" xfId="3115"/>
    <cellStyle name="Normal 5 8 2 2" xfId="7338"/>
    <cellStyle name="Normal 5 8 2 2 2" xfId="15774"/>
    <cellStyle name="Normal 5 8 2 2 3" xfId="24215"/>
    <cellStyle name="Normal 5 8 2 2 4" xfId="32655"/>
    <cellStyle name="Normal 5 8 2 3" xfId="11556"/>
    <cellStyle name="Normal 5 8 2 4" xfId="19998"/>
    <cellStyle name="Normal 5 8 2 5" xfId="28438"/>
    <cellStyle name="Normal 5 8 3" xfId="5193"/>
    <cellStyle name="Normal 5 8 3 2" xfId="13629"/>
    <cellStyle name="Normal 5 8 3 3" xfId="22070"/>
    <cellStyle name="Normal 5 8 3 4" xfId="30510"/>
    <cellStyle name="Normal 5 8 4" xfId="9411"/>
    <cellStyle name="Normal 5 8 5" xfId="17853"/>
    <cellStyle name="Normal 5 8 6" xfId="26293"/>
    <cellStyle name="Normal 5 9" xfId="1298"/>
    <cellStyle name="Normal 5 9 2" xfId="3528"/>
    <cellStyle name="Normal 5 9 2 2" xfId="7751"/>
    <cellStyle name="Normal 5 9 2 2 2" xfId="16187"/>
    <cellStyle name="Normal 5 9 2 2 3" xfId="24628"/>
    <cellStyle name="Normal 5 9 2 2 4" xfId="33068"/>
    <cellStyle name="Normal 5 9 2 3" xfId="11969"/>
    <cellStyle name="Normal 5 9 2 4" xfId="20411"/>
    <cellStyle name="Normal 5 9 2 5" xfId="28851"/>
    <cellStyle name="Normal 5 9 3" xfId="5606"/>
    <cellStyle name="Normal 5 9 3 2" xfId="14042"/>
    <cellStyle name="Normal 5 9 3 3" xfId="22483"/>
    <cellStyle name="Normal 5 9 3 4" xfId="30923"/>
    <cellStyle name="Normal 5 9 4" xfId="9824"/>
    <cellStyle name="Normal 5 9 5" xfId="18266"/>
    <cellStyle name="Normal 5 9 6" xfId="267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2 2 2" xfId="17077"/>
    <cellStyle name="Normal 8 10 2 2 3" xfId="25518"/>
    <cellStyle name="Normal 8 10 2 2 4" xfId="33958"/>
    <cellStyle name="Normal 8 10 2 3" xfId="12859"/>
    <cellStyle name="Normal 8 10 2 4" xfId="21301"/>
    <cellStyle name="Normal 8 10 2 5" xfId="29741"/>
    <cellStyle name="Normal 8 10 3" xfId="6496"/>
    <cellStyle name="Normal 8 10 3 2" xfId="14932"/>
    <cellStyle name="Normal 8 10 3 3" xfId="23373"/>
    <cellStyle name="Normal 8 10 3 4" xfId="31813"/>
    <cellStyle name="Normal 8 10 4" xfId="10714"/>
    <cellStyle name="Normal 8 10 5" xfId="19156"/>
    <cellStyle name="Normal 8 10 6" xfId="27596"/>
    <cellStyle name="Normal 8 11" xfId="2625"/>
    <cellStyle name="Normal 8 11 2" xfId="6909"/>
    <cellStyle name="Normal 8 11 2 2" xfId="15345"/>
    <cellStyle name="Normal 8 11 2 3" xfId="23786"/>
    <cellStyle name="Normal 8 11 2 4" xfId="32226"/>
    <cellStyle name="Normal 8 11 3" xfId="11127"/>
    <cellStyle name="Normal 8 11 4" xfId="19569"/>
    <cellStyle name="Normal 8 11 5" xfId="28009"/>
    <cellStyle name="Normal 8 12" xfId="4844"/>
    <cellStyle name="Normal 8 12 2" xfId="13280"/>
    <cellStyle name="Normal 8 12 3" xfId="21721"/>
    <cellStyle name="Normal 8 12 4" xfId="30161"/>
    <cellStyle name="Normal 8 13" xfId="9062"/>
    <cellStyle name="Normal 8 14" xfId="17504"/>
    <cellStyle name="Normal 8 15" xfId="25944"/>
    <cellStyle name="Normal 8 2" xfId="479"/>
    <cellStyle name="Normal 8 2 10" xfId="2626"/>
    <cellStyle name="Normal 8 2 10 2" xfId="6910"/>
    <cellStyle name="Normal 8 2 10 2 2" xfId="15346"/>
    <cellStyle name="Normal 8 2 10 2 3" xfId="23787"/>
    <cellStyle name="Normal 8 2 10 2 4" xfId="32227"/>
    <cellStyle name="Normal 8 2 10 3" xfId="11128"/>
    <cellStyle name="Normal 8 2 10 4" xfId="19570"/>
    <cellStyle name="Normal 8 2 10 5" xfId="28010"/>
    <cellStyle name="Normal 8 2 11" xfId="4845"/>
    <cellStyle name="Normal 8 2 11 2" xfId="13281"/>
    <cellStyle name="Normal 8 2 11 3" xfId="21722"/>
    <cellStyle name="Normal 8 2 11 4" xfId="30162"/>
    <cellStyle name="Normal 8 2 12" xfId="9063"/>
    <cellStyle name="Normal 8 2 13" xfId="17505"/>
    <cellStyle name="Normal 8 2 14" xfId="25945"/>
    <cellStyle name="Normal 8 2 2" xfId="480"/>
    <cellStyle name="Normal 8 2 2 10" xfId="4846"/>
    <cellStyle name="Normal 8 2 2 10 2" xfId="13282"/>
    <cellStyle name="Normal 8 2 2 10 3" xfId="21723"/>
    <cellStyle name="Normal 8 2 2 10 4" xfId="30163"/>
    <cellStyle name="Normal 8 2 2 11" xfId="9064"/>
    <cellStyle name="Normal 8 2 2 12" xfId="17506"/>
    <cellStyle name="Normal 8 2 2 13" xfId="25946"/>
    <cellStyle name="Normal 8 2 2 2" xfId="481"/>
    <cellStyle name="Normal 8 2 2 2 10" xfId="9065"/>
    <cellStyle name="Normal 8 2 2 2 11" xfId="17507"/>
    <cellStyle name="Normal 8 2 2 2 12" xfId="25947"/>
    <cellStyle name="Normal 8 2 2 2 2" xfId="482"/>
    <cellStyle name="Normal 8 2 2 2 2 10" xfId="17508"/>
    <cellStyle name="Normal 8 2 2 2 2 11" xfId="25948"/>
    <cellStyle name="Normal 8 2 2 2 2 2" xfId="483"/>
    <cellStyle name="Normal 8 2 2 2 2 2 10" xfId="25949"/>
    <cellStyle name="Normal 8 2 2 2 2 2 2" xfId="950"/>
    <cellStyle name="Normal 8 2 2 2 2 2 2 2" xfId="3184"/>
    <cellStyle name="Normal 8 2 2 2 2 2 2 2 2" xfId="7407"/>
    <cellStyle name="Normal 8 2 2 2 2 2 2 2 2 2" xfId="15843"/>
    <cellStyle name="Normal 8 2 2 2 2 2 2 2 2 3" xfId="24284"/>
    <cellStyle name="Normal 8 2 2 2 2 2 2 2 2 4" xfId="32724"/>
    <cellStyle name="Normal 8 2 2 2 2 2 2 2 3" xfId="11625"/>
    <cellStyle name="Normal 8 2 2 2 2 2 2 2 4" xfId="20067"/>
    <cellStyle name="Normal 8 2 2 2 2 2 2 2 5" xfId="28507"/>
    <cellStyle name="Normal 8 2 2 2 2 2 2 3" xfId="5262"/>
    <cellStyle name="Normal 8 2 2 2 2 2 2 3 2" xfId="13698"/>
    <cellStyle name="Normal 8 2 2 2 2 2 2 3 3" xfId="22139"/>
    <cellStyle name="Normal 8 2 2 2 2 2 2 3 4" xfId="30579"/>
    <cellStyle name="Normal 8 2 2 2 2 2 2 4" xfId="9480"/>
    <cellStyle name="Normal 8 2 2 2 2 2 2 5" xfId="17922"/>
    <cellStyle name="Normal 8 2 2 2 2 2 2 6" xfId="26362"/>
    <cellStyle name="Normal 8 2 2 2 2 2 3" xfId="1367"/>
    <cellStyle name="Normal 8 2 2 2 2 2 3 2" xfId="3597"/>
    <cellStyle name="Normal 8 2 2 2 2 2 3 2 2" xfId="7820"/>
    <cellStyle name="Normal 8 2 2 2 2 2 3 2 2 2" xfId="16256"/>
    <cellStyle name="Normal 8 2 2 2 2 2 3 2 2 3" xfId="24697"/>
    <cellStyle name="Normal 8 2 2 2 2 2 3 2 2 4" xfId="33137"/>
    <cellStyle name="Normal 8 2 2 2 2 2 3 2 3" xfId="12038"/>
    <cellStyle name="Normal 8 2 2 2 2 2 3 2 4" xfId="20480"/>
    <cellStyle name="Normal 8 2 2 2 2 2 3 2 5" xfId="28920"/>
    <cellStyle name="Normal 8 2 2 2 2 2 3 3" xfId="5675"/>
    <cellStyle name="Normal 8 2 2 2 2 2 3 3 2" xfId="14111"/>
    <cellStyle name="Normal 8 2 2 2 2 2 3 3 3" xfId="22552"/>
    <cellStyle name="Normal 8 2 2 2 2 2 3 3 4" xfId="30992"/>
    <cellStyle name="Normal 8 2 2 2 2 2 3 4" xfId="9893"/>
    <cellStyle name="Normal 8 2 2 2 2 2 3 5" xfId="18335"/>
    <cellStyle name="Normal 8 2 2 2 2 2 3 6" xfId="26775"/>
    <cellStyle name="Normal 8 2 2 2 2 2 4" xfId="1780"/>
    <cellStyle name="Normal 8 2 2 2 2 2 4 2" xfId="4010"/>
    <cellStyle name="Normal 8 2 2 2 2 2 4 2 2" xfId="8233"/>
    <cellStyle name="Normal 8 2 2 2 2 2 4 2 2 2" xfId="16669"/>
    <cellStyle name="Normal 8 2 2 2 2 2 4 2 2 3" xfId="25110"/>
    <cellStyle name="Normal 8 2 2 2 2 2 4 2 2 4" xfId="33550"/>
    <cellStyle name="Normal 8 2 2 2 2 2 4 2 3" xfId="12451"/>
    <cellStyle name="Normal 8 2 2 2 2 2 4 2 4" xfId="20893"/>
    <cellStyle name="Normal 8 2 2 2 2 2 4 2 5" xfId="29333"/>
    <cellStyle name="Normal 8 2 2 2 2 2 4 3" xfId="6088"/>
    <cellStyle name="Normal 8 2 2 2 2 2 4 3 2" xfId="14524"/>
    <cellStyle name="Normal 8 2 2 2 2 2 4 3 3" xfId="22965"/>
    <cellStyle name="Normal 8 2 2 2 2 2 4 3 4" xfId="31405"/>
    <cellStyle name="Normal 8 2 2 2 2 2 4 4" xfId="10306"/>
    <cellStyle name="Normal 8 2 2 2 2 2 4 5" xfId="18748"/>
    <cellStyle name="Normal 8 2 2 2 2 2 4 6" xfId="27188"/>
    <cellStyle name="Normal 8 2 2 2 2 2 5" xfId="2194"/>
    <cellStyle name="Normal 8 2 2 2 2 2 5 2" xfId="4423"/>
    <cellStyle name="Normal 8 2 2 2 2 2 5 2 2" xfId="8646"/>
    <cellStyle name="Normal 8 2 2 2 2 2 5 2 2 2" xfId="17082"/>
    <cellStyle name="Normal 8 2 2 2 2 2 5 2 2 3" xfId="25523"/>
    <cellStyle name="Normal 8 2 2 2 2 2 5 2 2 4" xfId="33963"/>
    <cellStyle name="Normal 8 2 2 2 2 2 5 2 3" xfId="12864"/>
    <cellStyle name="Normal 8 2 2 2 2 2 5 2 4" xfId="21306"/>
    <cellStyle name="Normal 8 2 2 2 2 2 5 2 5" xfId="29746"/>
    <cellStyle name="Normal 8 2 2 2 2 2 5 3" xfId="6501"/>
    <cellStyle name="Normal 8 2 2 2 2 2 5 3 2" xfId="14937"/>
    <cellStyle name="Normal 8 2 2 2 2 2 5 3 3" xfId="23378"/>
    <cellStyle name="Normal 8 2 2 2 2 2 5 3 4" xfId="31818"/>
    <cellStyle name="Normal 8 2 2 2 2 2 5 4" xfId="10719"/>
    <cellStyle name="Normal 8 2 2 2 2 2 5 5" xfId="19161"/>
    <cellStyle name="Normal 8 2 2 2 2 2 5 6" xfId="27601"/>
    <cellStyle name="Normal 8 2 2 2 2 2 6" xfId="2630"/>
    <cellStyle name="Normal 8 2 2 2 2 2 6 2" xfId="6914"/>
    <cellStyle name="Normal 8 2 2 2 2 2 6 2 2" xfId="15350"/>
    <cellStyle name="Normal 8 2 2 2 2 2 6 2 3" xfId="23791"/>
    <cellStyle name="Normal 8 2 2 2 2 2 6 2 4" xfId="32231"/>
    <cellStyle name="Normal 8 2 2 2 2 2 6 3" xfId="11132"/>
    <cellStyle name="Normal 8 2 2 2 2 2 6 4" xfId="19574"/>
    <cellStyle name="Normal 8 2 2 2 2 2 6 5" xfId="28014"/>
    <cellStyle name="Normal 8 2 2 2 2 2 7" xfId="4849"/>
    <cellStyle name="Normal 8 2 2 2 2 2 7 2" xfId="13285"/>
    <cellStyle name="Normal 8 2 2 2 2 2 7 3" xfId="21726"/>
    <cellStyle name="Normal 8 2 2 2 2 2 7 4" xfId="30166"/>
    <cellStyle name="Normal 8 2 2 2 2 2 8" xfId="9067"/>
    <cellStyle name="Normal 8 2 2 2 2 2 9" xfId="17509"/>
    <cellStyle name="Normal 8 2 2 2 2 3" xfId="949"/>
    <cellStyle name="Normal 8 2 2 2 2 3 2" xfId="3183"/>
    <cellStyle name="Normal 8 2 2 2 2 3 2 2" xfId="7406"/>
    <cellStyle name="Normal 8 2 2 2 2 3 2 2 2" xfId="15842"/>
    <cellStyle name="Normal 8 2 2 2 2 3 2 2 3" xfId="24283"/>
    <cellStyle name="Normal 8 2 2 2 2 3 2 2 4" xfId="32723"/>
    <cellStyle name="Normal 8 2 2 2 2 3 2 3" xfId="11624"/>
    <cellStyle name="Normal 8 2 2 2 2 3 2 4" xfId="20066"/>
    <cellStyle name="Normal 8 2 2 2 2 3 2 5" xfId="28506"/>
    <cellStyle name="Normal 8 2 2 2 2 3 3" xfId="5261"/>
    <cellStyle name="Normal 8 2 2 2 2 3 3 2" xfId="13697"/>
    <cellStyle name="Normal 8 2 2 2 2 3 3 3" xfId="22138"/>
    <cellStyle name="Normal 8 2 2 2 2 3 3 4" xfId="30578"/>
    <cellStyle name="Normal 8 2 2 2 2 3 4" xfId="9479"/>
    <cellStyle name="Normal 8 2 2 2 2 3 5" xfId="17921"/>
    <cellStyle name="Normal 8 2 2 2 2 3 6" xfId="26361"/>
    <cellStyle name="Normal 8 2 2 2 2 4" xfId="1366"/>
    <cellStyle name="Normal 8 2 2 2 2 4 2" xfId="3596"/>
    <cellStyle name="Normal 8 2 2 2 2 4 2 2" xfId="7819"/>
    <cellStyle name="Normal 8 2 2 2 2 4 2 2 2" xfId="16255"/>
    <cellStyle name="Normal 8 2 2 2 2 4 2 2 3" xfId="24696"/>
    <cellStyle name="Normal 8 2 2 2 2 4 2 2 4" xfId="33136"/>
    <cellStyle name="Normal 8 2 2 2 2 4 2 3" xfId="12037"/>
    <cellStyle name="Normal 8 2 2 2 2 4 2 4" xfId="20479"/>
    <cellStyle name="Normal 8 2 2 2 2 4 2 5" xfId="28919"/>
    <cellStyle name="Normal 8 2 2 2 2 4 3" xfId="5674"/>
    <cellStyle name="Normal 8 2 2 2 2 4 3 2" xfId="14110"/>
    <cellStyle name="Normal 8 2 2 2 2 4 3 3" xfId="22551"/>
    <cellStyle name="Normal 8 2 2 2 2 4 3 4" xfId="30991"/>
    <cellStyle name="Normal 8 2 2 2 2 4 4" xfId="9892"/>
    <cellStyle name="Normal 8 2 2 2 2 4 5" xfId="18334"/>
    <cellStyle name="Normal 8 2 2 2 2 4 6" xfId="26774"/>
    <cellStyle name="Normal 8 2 2 2 2 5" xfId="1779"/>
    <cellStyle name="Normal 8 2 2 2 2 5 2" xfId="4009"/>
    <cellStyle name="Normal 8 2 2 2 2 5 2 2" xfId="8232"/>
    <cellStyle name="Normal 8 2 2 2 2 5 2 2 2" xfId="16668"/>
    <cellStyle name="Normal 8 2 2 2 2 5 2 2 3" xfId="25109"/>
    <cellStyle name="Normal 8 2 2 2 2 5 2 2 4" xfId="33549"/>
    <cellStyle name="Normal 8 2 2 2 2 5 2 3" xfId="12450"/>
    <cellStyle name="Normal 8 2 2 2 2 5 2 4" xfId="20892"/>
    <cellStyle name="Normal 8 2 2 2 2 5 2 5" xfId="29332"/>
    <cellStyle name="Normal 8 2 2 2 2 5 3" xfId="6087"/>
    <cellStyle name="Normal 8 2 2 2 2 5 3 2" xfId="14523"/>
    <cellStyle name="Normal 8 2 2 2 2 5 3 3" xfId="22964"/>
    <cellStyle name="Normal 8 2 2 2 2 5 3 4" xfId="31404"/>
    <cellStyle name="Normal 8 2 2 2 2 5 4" xfId="10305"/>
    <cellStyle name="Normal 8 2 2 2 2 5 5" xfId="18747"/>
    <cellStyle name="Normal 8 2 2 2 2 5 6" xfId="27187"/>
    <cellStyle name="Normal 8 2 2 2 2 6" xfId="2193"/>
    <cellStyle name="Normal 8 2 2 2 2 6 2" xfId="4422"/>
    <cellStyle name="Normal 8 2 2 2 2 6 2 2" xfId="8645"/>
    <cellStyle name="Normal 8 2 2 2 2 6 2 2 2" xfId="17081"/>
    <cellStyle name="Normal 8 2 2 2 2 6 2 2 3" xfId="25522"/>
    <cellStyle name="Normal 8 2 2 2 2 6 2 2 4" xfId="33962"/>
    <cellStyle name="Normal 8 2 2 2 2 6 2 3" xfId="12863"/>
    <cellStyle name="Normal 8 2 2 2 2 6 2 4" xfId="21305"/>
    <cellStyle name="Normal 8 2 2 2 2 6 2 5" xfId="29745"/>
    <cellStyle name="Normal 8 2 2 2 2 6 3" xfId="6500"/>
    <cellStyle name="Normal 8 2 2 2 2 6 3 2" xfId="14936"/>
    <cellStyle name="Normal 8 2 2 2 2 6 3 3" xfId="23377"/>
    <cellStyle name="Normal 8 2 2 2 2 6 3 4" xfId="31817"/>
    <cellStyle name="Normal 8 2 2 2 2 6 4" xfId="10718"/>
    <cellStyle name="Normal 8 2 2 2 2 6 5" xfId="19160"/>
    <cellStyle name="Normal 8 2 2 2 2 6 6" xfId="27600"/>
    <cellStyle name="Normal 8 2 2 2 2 7" xfId="2629"/>
    <cellStyle name="Normal 8 2 2 2 2 7 2" xfId="6913"/>
    <cellStyle name="Normal 8 2 2 2 2 7 2 2" xfId="15349"/>
    <cellStyle name="Normal 8 2 2 2 2 7 2 3" xfId="23790"/>
    <cellStyle name="Normal 8 2 2 2 2 7 2 4" xfId="32230"/>
    <cellStyle name="Normal 8 2 2 2 2 7 3" xfId="11131"/>
    <cellStyle name="Normal 8 2 2 2 2 7 4" xfId="19573"/>
    <cellStyle name="Normal 8 2 2 2 2 7 5" xfId="28013"/>
    <cellStyle name="Normal 8 2 2 2 2 8" xfId="4848"/>
    <cellStyle name="Normal 8 2 2 2 2 8 2" xfId="13284"/>
    <cellStyle name="Normal 8 2 2 2 2 8 3" xfId="21725"/>
    <cellStyle name="Normal 8 2 2 2 2 8 4" xfId="30165"/>
    <cellStyle name="Normal 8 2 2 2 2 9" xfId="9066"/>
    <cellStyle name="Normal 8 2 2 2 3" xfId="484"/>
    <cellStyle name="Normal 8 2 2 2 3 10" xfId="25950"/>
    <cellStyle name="Normal 8 2 2 2 3 2" xfId="951"/>
    <cellStyle name="Normal 8 2 2 2 3 2 2" xfId="3185"/>
    <cellStyle name="Normal 8 2 2 2 3 2 2 2" xfId="7408"/>
    <cellStyle name="Normal 8 2 2 2 3 2 2 2 2" xfId="15844"/>
    <cellStyle name="Normal 8 2 2 2 3 2 2 2 3" xfId="24285"/>
    <cellStyle name="Normal 8 2 2 2 3 2 2 2 4" xfId="32725"/>
    <cellStyle name="Normal 8 2 2 2 3 2 2 3" xfId="11626"/>
    <cellStyle name="Normal 8 2 2 2 3 2 2 4" xfId="20068"/>
    <cellStyle name="Normal 8 2 2 2 3 2 2 5" xfId="28508"/>
    <cellStyle name="Normal 8 2 2 2 3 2 3" xfId="5263"/>
    <cellStyle name="Normal 8 2 2 2 3 2 3 2" xfId="13699"/>
    <cellStyle name="Normal 8 2 2 2 3 2 3 3" xfId="22140"/>
    <cellStyle name="Normal 8 2 2 2 3 2 3 4" xfId="30580"/>
    <cellStyle name="Normal 8 2 2 2 3 2 4" xfId="9481"/>
    <cellStyle name="Normal 8 2 2 2 3 2 5" xfId="17923"/>
    <cellStyle name="Normal 8 2 2 2 3 2 6" xfId="26363"/>
    <cellStyle name="Normal 8 2 2 2 3 3" xfId="1368"/>
    <cellStyle name="Normal 8 2 2 2 3 3 2" xfId="3598"/>
    <cellStyle name="Normal 8 2 2 2 3 3 2 2" xfId="7821"/>
    <cellStyle name="Normal 8 2 2 2 3 3 2 2 2" xfId="16257"/>
    <cellStyle name="Normal 8 2 2 2 3 3 2 2 3" xfId="24698"/>
    <cellStyle name="Normal 8 2 2 2 3 3 2 2 4" xfId="33138"/>
    <cellStyle name="Normal 8 2 2 2 3 3 2 3" xfId="12039"/>
    <cellStyle name="Normal 8 2 2 2 3 3 2 4" xfId="20481"/>
    <cellStyle name="Normal 8 2 2 2 3 3 2 5" xfId="28921"/>
    <cellStyle name="Normal 8 2 2 2 3 3 3" xfId="5676"/>
    <cellStyle name="Normal 8 2 2 2 3 3 3 2" xfId="14112"/>
    <cellStyle name="Normal 8 2 2 2 3 3 3 3" xfId="22553"/>
    <cellStyle name="Normal 8 2 2 2 3 3 3 4" xfId="30993"/>
    <cellStyle name="Normal 8 2 2 2 3 3 4" xfId="9894"/>
    <cellStyle name="Normal 8 2 2 2 3 3 5" xfId="18336"/>
    <cellStyle name="Normal 8 2 2 2 3 3 6" xfId="26776"/>
    <cellStyle name="Normal 8 2 2 2 3 4" xfId="1781"/>
    <cellStyle name="Normal 8 2 2 2 3 4 2" xfId="4011"/>
    <cellStyle name="Normal 8 2 2 2 3 4 2 2" xfId="8234"/>
    <cellStyle name="Normal 8 2 2 2 3 4 2 2 2" xfId="16670"/>
    <cellStyle name="Normal 8 2 2 2 3 4 2 2 3" xfId="25111"/>
    <cellStyle name="Normal 8 2 2 2 3 4 2 2 4" xfId="33551"/>
    <cellStyle name="Normal 8 2 2 2 3 4 2 3" xfId="12452"/>
    <cellStyle name="Normal 8 2 2 2 3 4 2 4" xfId="20894"/>
    <cellStyle name="Normal 8 2 2 2 3 4 2 5" xfId="29334"/>
    <cellStyle name="Normal 8 2 2 2 3 4 3" xfId="6089"/>
    <cellStyle name="Normal 8 2 2 2 3 4 3 2" xfId="14525"/>
    <cellStyle name="Normal 8 2 2 2 3 4 3 3" xfId="22966"/>
    <cellStyle name="Normal 8 2 2 2 3 4 3 4" xfId="31406"/>
    <cellStyle name="Normal 8 2 2 2 3 4 4" xfId="10307"/>
    <cellStyle name="Normal 8 2 2 2 3 4 5" xfId="18749"/>
    <cellStyle name="Normal 8 2 2 2 3 4 6" xfId="27189"/>
    <cellStyle name="Normal 8 2 2 2 3 5" xfId="2195"/>
    <cellStyle name="Normal 8 2 2 2 3 5 2" xfId="4424"/>
    <cellStyle name="Normal 8 2 2 2 3 5 2 2" xfId="8647"/>
    <cellStyle name="Normal 8 2 2 2 3 5 2 2 2" xfId="17083"/>
    <cellStyle name="Normal 8 2 2 2 3 5 2 2 3" xfId="25524"/>
    <cellStyle name="Normal 8 2 2 2 3 5 2 2 4" xfId="33964"/>
    <cellStyle name="Normal 8 2 2 2 3 5 2 3" xfId="12865"/>
    <cellStyle name="Normal 8 2 2 2 3 5 2 4" xfId="21307"/>
    <cellStyle name="Normal 8 2 2 2 3 5 2 5" xfId="29747"/>
    <cellStyle name="Normal 8 2 2 2 3 5 3" xfId="6502"/>
    <cellStyle name="Normal 8 2 2 2 3 5 3 2" xfId="14938"/>
    <cellStyle name="Normal 8 2 2 2 3 5 3 3" xfId="23379"/>
    <cellStyle name="Normal 8 2 2 2 3 5 3 4" xfId="31819"/>
    <cellStyle name="Normal 8 2 2 2 3 5 4" xfId="10720"/>
    <cellStyle name="Normal 8 2 2 2 3 5 5" xfId="19162"/>
    <cellStyle name="Normal 8 2 2 2 3 5 6" xfId="27602"/>
    <cellStyle name="Normal 8 2 2 2 3 6" xfId="2631"/>
    <cellStyle name="Normal 8 2 2 2 3 6 2" xfId="6915"/>
    <cellStyle name="Normal 8 2 2 2 3 6 2 2" xfId="15351"/>
    <cellStyle name="Normal 8 2 2 2 3 6 2 3" xfId="23792"/>
    <cellStyle name="Normal 8 2 2 2 3 6 2 4" xfId="32232"/>
    <cellStyle name="Normal 8 2 2 2 3 6 3" xfId="11133"/>
    <cellStyle name="Normal 8 2 2 2 3 6 4" xfId="19575"/>
    <cellStyle name="Normal 8 2 2 2 3 6 5" xfId="28015"/>
    <cellStyle name="Normal 8 2 2 2 3 7" xfId="4850"/>
    <cellStyle name="Normal 8 2 2 2 3 7 2" xfId="13286"/>
    <cellStyle name="Normal 8 2 2 2 3 7 3" xfId="21727"/>
    <cellStyle name="Normal 8 2 2 2 3 7 4" xfId="30167"/>
    <cellStyle name="Normal 8 2 2 2 3 8" xfId="9068"/>
    <cellStyle name="Normal 8 2 2 2 3 9" xfId="17510"/>
    <cellStyle name="Normal 8 2 2 2 4" xfId="948"/>
    <cellStyle name="Normal 8 2 2 2 4 2" xfId="3182"/>
    <cellStyle name="Normal 8 2 2 2 4 2 2" xfId="7405"/>
    <cellStyle name="Normal 8 2 2 2 4 2 2 2" xfId="15841"/>
    <cellStyle name="Normal 8 2 2 2 4 2 2 3" xfId="24282"/>
    <cellStyle name="Normal 8 2 2 2 4 2 2 4" xfId="32722"/>
    <cellStyle name="Normal 8 2 2 2 4 2 3" xfId="11623"/>
    <cellStyle name="Normal 8 2 2 2 4 2 4" xfId="20065"/>
    <cellStyle name="Normal 8 2 2 2 4 2 5" xfId="28505"/>
    <cellStyle name="Normal 8 2 2 2 4 3" xfId="5260"/>
    <cellStyle name="Normal 8 2 2 2 4 3 2" xfId="13696"/>
    <cellStyle name="Normal 8 2 2 2 4 3 3" xfId="22137"/>
    <cellStyle name="Normal 8 2 2 2 4 3 4" xfId="30577"/>
    <cellStyle name="Normal 8 2 2 2 4 4" xfId="9478"/>
    <cellStyle name="Normal 8 2 2 2 4 5" xfId="17920"/>
    <cellStyle name="Normal 8 2 2 2 4 6" xfId="26360"/>
    <cellStyle name="Normal 8 2 2 2 5" xfId="1365"/>
    <cellStyle name="Normal 8 2 2 2 5 2" xfId="3595"/>
    <cellStyle name="Normal 8 2 2 2 5 2 2" xfId="7818"/>
    <cellStyle name="Normal 8 2 2 2 5 2 2 2" xfId="16254"/>
    <cellStyle name="Normal 8 2 2 2 5 2 2 3" xfId="24695"/>
    <cellStyle name="Normal 8 2 2 2 5 2 2 4" xfId="33135"/>
    <cellStyle name="Normal 8 2 2 2 5 2 3" xfId="12036"/>
    <cellStyle name="Normal 8 2 2 2 5 2 4" xfId="20478"/>
    <cellStyle name="Normal 8 2 2 2 5 2 5" xfId="28918"/>
    <cellStyle name="Normal 8 2 2 2 5 3" xfId="5673"/>
    <cellStyle name="Normal 8 2 2 2 5 3 2" xfId="14109"/>
    <cellStyle name="Normal 8 2 2 2 5 3 3" xfId="22550"/>
    <cellStyle name="Normal 8 2 2 2 5 3 4" xfId="30990"/>
    <cellStyle name="Normal 8 2 2 2 5 4" xfId="9891"/>
    <cellStyle name="Normal 8 2 2 2 5 5" xfId="18333"/>
    <cellStyle name="Normal 8 2 2 2 5 6" xfId="26773"/>
    <cellStyle name="Normal 8 2 2 2 6" xfId="1778"/>
    <cellStyle name="Normal 8 2 2 2 6 2" xfId="4008"/>
    <cellStyle name="Normal 8 2 2 2 6 2 2" xfId="8231"/>
    <cellStyle name="Normal 8 2 2 2 6 2 2 2" xfId="16667"/>
    <cellStyle name="Normal 8 2 2 2 6 2 2 3" xfId="25108"/>
    <cellStyle name="Normal 8 2 2 2 6 2 2 4" xfId="33548"/>
    <cellStyle name="Normal 8 2 2 2 6 2 3" xfId="12449"/>
    <cellStyle name="Normal 8 2 2 2 6 2 4" xfId="20891"/>
    <cellStyle name="Normal 8 2 2 2 6 2 5" xfId="29331"/>
    <cellStyle name="Normal 8 2 2 2 6 3" xfId="6086"/>
    <cellStyle name="Normal 8 2 2 2 6 3 2" xfId="14522"/>
    <cellStyle name="Normal 8 2 2 2 6 3 3" xfId="22963"/>
    <cellStyle name="Normal 8 2 2 2 6 3 4" xfId="31403"/>
    <cellStyle name="Normal 8 2 2 2 6 4" xfId="10304"/>
    <cellStyle name="Normal 8 2 2 2 6 5" xfId="18746"/>
    <cellStyle name="Normal 8 2 2 2 6 6" xfId="27186"/>
    <cellStyle name="Normal 8 2 2 2 7" xfId="2192"/>
    <cellStyle name="Normal 8 2 2 2 7 2" xfId="4421"/>
    <cellStyle name="Normal 8 2 2 2 7 2 2" xfId="8644"/>
    <cellStyle name="Normal 8 2 2 2 7 2 2 2" xfId="17080"/>
    <cellStyle name="Normal 8 2 2 2 7 2 2 3" xfId="25521"/>
    <cellStyle name="Normal 8 2 2 2 7 2 2 4" xfId="33961"/>
    <cellStyle name="Normal 8 2 2 2 7 2 3" xfId="12862"/>
    <cellStyle name="Normal 8 2 2 2 7 2 4" xfId="21304"/>
    <cellStyle name="Normal 8 2 2 2 7 2 5" xfId="29744"/>
    <cellStyle name="Normal 8 2 2 2 7 3" xfId="6499"/>
    <cellStyle name="Normal 8 2 2 2 7 3 2" xfId="14935"/>
    <cellStyle name="Normal 8 2 2 2 7 3 3" xfId="23376"/>
    <cellStyle name="Normal 8 2 2 2 7 3 4" xfId="31816"/>
    <cellStyle name="Normal 8 2 2 2 7 4" xfId="10717"/>
    <cellStyle name="Normal 8 2 2 2 7 5" xfId="19159"/>
    <cellStyle name="Normal 8 2 2 2 7 6" xfId="27599"/>
    <cellStyle name="Normal 8 2 2 2 8" xfId="2628"/>
    <cellStyle name="Normal 8 2 2 2 8 2" xfId="6912"/>
    <cellStyle name="Normal 8 2 2 2 8 2 2" xfId="15348"/>
    <cellStyle name="Normal 8 2 2 2 8 2 3" xfId="23789"/>
    <cellStyle name="Normal 8 2 2 2 8 2 4" xfId="32229"/>
    <cellStyle name="Normal 8 2 2 2 8 3" xfId="11130"/>
    <cellStyle name="Normal 8 2 2 2 8 4" xfId="19572"/>
    <cellStyle name="Normal 8 2 2 2 8 5" xfId="28012"/>
    <cellStyle name="Normal 8 2 2 2 9" xfId="4847"/>
    <cellStyle name="Normal 8 2 2 2 9 2" xfId="13283"/>
    <cellStyle name="Normal 8 2 2 2 9 3" xfId="21724"/>
    <cellStyle name="Normal 8 2 2 2 9 4" xfId="30164"/>
    <cellStyle name="Normal 8 2 2 3" xfId="485"/>
    <cellStyle name="Normal 8 2 2 3 10" xfId="17511"/>
    <cellStyle name="Normal 8 2 2 3 11" xfId="25951"/>
    <cellStyle name="Normal 8 2 2 3 2" xfId="486"/>
    <cellStyle name="Normal 8 2 2 3 2 10" xfId="25952"/>
    <cellStyle name="Normal 8 2 2 3 2 2" xfId="953"/>
    <cellStyle name="Normal 8 2 2 3 2 2 2" xfId="3187"/>
    <cellStyle name="Normal 8 2 2 3 2 2 2 2" xfId="7410"/>
    <cellStyle name="Normal 8 2 2 3 2 2 2 2 2" xfId="15846"/>
    <cellStyle name="Normal 8 2 2 3 2 2 2 2 3" xfId="24287"/>
    <cellStyle name="Normal 8 2 2 3 2 2 2 2 4" xfId="32727"/>
    <cellStyle name="Normal 8 2 2 3 2 2 2 3" xfId="11628"/>
    <cellStyle name="Normal 8 2 2 3 2 2 2 4" xfId="20070"/>
    <cellStyle name="Normal 8 2 2 3 2 2 2 5" xfId="28510"/>
    <cellStyle name="Normal 8 2 2 3 2 2 3" xfId="5265"/>
    <cellStyle name="Normal 8 2 2 3 2 2 3 2" xfId="13701"/>
    <cellStyle name="Normal 8 2 2 3 2 2 3 3" xfId="22142"/>
    <cellStyle name="Normal 8 2 2 3 2 2 3 4" xfId="30582"/>
    <cellStyle name="Normal 8 2 2 3 2 2 4" xfId="9483"/>
    <cellStyle name="Normal 8 2 2 3 2 2 5" xfId="17925"/>
    <cellStyle name="Normal 8 2 2 3 2 2 6" xfId="26365"/>
    <cellStyle name="Normal 8 2 2 3 2 3" xfId="1370"/>
    <cellStyle name="Normal 8 2 2 3 2 3 2" xfId="3600"/>
    <cellStyle name="Normal 8 2 2 3 2 3 2 2" xfId="7823"/>
    <cellStyle name="Normal 8 2 2 3 2 3 2 2 2" xfId="16259"/>
    <cellStyle name="Normal 8 2 2 3 2 3 2 2 3" xfId="24700"/>
    <cellStyle name="Normal 8 2 2 3 2 3 2 2 4" xfId="33140"/>
    <cellStyle name="Normal 8 2 2 3 2 3 2 3" xfId="12041"/>
    <cellStyle name="Normal 8 2 2 3 2 3 2 4" xfId="20483"/>
    <cellStyle name="Normal 8 2 2 3 2 3 2 5" xfId="28923"/>
    <cellStyle name="Normal 8 2 2 3 2 3 3" xfId="5678"/>
    <cellStyle name="Normal 8 2 2 3 2 3 3 2" xfId="14114"/>
    <cellStyle name="Normal 8 2 2 3 2 3 3 3" xfId="22555"/>
    <cellStyle name="Normal 8 2 2 3 2 3 3 4" xfId="30995"/>
    <cellStyle name="Normal 8 2 2 3 2 3 4" xfId="9896"/>
    <cellStyle name="Normal 8 2 2 3 2 3 5" xfId="18338"/>
    <cellStyle name="Normal 8 2 2 3 2 3 6" xfId="26778"/>
    <cellStyle name="Normal 8 2 2 3 2 4" xfId="1783"/>
    <cellStyle name="Normal 8 2 2 3 2 4 2" xfId="4013"/>
    <cellStyle name="Normal 8 2 2 3 2 4 2 2" xfId="8236"/>
    <cellStyle name="Normal 8 2 2 3 2 4 2 2 2" xfId="16672"/>
    <cellStyle name="Normal 8 2 2 3 2 4 2 2 3" xfId="25113"/>
    <cellStyle name="Normal 8 2 2 3 2 4 2 2 4" xfId="33553"/>
    <cellStyle name="Normal 8 2 2 3 2 4 2 3" xfId="12454"/>
    <cellStyle name="Normal 8 2 2 3 2 4 2 4" xfId="20896"/>
    <cellStyle name="Normal 8 2 2 3 2 4 2 5" xfId="29336"/>
    <cellStyle name="Normal 8 2 2 3 2 4 3" xfId="6091"/>
    <cellStyle name="Normal 8 2 2 3 2 4 3 2" xfId="14527"/>
    <cellStyle name="Normal 8 2 2 3 2 4 3 3" xfId="22968"/>
    <cellStyle name="Normal 8 2 2 3 2 4 3 4" xfId="31408"/>
    <cellStyle name="Normal 8 2 2 3 2 4 4" xfId="10309"/>
    <cellStyle name="Normal 8 2 2 3 2 4 5" xfId="18751"/>
    <cellStyle name="Normal 8 2 2 3 2 4 6" xfId="27191"/>
    <cellStyle name="Normal 8 2 2 3 2 5" xfId="2197"/>
    <cellStyle name="Normal 8 2 2 3 2 5 2" xfId="4426"/>
    <cellStyle name="Normal 8 2 2 3 2 5 2 2" xfId="8649"/>
    <cellStyle name="Normal 8 2 2 3 2 5 2 2 2" xfId="17085"/>
    <cellStyle name="Normal 8 2 2 3 2 5 2 2 3" xfId="25526"/>
    <cellStyle name="Normal 8 2 2 3 2 5 2 2 4" xfId="33966"/>
    <cellStyle name="Normal 8 2 2 3 2 5 2 3" xfId="12867"/>
    <cellStyle name="Normal 8 2 2 3 2 5 2 4" xfId="21309"/>
    <cellStyle name="Normal 8 2 2 3 2 5 2 5" xfId="29749"/>
    <cellStyle name="Normal 8 2 2 3 2 5 3" xfId="6504"/>
    <cellStyle name="Normal 8 2 2 3 2 5 3 2" xfId="14940"/>
    <cellStyle name="Normal 8 2 2 3 2 5 3 3" xfId="23381"/>
    <cellStyle name="Normal 8 2 2 3 2 5 3 4" xfId="31821"/>
    <cellStyle name="Normal 8 2 2 3 2 5 4" xfId="10722"/>
    <cellStyle name="Normal 8 2 2 3 2 5 5" xfId="19164"/>
    <cellStyle name="Normal 8 2 2 3 2 5 6" xfId="27604"/>
    <cellStyle name="Normal 8 2 2 3 2 6" xfId="2633"/>
    <cellStyle name="Normal 8 2 2 3 2 6 2" xfId="6917"/>
    <cellStyle name="Normal 8 2 2 3 2 6 2 2" xfId="15353"/>
    <cellStyle name="Normal 8 2 2 3 2 6 2 3" xfId="23794"/>
    <cellStyle name="Normal 8 2 2 3 2 6 2 4" xfId="32234"/>
    <cellStyle name="Normal 8 2 2 3 2 6 3" xfId="11135"/>
    <cellStyle name="Normal 8 2 2 3 2 6 4" xfId="19577"/>
    <cellStyle name="Normal 8 2 2 3 2 6 5" xfId="28017"/>
    <cellStyle name="Normal 8 2 2 3 2 7" xfId="4852"/>
    <cellStyle name="Normal 8 2 2 3 2 7 2" xfId="13288"/>
    <cellStyle name="Normal 8 2 2 3 2 7 3" xfId="21729"/>
    <cellStyle name="Normal 8 2 2 3 2 7 4" xfId="30169"/>
    <cellStyle name="Normal 8 2 2 3 2 8" xfId="9070"/>
    <cellStyle name="Normal 8 2 2 3 2 9" xfId="17512"/>
    <cellStyle name="Normal 8 2 2 3 3" xfId="952"/>
    <cellStyle name="Normal 8 2 2 3 3 2" xfId="3186"/>
    <cellStyle name="Normal 8 2 2 3 3 2 2" xfId="7409"/>
    <cellStyle name="Normal 8 2 2 3 3 2 2 2" xfId="15845"/>
    <cellStyle name="Normal 8 2 2 3 3 2 2 3" xfId="24286"/>
    <cellStyle name="Normal 8 2 2 3 3 2 2 4" xfId="32726"/>
    <cellStyle name="Normal 8 2 2 3 3 2 3" xfId="11627"/>
    <cellStyle name="Normal 8 2 2 3 3 2 4" xfId="20069"/>
    <cellStyle name="Normal 8 2 2 3 3 2 5" xfId="28509"/>
    <cellStyle name="Normal 8 2 2 3 3 3" xfId="5264"/>
    <cellStyle name="Normal 8 2 2 3 3 3 2" xfId="13700"/>
    <cellStyle name="Normal 8 2 2 3 3 3 3" xfId="22141"/>
    <cellStyle name="Normal 8 2 2 3 3 3 4" xfId="30581"/>
    <cellStyle name="Normal 8 2 2 3 3 4" xfId="9482"/>
    <cellStyle name="Normal 8 2 2 3 3 5" xfId="17924"/>
    <cellStyle name="Normal 8 2 2 3 3 6" xfId="26364"/>
    <cellStyle name="Normal 8 2 2 3 4" xfId="1369"/>
    <cellStyle name="Normal 8 2 2 3 4 2" xfId="3599"/>
    <cellStyle name="Normal 8 2 2 3 4 2 2" xfId="7822"/>
    <cellStyle name="Normal 8 2 2 3 4 2 2 2" xfId="16258"/>
    <cellStyle name="Normal 8 2 2 3 4 2 2 3" xfId="24699"/>
    <cellStyle name="Normal 8 2 2 3 4 2 2 4" xfId="33139"/>
    <cellStyle name="Normal 8 2 2 3 4 2 3" xfId="12040"/>
    <cellStyle name="Normal 8 2 2 3 4 2 4" xfId="20482"/>
    <cellStyle name="Normal 8 2 2 3 4 2 5" xfId="28922"/>
    <cellStyle name="Normal 8 2 2 3 4 3" xfId="5677"/>
    <cellStyle name="Normal 8 2 2 3 4 3 2" xfId="14113"/>
    <cellStyle name="Normal 8 2 2 3 4 3 3" xfId="22554"/>
    <cellStyle name="Normal 8 2 2 3 4 3 4" xfId="30994"/>
    <cellStyle name="Normal 8 2 2 3 4 4" xfId="9895"/>
    <cellStyle name="Normal 8 2 2 3 4 5" xfId="18337"/>
    <cellStyle name="Normal 8 2 2 3 4 6" xfId="26777"/>
    <cellStyle name="Normal 8 2 2 3 5" xfId="1782"/>
    <cellStyle name="Normal 8 2 2 3 5 2" xfId="4012"/>
    <cellStyle name="Normal 8 2 2 3 5 2 2" xfId="8235"/>
    <cellStyle name="Normal 8 2 2 3 5 2 2 2" xfId="16671"/>
    <cellStyle name="Normal 8 2 2 3 5 2 2 3" xfId="25112"/>
    <cellStyle name="Normal 8 2 2 3 5 2 2 4" xfId="33552"/>
    <cellStyle name="Normal 8 2 2 3 5 2 3" xfId="12453"/>
    <cellStyle name="Normal 8 2 2 3 5 2 4" xfId="20895"/>
    <cellStyle name="Normal 8 2 2 3 5 2 5" xfId="29335"/>
    <cellStyle name="Normal 8 2 2 3 5 3" xfId="6090"/>
    <cellStyle name="Normal 8 2 2 3 5 3 2" xfId="14526"/>
    <cellStyle name="Normal 8 2 2 3 5 3 3" xfId="22967"/>
    <cellStyle name="Normal 8 2 2 3 5 3 4" xfId="31407"/>
    <cellStyle name="Normal 8 2 2 3 5 4" xfId="10308"/>
    <cellStyle name="Normal 8 2 2 3 5 5" xfId="18750"/>
    <cellStyle name="Normal 8 2 2 3 5 6" xfId="27190"/>
    <cellStyle name="Normal 8 2 2 3 6" xfId="2196"/>
    <cellStyle name="Normal 8 2 2 3 6 2" xfId="4425"/>
    <cellStyle name="Normal 8 2 2 3 6 2 2" xfId="8648"/>
    <cellStyle name="Normal 8 2 2 3 6 2 2 2" xfId="17084"/>
    <cellStyle name="Normal 8 2 2 3 6 2 2 3" xfId="25525"/>
    <cellStyle name="Normal 8 2 2 3 6 2 2 4" xfId="33965"/>
    <cellStyle name="Normal 8 2 2 3 6 2 3" xfId="12866"/>
    <cellStyle name="Normal 8 2 2 3 6 2 4" xfId="21308"/>
    <cellStyle name="Normal 8 2 2 3 6 2 5" xfId="29748"/>
    <cellStyle name="Normal 8 2 2 3 6 3" xfId="6503"/>
    <cellStyle name="Normal 8 2 2 3 6 3 2" xfId="14939"/>
    <cellStyle name="Normal 8 2 2 3 6 3 3" xfId="23380"/>
    <cellStyle name="Normal 8 2 2 3 6 3 4" xfId="31820"/>
    <cellStyle name="Normal 8 2 2 3 6 4" xfId="10721"/>
    <cellStyle name="Normal 8 2 2 3 6 5" xfId="19163"/>
    <cellStyle name="Normal 8 2 2 3 6 6" xfId="27603"/>
    <cellStyle name="Normal 8 2 2 3 7" xfId="2632"/>
    <cellStyle name="Normal 8 2 2 3 7 2" xfId="6916"/>
    <cellStyle name="Normal 8 2 2 3 7 2 2" xfId="15352"/>
    <cellStyle name="Normal 8 2 2 3 7 2 3" xfId="23793"/>
    <cellStyle name="Normal 8 2 2 3 7 2 4" xfId="32233"/>
    <cellStyle name="Normal 8 2 2 3 7 3" xfId="11134"/>
    <cellStyle name="Normal 8 2 2 3 7 4" xfId="19576"/>
    <cellStyle name="Normal 8 2 2 3 7 5" xfId="28016"/>
    <cellStyle name="Normal 8 2 2 3 8" xfId="4851"/>
    <cellStyle name="Normal 8 2 2 3 8 2" xfId="13287"/>
    <cellStyle name="Normal 8 2 2 3 8 3" xfId="21728"/>
    <cellStyle name="Normal 8 2 2 3 8 4" xfId="30168"/>
    <cellStyle name="Normal 8 2 2 3 9" xfId="9069"/>
    <cellStyle name="Normal 8 2 2 4" xfId="487"/>
    <cellStyle name="Normal 8 2 2 4 10" xfId="25953"/>
    <cellStyle name="Normal 8 2 2 4 2" xfId="954"/>
    <cellStyle name="Normal 8 2 2 4 2 2" xfId="3188"/>
    <cellStyle name="Normal 8 2 2 4 2 2 2" xfId="7411"/>
    <cellStyle name="Normal 8 2 2 4 2 2 2 2" xfId="15847"/>
    <cellStyle name="Normal 8 2 2 4 2 2 2 3" xfId="24288"/>
    <cellStyle name="Normal 8 2 2 4 2 2 2 4" xfId="32728"/>
    <cellStyle name="Normal 8 2 2 4 2 2 3" xfId="11629"/>
    <cellStyle name="Normal 8 2 2 4 2 2 4" xfId="20071"/>
    <cellStyle name="Normal 8 2 2 4 2 2 5" xfId="28511"/>
    <cellStyle name="Normal 8 2 2 4 2 3" xfId="5266"/>
    <cellStyle name="Normal 8 2 2 4 2 3 2" xfId="13702"/>
    <cellStyle name="Normal 8 2 2 4 2 3 3" xfId="22143"/>
    <cellStyle name="Normal 8 2 2 4 2 3 4" xfId="30583"/>
    <cellStyle name="Normal 8 2 2 4 2 4" xfId="9484"/>
    <cellStyle name="Normal 8 2 2 4 2 5" xfId="17926"/>
    <cellStyle name="Normal 8 2 2 4 2 6" xfId="26366"/>
    <cellStyle name="Normal 8 2 2 4 3" xfId="1371"/>
    <cellStyle name="Normal 8 2 2 4 3 2" xfId="3601"/>
    <cellStyle name="Normal 8 2 2 4 3 2 2" xfId="7824"/>
    <cellStyle name="Normal 8 2 2 4 3 2 2 2" xfId="16260"/>
    <cellStyle name="Normal 8 2 2 4 3 2 2 3" xfId="24701"/>
    <cellStyle name="Normal 8 2 2 4 3 2 2 4" xfId="33141"/>
    <cellStyle name="Normal 8 2 2 4 3 2 3" xfId="12042"/>
    <cellStyle name="Normal 8 2 2 4 3 2 4" xfId="20484"/>
    <cellStyle name="Normal 8 2 2 4 3 2 5" xfId="28924"/>
    <cellStyle name="Normal 8 2 2 4 3 3" xfId="5679"/>
    <cellStyle name="Normal 8 2 2 4 3 3 2" xfId="14115"/>
    <cellStyle name="Normal 8 2 2 4 3 3 3" xfId="22556"/>
    <cellStyle name="Normal 8 2 2 4 3 3 4" xfId="30996"/>
    <cellStyle name="Normal 8 2 2 4 3 4" xfId="9897"/>
    <cellStyle name="Normal 8 2 2 4 3 5" xfId="18339"/>
    <cellStyle name="Normal 8 2 2 4 3 6" xfId="26779"/>
    <cellStyle name="Normal 8 2 2 4 4" xfId="1784"/>
    <cellStyle name="Normal 8 2 2 4 4 2" xfId="4014"/>
    <cellStyle name="Normal 8 2 2 4 4 2 2" xfId="8237"/>
    <cellStyle name="Normal 8 2 2 4 4 2 2 2" xfId="16673"/>
    <cellStyle name="Normal 8 2 2 4 4 2 2 3" xfId="25114"/>
    <cellStyle name="Normal 8 2 2 4 4 2 2 4" xfId="33554"/>
    <cellStyle name="Normal 8 2 2 4 4 2 3" xfId="12455"/>
    <cellStyle name="Normal 8 2 2 4 4 2 4" xfId="20897"/>
    <cellStyle name="Normal 8 2 2 4 4 2 5" xfId="29337"/>
    <cellStyle name="Normal 8 2 2 4 4 3" xfId="6092"/>
    <cellStyle name="Normal 8 2 2 4 4 3 2" xfId="14528"/>
    <cellStyle name="Normal 8 2 2 4 4 3 3" xfId="22969"/>
    <cellStyle name="Normal 8 2 2 4 4 3 4" xfId="31409"/>
    <cellStyle name="Normal 8 2 2 4 4 4" xfId="10310"/>
    <cellStyle name="Normal 8 2 2 4 4 5" xfId="18752"/>
    <cellStyle name="Normal 8 2 2 4 4 6" xfId="27192"/>
    <cellStyle name="Normal 8 2 2 4 5" xfId="2198"/>
    <cellStyle name="Normal 8 2 2 4 5 2" xfId="4427"/>
    <cellStyle name="Normal 8 2 2 4 5 2 2" xfId="8650"/>
    <cellStyle name="Normal 8 2 2 4 5 2 2 2" xfId="17086"/>
    <cellStyle name="Normal 8 2 2 4 5 2 2 3" xfId="25527"/>
    <cellStyle name="Normal 8 2 2 4 5 2 2 4" xfId="33967"/>
    <cellStyle name="Normal 8 2 2 4 5 2 3" xfId="12868"/>
    <cellStyle name="Normal 8 2 2 4 5 2 4" xfId="21310"/>
    <cellStyle name="Normal 8 2 2 4 5 2 5" xfId="29750"/>
    <cellStyle name="Normal 8 2 2 4 5 3" xfId="6505"/>
    <cellStyle name="Normal 8 2 2 4 5 3 2" xfId="14941"/>
    <cellStyle name="Normal 8 2 2 4 5 3 3" xfId="23382"/>
    <cellStyle name="Normal 8 2 2 4 5 3 4" xfId="31822"/>
    <cellStyle name="Normal 8 2 2 4 5 4" xfId="10723"/>
    <cellStyle name="Normal 8 2 2 4 5 5" xfId="19165"/>
    <cellStyle name="Normal 8 2 2 4 5 6" xfId="27605"/>
    <cellStyle name="Normal 8 2 2 4 6" xfId="2634"/>
    <cellStyle name="Normal 8 2 2 4 6 2" xfId="6918"/>
    <cellStyle name="Normal 8 2 2 4 6 2 2" xfId="15354"/>
    <cellStyle name="Normal 8 2 2 4 6 2 3" xfId="23795"/>
    <cellStyle name="Normal 8 2 2 4 6 2 4" xfId="32235"/>
    <cellStyle name="Normal 8 2 2 4 6 3" xfId="11136"/>
    <cellStyle name="Normal 8 2 2 4 6 4" xfId="19578"/>
    <cellStyle name="Normal 8 2 2 4 6 5" xfId="28018"/>
    <cellStyle name="Normal 8 2 2 4 7" xfId="4853"/>
    <cellStyle name="Normal 8 2 2 4 7 2" xfId="13289"/>
    <cellStyle name="Normal 8 2 2 4 7 3" xfId="21730"/>
    <cellStyle name="Normal 8 2 2 4 7 4" xfId="30170"/>
    <cellStyle name="Normal 8 2 2 4 8" xfId="9071"/>
    <cellStyle name="Normal 8 2 2 4 9" xfId="17513"/>
    <cellStyle name="Normal 8 2 2 5" xfId="947"/>
    <cellStyle name="Normal 8 2 2 5 2" xfId="3181"/>
    <cellStyle name="Normal 8 2 2 5 2 2" xfId="7404"/>
    <cellStyle name="Normal 8 2 2 5 2 2 2" xfId="15840"/>
    <cellStyle name="Normal 8 2 2 5 2 2 3" xfId="24281"/>
    <cellStyle name="Normal 8 2 2 5 2 2 4" xfId="32721"/>
    <cellStyle name="Normal 8 2 2 5 2 3" xfId="11622"/>
    <cellStyle name="Normal 8 2 2 5 2 4" xfId="20064"/>
    <cellStyle name="Normal 8 2 2 5 2 5" xfId="28504"/>
    <cellStyle name="Normal 8 2 2 5 3" xfId="5259"/>
    <cellStyle name="Normal 8 2 2 5 3 2" xfId="13695"/>
    <cellStyle name="Normal 8 2 2 5 3 3" xfId="22136"/>
    <cellStyle name="Normal 8 2 2 5 3 4" xfId="30576"/>
    <cellStyle name="Normal 8 2 2 5 4" xfId="9477"/>
    <cellStyle name="Normal 8 2 2 5 5" xfId="17919"/>
    <cellStyle name="Normal 8 2 2 5 6" xfId="26359"/>
    <cellStyle name="Normal 8 2 2 6" xfId="1364"/>
    <cellStyle name="Normal 8 2 2 6 2" xfId="3594"/>
    <cellStyle name="Normal 8 2 2 6 2 2" xfId="7817"/>
    <cellStyle name="Normal 8 2 2 6 2 2 2" xfId="16253"/>
    <cellStyle name="Normal 8 2 2 6 2 2 3" xfId="24694"/>
    <cellStyle name="Normal 8 2 2 6 2 2 4" xfId="33134"/>
    <cellStyle name="Normal 8 2 2 6 2 3" xfId="12035"/>
    <cellStyle name="Normal 8 2 2 6 2 4" xfId="20477"/>
    <cellStyle name="Normal 8 2 2 6 2 5" xfId="28917"/>
    <cellStyle name="Normal 8 2 2 6 3" xfId="5672"/>
    <cellStyle name="Normal 8 2 2 6 3 2" xfId="14108"/>
    <cellStyle name="Normal 8 2 2 6 3 3" xfId="22549"/>
    <cellStyle name="Normal 8 2 2 6 3 4" xfId="30989"/>
    <cellStyle name="Normal 8 2 2 6 4" xfId="9890"/>
    <cellStyle name="Normal 8 2 2 6 5" xfId="18332"/>
    <cellStyle name="Normal 8 2 2 6 6" xfId="26772"/>
    <cellStyle name="Normal 8 2 2 7" xfId="1777"/>
    <cellStyle name="Normal 8 2 2 7 2" xfId="4007"/>
    <cellStyle name="Normal 8 2 2 7 2 2" xfId="8230"/>
    <cellStyle name="Normal 8 2 2 7 2 2 2" xfId="16666"/>
    <cellStyle name="Normal 8 2 2 7 2 2 3" xfId="25107"/>
    <cellStyle name="Normal 8 2 2 7 2 2 4" xfId="33547"/>
    <cellStyle name="Normal 8 2 2 7 2 3" xfId="12448"/>
    <cellStyle name="Normal 8 2 2 7 2 4" xfId="20890"/>
    <cellStyle name="Normal 8 2 2 7 2 5" xfId="29330"/>
    <cellStyle name="Normal 8 2 2 7 3" xfId="6085"/>
    <cellStyle name="Normal 8 2 2 7 3 2" xfId="14521"/>
    <cellStyle name="Normal 8 2 2 7 3 3" xfId="22962"/>
    <cellStyle name="Normal 8 2 2 7 3 4" xfId="31402"/>
    <cellStyle name="Normal 8 2 2 7 4" xfId="10303"/>
    <cellStyle name="Normal 8 2 2 7 5" xfId="18745"/>
    <cellStyle name="Normal 8 2 2 7 6" xfId="27185"/>
    <cellStyle name="Normal 8 2 2 8" xfId="2191"/>
    <cellStyle name="Normal 8 2 2 8 2" xfId="4420"/>
    <cellStyle name="Normal 8 2 2 8 2 2" xfId="8643"/>
    <cellStyle name="Normal 8 2 2 8 2 2 2" xfId="17079"/>
    <cellStyle name="Normal 8 2 2 8 2 2 3" xfId="25520"/>
    <cellStyle name="Normal 8 2 2 8 2 2 4" xfId="33960"/>
    <cellStyle name="Normal 8 2 2 8 2 3" xfId="12861"/>
    <cellStyle name="Normal 8 2 2 8 2 4" xfId="21303"/>
    <cellStyle name="Normal 8 2 2 8 2 5" xfId="29743"/>
    <cellStyle name="Normal 8 2 2 8 3" xfId="6498"/>
    <cellStyle name="Normal 8 2 2 8 3 2" xfId="14934"/>
    <cellStyle name="Normal 8 2 2 8 3 3" xfId="23375"/>
    <cellStyle name="Normal 8 2 2 8 3 4" xfId="31815"/>
    <cellStyle name="Normal 8 2 2 8 4" xfId="10716"/>
    <cellStyle name="Normal 8 2 2 8 5" xfId="19158"/>
    <cellStyle name="Normal 8 2 2 8 6" xfId="27598"/>
    <cellStyle name="Normal 8 2 2 9" xfId="2627"/>
    <cellStyle name="Normal 8 2 2 9 2" xfId="6911"/>
    <cellStyle name="Normal 8 2 2 9 2 2" xfId="15347"/>
    <cellStyle name="Normal 8 2 2 9 2 3" xfId="23788"/>
    <cellStyle name="Normal 8 2 2 9 2 4" xfId="32228"/>
    <cellStyle name="Normal 8 2 2 9 3" xfId="11129"/>
    <cellStyle name="Normal 8 2 2 9 4" xfId="19571"/>
    <cellStyle name="Normal 8 2 2 9 5" xfId="28011"/>
    <cellStyle name="Normal 8 2 3" xfId="488"/>
    <cellStyle name="Normal 8 2 3 10" xfId="9072"/>
    <cellStyle name="Normal 8 2 3 11" xfId="17514"/>
    <cellStyle name="Normal 8 2 3 12" xfId="25954"/>
    <cellStyle name="Normal 8 2 3 2" xfId="489"/>
    <cellStyle name="Normal 8 2 3 2 10" xfId="17515"/>
    <cellStyle name="Normal 8 2 3 2 11" xfId="25955"/>
    <cellStyle name="Normal 8 2 3 2 2" xfId="490"/>
    <cellStyle name="Normal 8 2 3 2 2 10" xfId="25956"/>
    <cellStyle name="Normal 8 2 3 2 2 2" xfId="957"/>
    <cellStyle name="Normal 8 2 3 2 2 2 2" xfId="3191"/>
    <cellStyle name="Normal 8 2 3 2 2 2 2 2" xfId="7414"/>
    <cellStyle name="Normal 8 2 3 2 2 2 2 2 2" xfId="15850"/>
    <cellStyle name="Normal 8 2 3 2 2 2 2 2 3" xfId="24291"/>
    <cellStyle name="Normal 8 2 3 2 2 2 2 2 4" xfId="32731"/>
    <cellStyle name="Normal 8 2 3 2 2 2 2 3" xfId="11632"/>
    <cellStyle name="Normal 8 2 3 2 2 2 2 4" xfId="20074"/>
    <cellStyle name="Normal 8 2 3 2 2 2 2 5" xfId="28514"/>
    <cellStyle name="Normal 8 2 3 2 2 2 3" xfId="5269"/>
    <cellStyle name="Normal 8 2 3 2 2 2 3 2" xfId="13705"/>
    <cellStyle name="Normal 8 2 3 2 2 2 3 3" xfId="22146"/>
    <cellStyle name="Normal 8 2 3 2 2 2 3 4" xfId="30586"/>
    <cellStyle name="Normal 8 2 3 2 2 2 4" xfId="9487"/>
    <cellStyle name="Normal 8 2 3 2 2 2 5" xfId="17929"/>
    <cellStyle name="Normal 8 2 3 2 2 2 6" xfId="26369"/>
    <cellStyle name="Normal 8 2 3 2 2 3" xfId="1374"/>
    <cellStyle name="Normal 8 2 3 2 2 3 2" xfId="3604"/>
    <cellStyle name="Normal 8 2 3 2 2 3 2 2" xfId="7827"/>
    <cellStyle name="Normal 8 2 3 2 2 3 2 2 2" xfId="16263"/>
    <cellStyle name="Normal 8 2 3 2 2 3 2 2 3" xfId="24704"/>
    <cellStyle name="Normal 8 2 3 2 2 3 2 2 4" xfId="33144"/>
    <cellStyle name="Normal 8 2 3 2 2 3 2 3" xfId="12045"/>
    <cellStyle name="Normal 8 2 3 2 2 3 2 4" xfId="20487"/>
    <cellStyle name="Normal 8 2 3 2 2 3 2 5" xfId="28927"/>
    <cellStyle name="Normal 8 2 3 2 2 3 3" xfId="5682"/>
    <cellStyle name="Normal 8 2 3 2 2 3 3 2" xfId="14118"/>
    <cellStyle name="Normal 8 2 3 2 2 3 3 3" xfId="22559"/>
    <cellStyle name="Normal 8 2 3 2 2 3 3 4" xfId="30999"/>
    <cellStyle name="Normal 8 2 3 2 2 3 4" xfId="9900"/>
    <cellStyle name="Normal 8 2 3 2 2 3 5" xfId="18342"/>
    <cellStyle name="Normal 8 2 3 2 2 3 6" xfId="26782"/>
    <cellStyle name="Normal 8 2 3 2 2 4" xfId="1787"/>
    <cellStyle name="Normal 8 2 3 2 2 4 2" xfId="4017"/>
    <cellStyle name="Normal 8 2 3 2 2 4 2 2" xfId="8240"/>
    <cellStyle name="Normal 8 2 3 2 2 4 2 2 2" xfId="16676"/>
    <cellStyle name="Normal 8 2 3 2 2 4 2 2 3" xfId="25117"/>
    <cellStyle name="Normal 8 2 3 2 2 4 2 2 4" xfId="33557"/>
    <cellStyle name="Normal 8 2 3 2 2 4 2 3" xfId="12458"/>
    <cellStyle name="Normal 8 2 3 2 2 4 2 4" xfId="20900"/>
    <cellStyle name="Normal 8 2 3 2 2 4 2 5" xfId="29340"/>
    <cellStyle name="Normal 8 2 3 2 2 4 3" xfId="6095"/>
    <cellStyle name="Normal 8 2 3 2 2 4 3 2" xfId="14531"/>
    <cellStyle name="Normal 8 2 3 2 2 4 3 3" xfId="22972"/>
    <cellStyle name="Normal 8 2 3 2 2 4 3 4" xfId="31412"/>
    <cellStyle name="Normal 8 2 3 2 2 4 4" xfId="10313"/>
    <cellStyle name="Normal 8 2 3 2 2 4 5" xfId="18755"/>
    <cellStyle name="Normal 8 2 3 2 2 4 6" xfId="27195"/>
    <cellStyle name="Normal 8 2 3 2 2 5" xfId="2201"/>
    <cellStyle name="Normal 8 2 3 2 2 5 2" xfId="4430"/>
    <cellStyle name="Normal 8 2 3 2 2 5 2 2" xfId="8653"/>
    <cellStyle name="Normal 8 2 3 2 2 5 2 2 2" xfId="17089"/>
    <cellStyle name="Normal 8 2 3 2 2 5 2 2 3" xfId="25530"/>
    <cellStyle name="Normal 8 2 3 2 2 5 2 2 4" xfId="33970"/>
    <cellStyle name="Normal 8 2 3 2 2 5 2 3" xfId="12871"/>
    <cellStyle name="Normal 8 2 3 2 2 5 2 4" xfId="21313"/>
    <cellStyle name="Normal 8 2 3 2 2 5 2 5" xfId="29753"/>
    <cellStyle name="Normal 8 2 3 2 2 5 3" xfId="6508"/>
    <cellStyle name="Normal 8 2 3 2 2 5 3 2" xfId="14944"/>
    <cellStyle name="Normal 8 2 3 2 2 5 3 3" xfId="23385"/>
    <cellStyle name="Normal 8 2 3 2 2 5 3 4" xfId="31825"/>
    <cellStyle name="Normal 8 2 3 2 2 5 4" xfId="10726"/>
    <cellStyle name="Normal 8 2 3 2 2 5 5" xfId="19168"/>
    <cellStyle name="Normal 8 2 3 2 2 5 6" xfId="27608"/>
    <cellStyle name="Normal 8 2 3 2 2 6" xfId="2637"/>
    <cellStyle name="Normal 8 2 3 2 2 6 2" xfId="6921"/>
    <cellStyle name="Normal 8 2 3 2 2 6 2 2" xfId="15357"/>
    <cellStyle name="Normal 8 2 3 2 2 6 2 3" xfId="23798"/>
    <cellStyle name="Normal 8 2 3 2 2 6 2 4" xfId="32238"/>
    <cellStyle name="Normal 8 2 3 2 2 6 3" xfId="11139"/>
    <cellStyle name="Normal 8 2 3 2 2 6 4" xfId="19581"/>
    <cellStyle name="Normal 8 2 3 2 2 6 5" xfId="28021"/>
    <cellStyle name="Normal 8 2 3 2 2 7" xfId="4856"/>
    <cellStyle name="Normal 8 2 3 2 2 7 2" xfId="13292"/>
    <cellStyle name="Normal 8 2 3 2 2 7 3" xfId="21733"/>
    <cellStyle name="Normal 8 2 3 2 2 7 4" xfId="30173"/>
    <cellStyle name="Normal 8 2 3 2 2 8" xfId="9074"/>
    <cellStyle name="Normal 8 2 3 2 2 9" xfId="17516"/>
    <cellStyle name="Normal 8 2 3 2 3" xfId="956"/>
    <cellStyle name="Normal 8 2 3 2 3 2" xfId="3190"/>
    <cellStyle name="Normal 8 2 3 2 3 2 2" xfId="7413"/>
    <cellStyle name="Normal 8 2 3 2 3 2 2 2" xfId="15849"/>
    <cellStyle name="Normal 8 2 3 2 3 2 2 3" xfId="24290"/>
    <cellStyle name="Normal 8 2 3 2 3 2 2 4" xfId="32730"/>
    <cellStyle name="Normal 8 2 3 2 3 2 3" xfId="11631"/>
    <cellStyle name="Normal 8 2 3 2 3 2 4" xfId="20073"/>
    <cellStyle name="Normal 8 2 3 2 3 2 5" xfId="28513"/>
    <cellStyle name="Normal 8 2 3 2 3 3" xfId="5268"/>
    <cellStyle name="Normal 8 2 3 2 3 3 2" xfId="13704"/>
    <cellStyle name="Normal 8 2 3 2 3 3 3" xfId="22145"/>
    <cellStyle name="Normal 8 2 3 2 3 3 4" xfId="30585"/>
    <cellStyle name="Normal 8 2 3 2 3 4" xfId="9486"/>
    <cellStyle name="Normal 8 2 3 2 3 5" xfId="17928"/>
    <cellStyle name="Normal 8 2 3 2 3 6" xfId="26368"/>
    <cellStyle name="Normal 8 2 3 2 4" xfId="1373"/>
    <cellStyle name="Normal 8 2 3 2 4 2" xfId="3603"/>
    <cellStyle name="Normal 8 2 3 2 4 2 2" xfId="7826"/>
    <cellStyle name="Normal 8 2 3 2 4 2 2 2" xfId="16262"/>
    <cellStyle name="Normal 8 2 3 2 4 2 2 3" xfId="24703"/>
    <cellStyle name="Normal 8 2 3 2 4 2 2 4" xfId="33143"/>
    <cellStyle name="Normal 8 2 3 2 4 2 3" xfId="12044"/>
    <cellStyle name="Normal 8 2 3 2 4 2 4" xfId="20486"/>
    <cellStyle name="Normal 8 2 3 2 4 2 5" xfId="28926"/>
    <cellStyle name="Normal 8 2 3 2 4 3" xfId="5681"/>
    <cellStyle name="Normal 8 2 3 2 4 3 2" xfId="14117"/>
    <cellStyle name="Normal 8 2 3 2 4 3 3" xfId="22558"/>
    <cellStyle name="Normal 8 2 3 2 4 3 4" xfId="30998"/>
    <cellStyle name="Normal 8 2 3 2 4 4" xfId="9899"/>
    <cellStyle name="Normal 8 2 3 2 4 5" xfId="18341"/>
    <cellStyle name="Normal 8 2 3 2 4 6" xfId="26781"/>
    <cellStyle name="Normal 8 2 3 2 5" xfId="1786"/>
    <cellStyle name="Normal 8 2 3 2 5 2" xfId="4016"/>
    <cellStyle name="Normal 8 2 3 2 5 2 2" xfId="8239"/>
    <cellStyle name="Normal 8 2 3 2 5 2 2 2" xfId="16675"/>
    <cellStyle name="Normal 8 2 3 2 5 2 2 3" xfId="25116"/>
    <cellStyle name="Normal 8 2 3 2 5 2 2 4" xfId="33556"/>
    <cellStyle name="Normal 8 2 3 2 5 2 3" xfId="12457"/>
    <cellStyle name="Normal 8 2 3 2 5 2 4" xfId="20899"/>
    <cellStyle name="Normal 8 2 3 2 5 2 5" xfId="29339"/>
    <cellStyle name="Normal 8 2 3 2 5 3" xfId="6094"/>
    <cellStyle name="Normal 8 2 3 2 5 3 2" xfId="14530"/>
    <cellStyle name="Normal 8 2 3 2 5 3 3" xfId="22971"/>
    <cellStyle name="Normal 8 2 3 2 5 3 4" xfId="31411"/>
    <cellStyle name="Normal 8 2 3 2 5 4" xfId="10312"/>
    <cellStyle name="Normal 8 2 3 2 5 5" xfId="18754"/>
    <cellStyle name="Normal 8 2 3 2 5 6" xfId="27194"/>
    <cellStyle name="Normal 8 2 3 2 6" xfId="2200"/>
    <cellStyle name="Normal 8 2 3 2 6 2" xfId="4429"/>
    <cellStyle name="Normal 8 2 3 2 6 2 2" xfId="8652"/>
    <cellStyle name="Normal 8 2 3 2 6 2 2 2" xfId="17088"/>
    <cellStyle name="Normal 8 2 3 2 6 2 2 3" xfId="25529"/>
    <cellStyle name="Normal 8 2 3 2 6 2 2 4" xfId="33969"/>
    <cellStyle name="Normal 8 2 3 2 6 2 3" xfId="12870"/>
    <cellStyle name="Normal 8 2 3 2 6 2 4" xfId="21312"/>
    <cellStyle name="Normal 8 2 3 2 6 2 5" xfId="29752"/>
    <cellStyle name="Normal 8 2 3 2 6 3" xfId="6507"/>
    <cellStyle name="Normal 8 2 3 2 6 3 2" xfId="14943"/>
    <cellStyle name="Normal 8 2 3 2 6 3 3" xfId="23384"/>
    <cellStyle name="Normal 8 2 3 2 6 3 4" xfId="31824"/>
    <cellStyle name="Normal 8 2 3 2 6 4" xfId="10725"/>
    <cellStyle name="Normal 8 2 3 2 6 5" xfId="19167"/>
    <cellStyle name="Normal 8 2 3 2 6 6" xfId="27607"/>
    <cellStyle name="Normal 8 2 3 2 7" xfId="2636"/>
    <cellStyle name="Normal 8 2 3 2 7 2" xfId="6920"/>
    <cellStyle name="Normal 8 2 3 2 7 2 2" xfId="15356"/>
    <cellStyle name="Normal 8 2 3 2 7 2 3" xfId="23797"/>
    <cellStyle name="Normal 8 2 3 2 7 2 4" xfId="32237"/>
    <cellStyle name="Normal 8 2 3 2 7 3" xfId="11138"/>
    <cellStyle name="Normal 8 2 3 2 7 4" xfId="19580"/>
    <cellStyle name="Normal 8 2 3 2 7 5" xfId="28020"/>
    <cellStyle name="Normal 8 2 3 2 8" xfId="4855"/>
    <cellStyle name="Normal 8 2 3 2 8 2" xfId="13291"/>
    <cellStyle name="Normal 8 2 3 2 8 3" xfId="21732"/>
    <cellStyle name="Normal 8 2 3 2 8 4" xfId="30172"/>
    <cellStyle name="Normal 8 2 3 2 9" xfId="9073"/>
    <cellStyle name="Normal 8 2 3 3" xfId="491"/>
    <cellStyle name="Normal 8 2 3 3 10" xfId="25957"/>
    <cellStyle name="Normal 8 2 3 3 2" xfId="958"/>
    <cellStyle name="Normal 8 2 3 3 2 2" xfId="3192"/>
    <cellStyle name="Normal 8 2 3 3 2 2 2" xfId="7415"/>
    <cellStyle name="Normal 8 2 3 3 2 2 2 2" xfId="15851"/>
    <cellStyle name="Normal 8 2 3 3 2 2 2 3" xfId="24292"/>
    <cellStyle name="Normal 8 2 3 3 2 2 2 4" xfId="32732"/>
    <cellStyle name="Normal 8 2 3 3 2 2 3" xfId="11633"/>
    <cellStyle name="Normal 8 2 3 3 2 2 4" xfId="20075"/>
    <cellStyle name="Normal 8 2 3 3 2 2 5" xfId="28515"/>
    <cellStyle name="Normal 8 2 3 3 2 3" xfId="5270"/>
    <cellStyle name="Normal 8 2 3 3 2 3 2" xfId="13706"/>
    <cellStyle name="Normal 8 2 3 3 2 3 3" xfId="22147"/>
    <cellStyle name="Normal 8 2 3 3 2 3 4" xfId="30587"/>
    <cellStyle name="Normal 8 2 3 3 2 4" xfId="9488"/>
    <cellStyle name="Normal 8 2 3 3 2 5" xfId="17930"/>
    <cellStyle name="Normal 8 2 3 3 2 6" xfId="26370"/>
    <cellStyle name="Normal 8 2 3 3 3" xfId="1375"/>
    <cellStyle name="Normal 8 2 3 3 3 2" xfId="3605"/>
    <cellStyle name="Normal 8 2 3 3 3 2 2" xfId="7828"/>
    <cellStyle name="Normal 8 2 3 3 3 2 2 2" xfId="16264"/>
    <cellStyle name="Normal 8 2 3 3 3 2 2 3" xfId="24705"/>
    <cellStyle name="Normal 8 2 3 3 3 2 2 4" xfId="33145"/>
    <cellStyle name="Normal 8 2 3 3 3 2 3" xfId="12046"/>
    <cellStyle name="Normal 8 2 3 3 3 2 4" xfId="20488"/>
    <cellStyle name="Normal 8 2 3 3 3 2 5" xfId="28928"/>
    <cellStyle name="Normal 8 2 3 3 3 3" xfId="5683"/>
    <cellStyle name="Normal 8 2 3 3 3 3 2" xfId="14119"/>
    <cellStyle name="Normal 8 2 3 3 3 3 3" xfId="22560"/>
    <cellStyle name="Normal 8 2 3 3 3 3 4" xfId="31000"/>
    <cellStyle name="Normal 8 2 3 3 3 4" xfId="9901"/>
    <cellStyle name="Normal 8 2 3 3 3 5" xfId="18343"/>
    <cellStyle name="Normal 8 2 3 3 3 6" xfId="26783"/>
    <cellStyle name="Normal 8 2 3 3 4" xfId="1788"/>
    <cellStyle name="Normal 8 2 3 3 4 2" xfId="4018"/>
    <cellStyle name="Normal 8 2 3 3 4 2 2" xfId="8241"/>
    <cellStyle name="Normal 8 2 3 3 4 2 2 2" xfId="16677"/>
    <cellStyle name="Normal 8 2 3 3 4 2 2 3" xfId="25118"/>
    <cellStyle name="Normal 8 2 3 3 4 2 2 4" xfId="33558"/>
    <cellStyle name="Normal 8 2 3 3 4 2 3" xfId="12459"/>
    <cellStyle name="Normal 8 2 3 3 4 2 4" xfId="20901"/>
    <cellStyle name="Normal 8 2 3 3 4 2 5" xfId="29341"/>
    <cellStyle name="Normal 8 2 3 3 4 3" xfId="6096"/>
    <cellStyle name="Normal 8 2 3 3 4 3 2" xfId="14532"/>
    <cellStyle name="Normal 8 2 3 3 4 3 3" xfId="22973"/>
    <cellStyle name="Normal 8 2 3 3 4 3 4" xfId="31413"/>
    <cellStyle name="Normal 8 2 3 3 4 4" xfId="10314"/>
    <cellStyle name="Normal 8 2 3 3 4 5" xfId="18756"/>
    <cellStyle name="Normal 8 2 3 3 4 6" xfId="27196"/>
    <cellStyle name="Normal 8 2 3 3 5" xfId="2202"/>
    <cellStyle name="Normal 8 2 3 3 5 2" xfId="4431"/>
    <cellStyle name="Normal 8 2 3 3 5 2 2" xfId="8654"/>
    <cellStyle name="Normal 8 2 3 3 5 2 2 2" xfId="17090"/>
    <cellStyle name="Normal 8 2 3 3 5 2 2 3" xfId="25531"/>
    <cellStyle name="Normal 8 2 3 3 5 2 2 4" xfId="33971"/>
    <cellStyle name="Normal 8 2 3 3 5 2 3" xfId="12872"/>
    <cellStyle name="Normal 8 2 3 3 5 2 4" xfId="21314"/>
    <cellStyle name="Normal 8 2 3 3 5 2 5" xfId="29754"/>
    <cellStyle name="Normal 8 2 3 3 5 3" xfId="6509"/>
    <cellStyle name="Normal 8 2 3 3 5 3 2" xfId="14945"/>
    <cellStyle name="Normal 8 2 3 3 5 3 3" xfId="23386"/>
    <cellStyle name="Normal 8 2 3 3 5 3 4" xfId="31826"/>
    <cellStyle name="Normal 8 2 3 3 5 4" xfId="10727"/>
    <cellStyle name="Normal 8 2 3 3 5 5" xfId="19169"/>
    <cellStyle name="Normal 8 2 3 3 5 6" xfId="27609"/>
    <cellStyle name="Normal 8 2 3 3 6" xfId="2638"/>
    <cellStyle name="Normal 8 2 3 3 6 2" xfId="6922"/>
    <cellStyle name="Normal 8 2 3 3 6 2 2" xfId="15358"/>
    <cellStyle name="Normal 8 2 3 3 6 2 3" xfId="23799"/>
    <cellStyle name="Normal 8 2 3 3 6 2 4" xfId="32239"/>
    <cellStyle name="Normal 8 2 3 3 6 3" xfId="11140"/>
    <cellStyle name="Normal 8 2 3 3 6 4" xfId="19582"/>
    <cellStyle name="Normal 8 2 3 3 6 5" xfId="28022"/>
    <cellStyle name="Normal 8 2 3 3 7" xfId="4857"/>
    <cellStyle name="Normal 8 2 3 3 7 2" xfId="13293"/>
    <cellStyle name="Normal 8 2 3 3 7 3" xfId="21734"/>
    <cellStyle name="Normal 8 2 3 3 7 4" xfId="30174"/>
    <cellStyle name="Normal 8 2 3 3 8" xfId="9075"/>
    <cellStyle name="Normal 8 2 3 3 9" xfId="17517"/>
    <cellStyle name="Normal 8 2 3 4" xfId="955"/>
    <cellStyle name="Normal 8 2 3 4 2" xfId="3189"/>
    <cellStyle name="Normal 8 2 3 4 2 2" xfId="7412"/>
    <cellStyle name="Normal 8 2 3 4 2 2 2" xfId="15848"/>
    <cellStyle name="Normal 8 2 3 4 2 2 3" xfId="24289"/>
    <cellStyle name="Normal 8 2 3 4 2 2 4" xfId="32729"/>
    <cellStyle name="Normal 8 2 3 4 2 3" xfId="11630"/>
    <cellStyle name="Normal 8 2 3 4 2 4" xfId="20072"/>
    <cellStyle name="Normal 8 2 3 4 2 5" xfId="28512"/>
    <cellStyle name="Normal 8 2 3 4 3" xfId="5267"/>
    <cellStyle name="Normal 8 2 3 4 3 2" xfId="13703"/>
    <cellStyle name="Normal 8 2 3 4 3 3" xfId="22144"/>
    <cellStyle name="Normal 8 2 3 4 3 4" xfId="30584"/>
    <cellStyle name="Normal 8 2 3 4 4" xfId="9485"/>
    <cellStyle name="Normal 8 2 3 4 5" xfId="17927"/>
    <cellStyle name="Normal 8 2 3 4 6" xfId="26367"/>
    <cellStyle name="Normal 8 2 3 5" xfId="1372"/>
    <cellStyle name="Normal 8 2 3 5 2" xfId="3602"/>
    <cellStyle name="Normal 8 2 3 5 2 2" xfId="7825"/>
    <cellStyle name="Normal 8 2 3 5 2 2 2" xfId="16261"/>
    <cellStyle name="Normal 8 2 3 5 2 2 3" xfId="24702"/>
    <cellStyle name="Normal 8 2 3 5 2 2 4" xfId="33142"/>
    <cellStyle name="Normal 8 2 3 5 2 3" xfId="12043"/>
    <cellStyle name="Normal 8 2 3 5 2 4" xfId="20485"/>
    <cellStyle name="Normal 8 2 3 5 2 5" xfId="28925"/>
    <cellStyle name="Normal 8 2 3 5 3" xfId="5680"/>
    <cellStyle name="Normal 8 2 3 5 3 2" xfId="14116"/>
    <cellStyle name="Normal 8 2 3 5 3 3" xfId="22557"/>
    <cellStyle name="Normal 8 2 3 5 3 4" xfId="30997"/>
    <cellStyle name="Normal 8 2 3 5 4" xfId="9898"/>
    <cellStyle name="Normal 8 2 3 5 5" xfId="18340"/>
    <cellStyle name="Normal 8 2 3 5 6" xfId="26780"/>
    <cellStyle name="Normal 8 2 3 6" xfId="1785"/>
    <cellStyle name="Normal 8 2 3 6 2" xfId="4015"/>
    <cellStyle name="Normal 8 2 3 6 2 2" xfId="8238"/>
    <cellStyle name="Normal 8 2 3 6 2 2 2" xfId="16674"/>
    <cellStyle name="Normal 8 2 3 6 2 2 3" xfId="25115"/>
    <cellStyle name="Normal 8 2 3 6 2 2 4" xfId="33555"/>
    <cellStyle name="Normal 8 2 3 6 2 3" xfId="12456"/>
    <cellStyle name="Normal 8 2 3 6 2 4" xfId="20898"/>
    <cellStyle name="Normal 8 2 3 6 2 5" xfId="29338"/>
    <cellStyle name="Normal 8 2 3 6 3" xfId="6093"/>
    <cellStyle name="Normal 8 2 3 6 3 2" xfId="14529"/>
    <cellStyle name="Normal 8 2 3 6 3 3" xfId="22970"/>
    <cellStyle name="Normal 8 2 3 6 3 4" xfId="31410"/>
    <cellStyle name="Normal 8 2 3 6 4" xfId="10311"/>
    <cellStyle name="Normal 8 2 3 6 5" xfId="18753"/>
    <cellStyle name="Normal 8 2 3 6 6" xfId="27193"/>
    <cellStyle name="Normal 8 2 3 7" xfId="2199"/>
    <cellStyle name="Normal 8 2 3 7 2" xfId="4428"/>
    <cellStyle name="Normal 8 2 3 7 2 2" xfId="8651"/>
    <cellStyle name="Normal 8 2 3 7 2 2 2" xfId="17087"/>
    <cellStyle name="Normal 8 2 3 7 2 2 3" xfId="25528"/>
    <cellStyle name="Normal 8 2 3 7 2 2 4" xfId="33968"/>
    <cellStyle name="Normal 8 2 3 7 2 3" xfId="12869"/>
    <cellStyle name="Normal 8 2 3 7 2 4" xfId="21311"/>
    <cellStyle name="Normal 8 2 3 7 2 5" xfId="29751"/>
    <cellStyle name="Normal 8 2 3 7 3" xfId="6506"/>
    <cellStyle name="Normal 8 2 3 7 3 2" xfId="14942"/>
    <cellStyle name="Normal 8 2 3 7 3 3" xfId="23383"/>
    <cellStyle name="Normal 8 2 3 7 3 4" xfId="31823"/>
    <cellStyle name="Normal 8 2 3 7 4" xfId="10724"/>
    <cellStyle name="Normal 8 2 3 7 5" xfId="19166"/>
    <cellStyle name="Normal 8 2 3 7 6" xfId="27606"/>
    <cellStyle name="Normal 8 2 3 8" xfId="2635"/>
    <cellStyle name="Normal 8 2 3 8 2" xfId="6919"/>
    <cellStyle name="Normal 8 2 3 8 2 2" xfId="15355"/>
    <cellStyle name="Normal 8 2 3 8 2 3" xfId="23796"/>
    <cellStyle name="Normal 8 2 3 8 2 4" xfId="32236"/>
    <cellStyle name="Normal 8 2 3 8 3" xfId="11137"/>
    <cellStyle name="Normal 8 2 3 8 4" xfId="19579"/>
    <cellStyle name="Normal 8 2 3 8 5" xfId="28019"/>
    <cellStyle name="Normal 8 2 3 9" xfId="4854"/>
    <cellStyle name="Normal 8 2 3 9 2" xfId="13290"/>
    <cellStyle name="Normal 8 2 3 9 3" xfId="21731"/>
    <cellStyle name="Normal 8 2 3 9 4" xfId="30171"/>
    <cellStyle name="Normal 8 2 4" xfId="492"/>
    <cellStyle name="Normal 8 2 4 10" xfId="17518"/>
    <cellStyle name="Normal 8 2 4 11" xfId="25958"/>
    <cellStyle name="Normal 8 2 4 2" xfId="493"/>
    <cellStyle name="Normal 8 2 4 2 10" xfId="25959"/>
    <cellStyle name="Normal 8 2 4 2 2" xfId="960"/>
    <cellStyle name="Normal 8 2 4 2 2 2" xfId="3194"/>
    <cellStyle name="Normal 8 2 4 2 2 2 2" xfId="7417"/>
    <cellStyle name="Normal 8 2 4 2 2 2 2 2" xfId="15853"/>
    <cellStyle name="Normal 8 2 4 2 2 2 2 3" xfId="24294"/>
    <cellStyle name="Normal 8 2 4 2 2 2 2 4" xfId="32734"/>
    <cellStyle name="Normal 8 2 4 2 2 2 3" xfId="11635"/>
    <cellStyle name="Normal 8 2 4 2 2 2 4" xfId="20077"/>
    <cellStyle name="Normal 8 2 4 2 2 2 5" xfId="28517"/>
    <cellStyle name="Normal 8 2 4 2 2 3" xfId="5272"/>
    <cellStyle name="Normal 8 2 4 2 2 3 2" xfId="13708"/>
    <cellStyle name="Normal 8 2 4 2 2 3 3" xfId="22149"/>
    <cellStyle name="Normal 8 2 4 2 2 3 4" xfId="30589"/>
    <cellStyle name="Normal 8 2 4 2 2 4" xfId="9490"/>
    <cellStyle name="Normal 8 2 4 2 2 5" xfId="17932"/>
    <cellStyle name="Normal 8 2 4 2 2 6" xfId="26372"/>
    <cellStyle name="Normal 8 2 4 2 3" xfId="1377"/>
    <cellStyle name="Normal 8 2 4 2 3 2" xfId="3607"/>
    <cellStyle name="Normal 8 2 4 2 3 2 2" xfId="7830"/>
    <cellStyle name="Normal 8 2 4 2 3 2 2 2" xfId="16266"/>
    <cellStyle name="Normal 8 2 4 2 3 2 2 3" xfId="24707"/>
    <cellStyle name="Normal 8 2 4 2 3 2 2 4" xfId="33147"/>
    <cellStyle name="Normal 8 2 4 2 3 2 3" xfId="12048"/>
    <cellStyle name="Normal 8 2 4 2 3 2 4" xfId="20490"/>
    <cellStyle name="Normal 8 2 4 2 3 2 5" xfId="28930"/>
    <cellStyle name="Normal 8 2 4 2 3 3" xfId="5685"/>
    <cellStyle name="Normal 8 2 4 2 3 3 2" xfId="14121"/>
    <cellStyle name="Normal 8 2 4 2 3 3 3" xfId="22562"/>
    <cellStyle name="Normal 8 2 4 2 3 3 4" xfId="31002"/>
    <cellStyle name="Normal 8 2 4 2 3 4" xfId="9903"/>
    <cellStyle name="Normal 8 2 4 2 3 5" xfId="18345"/>
    <cellStyle name="Normal 8 2 4 2 3 6" xfId="26785"/>
    <cellStyle name="Normal 8 2 4 2 4" xfId="1790"/>
    <cellStyle name="Normal 8 2 4 2 4 2" xfId="4020"/>
    <cellStyle name="Normal 8 2 4 2 4 2 2" xfId="8243"/>
    <cellStyle name="Normal 8 2 4 2 4 2 2 2" xfId="16679"/>
    <cellStyle name="Normal 8 2 4 2 4 2 2 3" xfId="25120"/>
    <cellStyle name="Normal 8 2 4 2 4 2 2 4" xfId="33560"/>
    <cellStyle name="Normal 8 2 4 2 4 2 3" xfId="12461"/>
    <cellStyle name="Normal 8 2 4 2 4 2 4" xfId="20903"/>
    <cellStyle name="Normal 8 2 4 2 4 2 5" xfId="29343"/>
    <cellStyle name="Normal 8 2 4 2 4 3" xfId="6098"/>
    <cellStyle name="Normal 8 2 4 2 4 3 2" xfId="14534"/>
    <cellStyle name="Normal 8 2 4 2 4 3 3" xfId="22975"/>
    <cellStyle name="Normal 8 2 4 2 4 3 4" xfId="31415"/>
    <cellStyle name="Normal 8 2 4 2 4 4" xfId="10316"/>
    <cellStyle name="Normal 8 2 4 2 4 5" xfId="18758"/>
    <cellStyle name="Normal 8 2 4 2 4 6" xfId="27198"/>
    <cellStyle name="Normal 8 2 4 2 5" xfId="2204"/>
    <cellStyle name="Normal 8 2 4 2 5 2" xfId="4433"/>
    <cellStyle name="Normal 8 2 4 2 5 2 2" xfId="8656"/>
    <cellStyle name="Normal 8 2 4 2 5 2 2 2" xfId="17092"/>
    <cellStyle name="Normal 8 2 4 2 5 2 2 3" xfId="25533"/>
    <cellStyle name="Normal 8 2 4 2 5 2 2 4" xfId="33973"/>
    <cellStyle name="Normal 8 2 4 2 5 2 3" xfId="12874"/>
    <cellStyle name="Normal 8 2 4 2 5 2 4" xfId="21316"/>
    <cellStyle name="Normal 8 2 4 2 5 2 5" xfId="29756"/>
    <cellStyle name="Normal 8 2 4 2 5 3" xfId="6511"/>
    <cellStyle name="Normal 8 2 4 2 5 3 2" xfId="14947"/>
    <cellStyle name="Normal 8 2 4 2 5 3 3" xfId="23388"/>
    <cellStyle name="Normal 8 2 4 2 5 3 4" xfId="31828"/>
    <cellStyle name="Normal 8 2 4 2 5 4" xfId="10729"/>
    <cellStyle name="Normal 8 2 4 2 5 5" xfId="19171"/>
    <cellStyle name="Normal 8 2 4 2 5 6" xfId="27611"/>
    <cellStyle name="Normal 8 2 4 2 6" xfId="2640"/>
    <cellStyle name="Normal 8 2 4 2 6 2" xfId="6924"/>
    <cellStyle name="Normal 8 2 4 2 6 2 2" xfId="15360"/>
    <cellStyle name="Normal 8 2 4 2 6 2 3" xfId="23801"/>
    <cellStyle name="Normal 8 2 4 2 6 2 4" xfId="32241"/>
    <cellStyle name="Normal 8 2 4 2 6 3" xfId="11142"/>
    <cellStyle name="Normal 8 2 4 2 6 4" xfId="19584"/>
    <cellStyle name="Normal 8 2 4 2 6 5" xfId="28024"/>
    <cellStyle name="Normal 8 2 4 2 7" xfId="4859"/>
    <cellStyle name="Normal 8 2 4 2 7 2" xfId="13295"/>
    <cellStyle name="Normal 8 2 4 2 7 3" xfId="21736"/>
    <cellStyle name="Normal 8 2 4 2 7 4" xfId="30176"/>
    <cellStyle name="Normal 8 2 4 2 8" xfId="9077"/>
    <cellStyle name="Normal 8 2 4 2 9" xfId="17519"/>
    <cellStyle name="Normal 8 2 4 3" xfId="959"/>
    <cellStyle name="Normal 8 2 4 3 2" xfId="3193"/>
    <cellStyle name="Normal 8 2 4 3 2 2" xfId="7416"/>
    <cellStyle name="Normal 8 2 4 3 2 2 2" xfId="15852"/>
    <cellStyle name="Normal 8 2 4 3 2 2 3" xfId="24293"/>
    <cellStyle name="Normal 8 2 4 3 2 2 4" xfId="32733"/>
    <cellStyle name="Normal 8 2 4 3 2 3" xfId="11634"/>
    <cellStyle name="Normal 8 2 4 3 2 4" xfId="20076"/>
    <cellStyle name="Normal 8 2 4 3 2 5" xfId="28516"/>
    <cellStyle name="Normal 8 2 4 3 3" xfId="5271"/>
    <cellStyle name="Normal 8 2 4 3 3 2" xfId="13707"/>
    <cellStyle name="Normal 8 2 4 3 3 3" xfId="22148"/>
    <cellStyle name="Normal 8 2 4 3 3 4" xfId="30588"/>
    <cellStyle name="Normal 8 2 4 3 4" xfId="9489"/>
    <cellStyle name="Normal 8 2 4 3 5" xfId="17931"/>
    <cellStyle name="Normal 8 2 4 3 6" xfId="26371"/>
    <cellStyle name="Normal 8 2 4 4" xfId="1376"/>
    <cellStyle name="Normal 8 2 4 4 2" xfId="3606"/>
    <cellStyle name="Normal 8 2 4 4 2 2" xfId="7829"/>
    <cellStyle name="Normal 8 2 4 4 2 2 2" xfId="16265"/>
    <cellStyle name="Normal 8 2 4 4 2 2 3" xfId="24706"/>
    <cellStyle name="Normal 8 2 4 4 2 2 4" xfId="33146"/>
    <cellStyle name="Normal 8 2 4 4 2 3" xfId="12047"/>
    <cellStyle name="Normal 8 2 4 4 2 4" xfId="20489"/>
    <cellStyle name="Normal 8 2 4 4 2 5" xfId="28929"/>
    <cellStyle name="Normal 8 2 4 4 3" xfId="5684"/>
    <cellStyle name="Normal 8 2 4 4 3 2" xfId="14120"/>
    <cellStyle name="Normal 8 2 4 4 3 3" xfId="22561"/>
    <cellStyle name="Normal 8 2 4 4 3 4" xfId="31001"/>
    <cellStyle name="Normal 8 2 4 4 4" xfId="9902"/>
    <cellStyle name="Normal 8 2 4 4 5" xfId="18344"/>
    <cellStyle name="Normal 8 2 4 4 6" xfId="26784"/>
    <cellStyle name="Normal 8 2 4 5" xfId="1789"/>
    <cellStyle name="Normal 8 2 4 5 2" xfId="4019"/>
    <cellStyle name="Normal 8 2 4 5 2 2" xfId="8242"/>
    <cellStyle name="Normal 8 2 4 5 2 2 2" xfId="16678"/>
    <cellStyle name="Normal 8 2 4 5 2 2 3" xfId="25119"/>
    <cellStyle name="Normal 8 2 4 5 2 2 4" xfId="33559"/>
    <cellStyle name="Normal 8 2 4 5 2 3" xfId="12460"/>
    <cellStyle name="Normal 8 2 4 5 2 4" xfId="20902"/>
    <cellStyle name="Normal 8 2 4 5 2 5" xfId="29342"/>
    <cellStyle name="Normal 8 2 4 5 3" xfId="6097"/>
    <cellStyle name="Normal 8 2 4 5 3 2" xfId="14533"/>
    <cellStyle name="Normal 8 2 4 5 3 3" xfId="22974"/>
    <cellStyle name="Normal 8 2 4 5 3 4" xfId="31414"/>
    <cellStyle name="Normal 8 2 4 5 4" xfId="10315"/>
    <cellStyle name="Normal 8 2 4 5 5" xfId="18757"/>
    <cellStyle name="Normal 8 2 4 5 6" xfId="27197"/>
    <cellStyle name="Normal 8 2 4 6" xfId="2203"/>
    <cellStyle name="Normal 8 2 4 6 2" xfId="4432"/>
    <cellStyle name="Normal 8 2 4 6 2 2" xfId="8655"/>
    <cellStyle name="Normal 8 2 4 6 2 2 2" xfId="17091"/>
    <cellStyle name="Normal 8 2 4 6 2 2 3" xfId="25532"/>
    <cellStyle name="Normal 8 2 4 6 2 2 4" xfId="33972"/>
    <cellStyle name="Normal 8 2 4 6 2 3" xfId="12873"/>
    <cellStyle name="Normal 8 2 4 6 2 4" xfId="21315"/>
    <cellStyle name="Normal 8 2 4 6 2 5" xfId="29755"/>
    <cellStyle name="Normal 8 2 4 6 3" xfId="6510"/>
    <cellStyle name="Normal 8 2 4 6 3 2" xfId="14946"/>
    <cellStyle name="Normal 8 2 4 6 3 3" xfId="23387"/>
    <cellStyle name="Normal 8 2 4 6 3 4" xfId="31827"/>
    <cellStyle name="Normal 8 2 4 6 4" xfId="10728"/>
    <cellStyle name="Normal 8 2 4 6 5" xfId="19170"/>
    <cellStyle name="Normal 8 2 4 6 6" xfId="27610"/>
    <cellStyle name="Normal 8 2 4 7" xfId="2639"/>
    <cellStyle name="Normal 8 2 4 7 2" xfId="6923"/>
    <cellStyle name="Normal 8 2 4 7 2 2" xfId="15359"/>
    <cellStyle name="Normal 8 2 4 7 2 3" xfId="23800"/>
    <cellStyle name="Normal 8 2 4 7 2 4" xfId="32240"/>
    <cellStyle name="Normal 8 2 4 7 3" xfId="11141"/>
    <cellStyle name="Normal 8 2 4 7 4" xfId="19583"/>
    <cellStyle name="Normal 8 2 4 7 5" xfId="28023"/>
    <cellStyle name="Normal 8 2 4 8" xfId="4858"/>
    <cellStyle name="Normal 8 2 4 8 2" xfId="13294"/>
    <cellStyle name="Normal 8 2 4 8 3" xfId="21735"/>
    <cellStyle name="Normal 8 2 4 8 4" xfId="30175"/>
    <cellStyle name="Normal 8 2 4 9" xfId="9076"/>
    <cellStyle name="Normal 8 2 5" xfId="494"/>
    <cellStyle name="Normal 8 2 5 10" xfId="25960"/>
    <cellStyle name="Normal 8 2 5 2" xfId="961"/>
    <cellStyle name="Normal 8 2 5 2 2" xfId="3195"/>
    <cellStyle name="Normal 8 2 5 2 2 2" xfId="7418"/>
    <cellStyle name="Normal 8 2 5 2 2 2 2" xfId="15854"/>
    <cellStyle name="Normal 8 2 5 2 2 2 3" xfId="24295"/>
    <cellStyle name="Normal 8 2 5 2 2 2 4" xfId="32735"/>
    <cellStyle name="Normal 8 2 5 2 2 3" xfId="11636"/>
    <cellStyle name="Normal 8 2 5 2 2 4" xfId="20078"/>
    <cellStyle name="Normal 8 2 5 2 2 5" xfId="28518"/>
    <cellStyle name="Normal 8 2 5 2 3" xfId="5273"/>
    <cellStyle name="Normal 8 2 5 2 3 2" xfId="13709"/>
    <cellStyle name="Normal 8 2 5 2 3 3" xfId="22150"/>
    <cellStyle name="Normal 8 2 5 2 3 4" xfId="30590"/>
    <cellStyle name="Normal 8 2 5 2 4" xfId="9491"/>
    <cellStyle name="Normal 8 2 5 2 5" xfId="17933"/>
    <cellStyle name="Normal 8 2 5 2 6" xfId="26373"/>
    <cellStyle name="Normal 8 2 5 3" xfId="1378"/>
    <cellStyle name="Normal 8 2 5 3 2" xfId="3608"/>
    <cellStyle name="Normal 8 2 5 3 2 2" xfId="7831"/>
    <cellStyle name="Normal 8 2 5 3 2 2 2" xfId="16267"/>
    <cellStyle name="Normal 8 2 5 3 2 2 3" xfId="24708"/>
    <cellStyle name="Normal 8 2 5 3 2 2 4" xfId="33148"/>
    <cellStyle name="Normal 8 2 5 3 2 3" xfId="12049"/>
    <cellStyle name="Normal 8 2 5 3 2 4" xfId="20491"/>
    <cellStyle name="Normal 8 2 5 3 2 5" xfId="28931"/>
    <cellStyle name="Normal 8 2 5 3 3" xfId="5686"/>
    <cellStyle name="Normal 8 2 5 3 3 2" xfId="14122"/>
    <cellStyle name="Normal 8 2 5 3 3 3" xfId="22563"/>
    <cellStyle name="Normal 8 2 5 3 3 4" xfId="31003"/>
    <cellStyle name="Normal 8 2 5 3 4" xfId="9904"/>
    <cellStyle name="Normal 8 2 5 3 5" xfId="18346"/>
    <cellStyle name="Normal 8 2 5 3 6" xfId="26786"/>
    <cellStyle name="Normal 8 2 5 4" xfId="1791"/>
    <cellStyle name="Normal 8 2 5 4 2" xfId="4021"/>
    <cellStyle name="Normal 8 2 5 4 2 2" xfId="8244"/>
    <cellStyle name="Normal 8 2 5 4 2 2 2" xfId="16680"/>
    <cellStyle name="Normal 8 2 5 4 2 2 3" xfId="25121"/>
    <cellStyle name="Normal 8 2 5 4 2 2 4" xfId="33561"/>
    <cellStyle name="Normal 8 2 5 4 2 3" xfId="12462"/>
    <cellStyle name="Normal 8 2 5 4 2 4" xfId="20904"/>
    <cellStyle name="Normal 8 2 5 4 2 5" xfId="29344"/>
    <cellStyle name="Normal 8 2 5 4 3" xfId="6099"/>
    <cellStyle name="Normal 8 2 5 4 3 2" xfId="14535"/>
    <cellStyle name="Normal 8 2 5 4 3 3" xfId="22976"/>
    <cellStyle name="Normal 8 2 5 4 3 4" xfId="31416"/>
    <cellStyle name="Normal 8 2 5 4 4" xfId="10317"/>
    <cellStyle name="Normal 8 2 5 4 5" xfId="18759"/>
    <cellStyle name="Normal 8 2 5 4 6" xfId="27199"/>
    <cellStyle name="Normal 8 2 5 5" xfId="2205"/>
    <cellStyle name="Normal 8 2 5 5 2" xfId="4434"/>
    <cellStyle name="Normal 8 2 5 5 2 2" xfId="8657"/>
    <cellStyle name="Normal 8 2 5 5 2 2 2" xfId="17093"/>
    <cellStyle name="Normal 8 2 5 5 2 2 3" xfId="25534"/>
    <cellStyle name="Normal 8 2 5 5 2 2 4" xfId="33974"/>
    <cellStyle name="Normal 8 2 5 5 2 3" xfId="12875"/>
    <cellStyle name="Normal 8 2 5 5 2 4" xfId="21317"/>
    <cellStyle name="Normal 8 2 5 5 2 5" xfId="29757"/>
    <cellStyle name="Normal 8 2 5 5 3" xfId="6512"/>
    <cellStyle name="Normal 8 2 5 5 3 2" xfId="14948"/>
    <cellStyle name="Normal 8 2 5 5 3 3" xfId="23389"/>
    <cellStyle name="Normal 8 2 5 5 3 4" xfId="31829"/>
    <cellStyle name="Normal 8 2 5 5 4" xfId="10730"/>
    <cellStyle name="Normal 8 2 5 5 5" xfId="19172"/>
    <cellStyle name="Normal 8 2 5 5 6" xfId="27612"/>
    <cellStyle name="Normal 8 2 5 6" xfId="2641"/>
    <cellStyle name="Normal 8 2 5 6 2" xfId="6925"/>
    <cellStyle name="Normal 8 2 5 6 2 2" xfId="15361"/>
    <cellStyle name="Normal 8 2 5 6 2 3" xfId="23802"/>
    <cellStyle name="Normal 8 2 5 6 2 4" xfId="32242"/>
    <cellStyle name="Normal 8 2 5 6 3" xfId="11143"/>
    <cellStyle name="Normal 8 2 5 6 4" xfId="19585"/>
    <cellStyle name="Normal 8 2 5 6 5" xfId="28025"/>
    <cellStyle name="Normal 8 2 5 7" xfId="4860"/>
    <cellStyle name="Normal 8 2 5 7 2" xfId="13296"/>
    <cellStyle name="Normal 8 2 5 7 3" xfId="21737"/>
    <cellStyle name="Normal 8 2 5 7 4" xfId="30177"/>
    <cellStyle name="Normal 8 2 5 8" xfId="9078"/>
    <cellStyle name="Normal 8 2 5 9" xfId="17520"/>
    <cellStyle name="Normal 8 2 6" xfId="946"/>
    <cellStyle name="Normal 8 2 6 2" xfId="3180"/>
    <cellStyle name="Normal 8 2 6 2 2" xfId="7403"/>
    <cellStyle name="Normal 8 2 6 2 2 2" xfId="15839"/>
    <cellStyle name="Normal 8 2 6 2 2 3" xfId="24280"/>
    <cellStyle name="Normal 8 2 6 2 2 4" xfId="32720"/>
    <cellStyle name="Normal 8 2 6 2 3" xfId="11621"/>
    <cellStyle name="Normal 8 2 6 2 4" xfId="20063"/>
    <cellStyle name="Normal 8 2 6 2 5" xfId="28503"/>
    <cellStyle name="Normal 8 2 6 3" xfId="5258"/>
    <cellStyle name="Normal 8 2 6 3 2" xfId="13694"/>
    <cellStyle name="Normal 8 2 6 3 3" xfId="22135"/>
    <cellStyle name="Normal 8 2 6 3 4" xfId="30575"/>
    <cellStyle name="Normal 8 2 6 4" xfId="9476"/>
    <cellStyle name="Normal 8 2 6 5" xfId="17918"/>
    <cellStyle name="Normal 8 2 6 6" xfId="26358"/>
    <cellStyle name="Normal 8 2 7" xfId="1363"/>
    <cellStyle name="Normal 8 2 7 2" xfId="3593"/>
    <cellStyle name="Normal 8 2 7 2 2" xfId="7816"/>
    <cellStyle name="Normal 8 2 7 2 2 2" xfId="16252"/>
    <cellStyle name="Normal 8 2 7 2 2 3" xfId="24693"/>
    <cellStyle name="Normal 8 2 7 2 2 4" xfId="33133"/>
    <cellStyle name="Normal 8 2 7 2 3" xfId="12034"/>
    <cellStyle name="Normal 8 2 7 2 4" xfId="20476"/>
    <cellStyle name="Normal 8 2 7 2 5" xfId="28916"/>
    <cellStyle name="Normal 8 2 7 3" xfId="5671"/>
    <cellStyle name="Normal 8 2 7 3 2" xfId="14107"/>
    <cellStyle name="Normal 8 2 7 3 3" xfId="22548"/>
    <cellStyle name="Normal 8 2 7 3 4" xfId="30988"/>
    <cellStyle name="Normal 8 2 7 4" xfId="9889"/>
    <cellStyle name="Normal 8 2 7 5" xfId="18331"/>
    <cellStyle name="Normal 8 2 7 6" xfId="26771"/>
    <cellStyle name="Normal 8 2 8" xfId="1776"/>
    <cellStyle name="Normal 8 2 8 2" xfId="4006"/>
    <cellStyle name="Normal 8 2 8 2 2" xfId="8229"/>
    <cellStyle name="Normal 8 2 8 2 2 2" xfId="16665"/>
    <cellStyle name="Normal 8 2 8 2 2 3" xfId="25106"/>
    <cellStyle name="Normal 8 2 8 2 2 4" xfId="33546"/>
    <cellStyle name="Normal 8 2 8 2 3" xfId="12447"/>
    <cellStyle name="Normal 8 2 8 2 4" xfId="20889"/>
    <cellStyle name="Normal 8 2 8 2 5" xfId="29329"/>
    <cellStyle name="Normal 8 2 8 3" xfId="6084"/>
    <cellStyle name="Normal 8 2 8 3 2" xfId="14520"/>
    <cellStyle name="Normal 8 2 8 3 3" xfId="22961"/>
    <cellStyle name="Normal 8 2 8 3 4" xfId="31401"/>
    <cellStyle name="Normal 8 2 8 4" xfId="10302"/>
    <cellStyle name="Normal 8 2 8 5" xfId="18744"/>
    <cellStyle name="Normal 8 2 8 6" xfId="27184"/>
    <cellStyle name="Normal 8 2 9" xfId="2190"/>
    <cellStyle name="Normal 8 2 9 2" xfId="4419"/>
    <cellStyle name="Normal 8 2 9 2 2" xfId="8642"/>
    <cellStyle name="Normal 8 2 9 2 2 2" xfId="17078"/>
    <cellStyle name="Normal 8 2 9 2 2 3" xfId="25519"/>
    <cellStyle name="Normal 8 2 9 2 2 4" xfId="33959"/>
    <cellStyle name="Normal 8 2 9 2 3" xfId="12860"/>
    <cellStyle name="Normal 8 2 9 2 4" xfId="21302"/>
    <cellStyle name="Normal 8 2 9 2 5" xfId="29742"/>
    <cellStyle name="Normal 8 2 9 3" xfId="6497"/>
    <cellStyle name="Normal 8 2 9 3 2" xfId="14933"/>
    <cellStyle name="Normal 8 2 9 3 3" xfId="23374"/>
    <cellStyle name="Normal 8 2 9 3 4" xfId="31814"/>
    <cellStyle name="Normal 8 2 9 4" xfId="10715"/>
    <cellStyle name="Normal 8 2 9 5" xfId="19157"/>
    <cellStyle name="Normal 8 2 9 6" xfId="27597"/>
    <cellStyle name="Normal 8 3" xfId="495"/>
    <cellStyle name="Normal 8 3 10" xfId="4861"/>
    <cellStyle name="Normal 8 3 10 2" xfId="13297"/>
    <cellStyle name="Normal 8 3 10 3" xfId="21738"/>
    <cellStyle name="Normal 8 3 10 4" xfId="30178"/>
    <cellStyle name="Normal 8 3 11" xfId="9079"/>
    <cellStyle name="Normal 8 3 12" xfId="17521"/>
    <cellStyle name="Normal 8 3 13" xfId="25961"/>
    <cellStyle name="Normal 8 3 2" xfId="496"/>
    <cellStyle name="Normal 8 3 2 10" xfId="9080"/>
    <cellStyle name="Normal 8 3 2 11" xfId="17522"/>
    <cellStyle name="Normal 8 3 2 12" xfId="25962"/>
    <cellStyle name="Normal 8 3 2 2" xfId="497"/>
    <cellStyle name="Normal 8 3 2 2 10" xfId="17523"/>
    <cellStyle name="Normal 8 3 2 2 11" xfId="25963"/>
    <cellStyle name="Normal 8 3 2 2 2" xfId="498"/>
    <cellStyle name="Normal 8 3 2 2 2 10" xfId="25964"/>
    <cellStyle name="Normal 8 3 2 2 2 2" xfId="965"/>
    <cellStyle name="Normal 8 3 2 2 2 2 2" xfId="3199"/>
    <cellStyle name="Normal 8 3 2 2 2 2 2 2" xfId="7422"/>
    <cellStyle name="Normal 8 3 2 2 2 2 2 2 2" xfId="15858"/>
    <cellStyle name="Normal 8 3 2 2 2 2 2 2 3" xfId="24299"/>
    <cellStyle name="Normal 8 3 2 2 2 2 2 2 4" xfId="32739"/>
    <cellStyle name="Normal 8 3 2 2 2 2 2 3" xfId="11640"/>
    <cellStyle name="Normal 8 3 2 2 2 2 2 4" xfId="20082"/>
    <cellStyle name="Normal 8 3 2 2 2 2 2 5" xfId="28522"/>
    <cellStyle name="Normal 8 3 2 2 2 2 3" xfId="5277"/>
    <cellStyle name="Normal 8 3 2 2 2 2 3 2" xfId="13713"/>
    <cellStyle name="Normal 8 3 2 2 2 2 3 3" xfId="22154"/>
    <cellStyle name="Normal 8 3 2 2 2 2 3 4" xfId="30594"/>
    <cellStyle name="Normal 8 3 2 2 2 2 4" xfId="9495"/>
    <cellStyle name="Normal 8 3 2 2 2 2 5" xfId="17937"/>
    <cellStyle name="Normal 8 3 2 2 2 2 6" xfId="26377"/>
    <cellStyle name="Normal 8 3 2 2 2 3" xfId="1382"/>
    <cellStyle name="Normal 8 3 2 2 2 3 2" xfId="3612"/>
    <cellStyle name="Normal 8 3 2 2 2 3 2 2" xfId="7835"/>
    <cellStyle name="Normal 8 3 2 2 2 3 2 2 2" xfId="16271"/>
    <cellStyle name="Normal 8 3 2 2 2 3 2 2 3" xfId="24712"/>
    <cellStyle name="Normal 8 3 2 2 2 3 2 2 4" xfId="33152"/>
    <cellStyle name="Normal 8 3 2 2 2 3 2 3" xfId="12053"/>
    <cellStyle name="Normal 8 3 2 2 2 3 2 4" xfId="20495"/>
    <cellStyle name="Normal 8 3 2 2 2 3 2 5" xfId="28935"/>
    <cellStyle name="Normal 8 3 2 2 2 3 3" xfId="5690"/>
    <cellStyle name="Normal 8 3 2 2 2 3 3 2" xfId="14126"/>
    <cellStyle name="Normal 8 3 2 2 2 3 3 3" xfId="22567"/>
    <cellStyle name="Normal 8 3 2 2 2 3 3 4" xfId="31007"/>
    <cellStyle name="Normal 8 3 2 2 2 3 4" xfId="9908"/>
    <cellStyle name="Normal 8 3 2 2 2 3 5" xfId="18350"/>
    <cellStyle name="Normal 8 3 2 2 2 3 6" xfId="26790"/>
    <cellStyle name="Normal 8 3 2 2 2 4" xfId="1795"/>
    <cellStyle name="Normal 8 3 2 2 2 4 2" xfId="4025"/>
    <cellStyle name="Normal 8 3 2 2 2 4 2 2" xfId="8248"/>
    <cellStyle name="Normal 8 3 2 2 2 4 2 2 2" xfId="16684"/>
    <cellStyle name="Normal 8 3 2 2 2 4 2 2 3" xfId="25125"/>
    <cellStyle name="Normal 8 3 2 2 2 4 2 2 4" xfId="33565"/>
    <cellStyle name="Normal 8 3 2 2 2 4 2 3" xfId="12466"/>
    <cellStyle name="Normal 8 3 2 2 2 4 2 4" xfId="20908"/>
    <cellStyle name="Normal 8 3 2 2 2 4 2 5" xfId="29348"/>
    <cellStyle name="Normal 8 3 2 2 2 4 3" xfId="6103"/>
    <cellStyle name="Normal 8 3 2 2 2 4 3 2" xfId="14539"/>
    <cellStyle name="Normal 8 3 2 2 2 4 3 3" xfId="22980"/>
    <cellStyle name="Normal 8 3 2 2 2 4 3 4" xfId="31420"/>
    <cellStyle name="Normal 8 3 2 2 2 4 4" xfId="10321"/>
    <cellStyle name="Normal 8 3 2 2 2 4 5" xfId="18763"/>
    <cellStyle name="Normal 8 3 2 2 2 4 6" xfId="27203"/>
    <cellStyle name="Normal 8 3 2 2 2 5" xfId="2209"/>
    <cellStyle name="Normal 8 3 2 2 2 5 2" xfId="4438"/>
    <cellStyle name="Normal 8 3 2 2 2 5 2 2" xfId="8661"/>
    <cellStyle name="Normal 8 3 2 2 2 5 2 2 2" xfId="17097"/>
    <cellStyle name="Normal 8 3 2 2 2 5 2 2 3" xfId="25538"/>
    <cellStyle name="Normal 8 3 2 2 2 5 2 2 4" xfId="33978"/>
    <cellStyle name="Normal 8 3 2 2 2 5 2 3" xfId="12879"/>
    <cellStyle name="Normal 8 3 2 2 2 5 2 4" xfId="21321"/>
    <cellStyle name="Normal 8 3 2 2 2 5 2 5" xfId="29761"/>
    <cellStyle name="Normal 8 3 2 2 2 5 3" xfId="6516"/>
    <cellStyle name="Normal 8 3 2 2 2 5 3 2" xfId="14952"/>
    <cellStyle name="Normal 8 3 2 2 2 5 3 3" xfId="23393"/>
    <cellStyle name="Normal 8 3 2 2 2 5 3 4" xfId="31833"/>
    <cellStyle name="Normal 8 3 2 2 2 5 4" xfId="10734"/>
    <cellStyle name="Normal 8 3 2 2 2 5 5" xfId="19176"/>
    <cellStyle name="Normal 8 3 2 2 2 5 6" xfId="27616"/>
    <cellStyle name="Normal 8 3 2 2 2 6" xfId="2645"/>
    <cellStyle name="Normal 8 3 2 2 2 6 2" xfId="6929"/>
    <cellStyle name="Normal 8 3 2 2 2 6 2 2" xfId="15365"/>
    <cellStyle name="Normal 8 3 2 2 2 6 2 3" xfId="23806"/>
    <cellStyle name="Normal 8 3 2 2 2 6 2 4" xfId="32246"/>
    <cellStyle name="Normal 8 3 2 2 2 6 3" xfId="11147"/>
    <cellStyle name="Normal 8 3 2 2 2 6 4" xfId="19589"/>
    <cellStyle name="Normal 8 3 2 2 2 6 5" xfId="28029"/>
    <cellStyle name="Normal 8 3 2 2 2 7" xfId="4864"/>
    <cellStyle name="Normal 8 3 2 2 2 7 2" xfId="13300"/>
    <cellStyle name="Normal 8 3 2 2 2 7 3" xfId="21741"/>
    <cellStyle name="Normal 8 3 2 2 2 7 4" xfId="30181"/>
    <cellStyle name="Normal 8 3 2 2 2 8" xfId="9082"/>
    <cellStyle name="Normal 8 3 2 2 2 9" xfId="17524"/>
    <cellStyle name="Normal 8 3 2 2 3" xfId="964"/>
    <cellStyle name="Normal 8 3 2 2 3 2" xfId="3198"/>
    <cellStyle name="Normal 8 3 2 2 3 2 2" xfId="7421"/>
    <cellStyle name="Normal 8 3 2 2 3 2 2 2" xfId="15857"/>
    <cellStyle name="Normal 8 3 2 2 3 2 2 3" xfId="24298"/>
    <cellStyle name="Normal 8 3 2 2 3 2 2 4" xfId="32738"/>
    <cellStyle name="Normal 8 3 2 2 3 2 3" xfId="11639"/>
    <cellStyle name="Normal 8 3 2 2 3 2 4" xfId="20081"/>
    <cellStyle name="Normal 8 3 2 2 3 2 5" xfId="28521"/>
    <cellStyle name="Normal 8 3 2 2 3 3" xfId="5276"/>
    <cellStyle name="Normal 8 3 2 2 3 3 2" xfId="13712"/>
    <cellStyle name="Normal 8 3 2 2 3 3 3" xfId="22153"/>
    <cellStyle name="Normal 8 3 2 2 3 3 4" xfId="30593"/>
    <cellStyle name="Normal 8 3 2 2 3 4" xfId="9494"/>
    <cellStyle name="Normal 8 3 2 2 3 5" xfId="17936"/>
    <cellStyle name="Normal 8 3 2 2 3 6" xfId="26376"/>
    <cellStyle name="Normal 8 3 2 2 4" xfId="1381"/>
    <cellStyle name="Normal 8 3 2 2 4 2" xfId="3611"/>
    <cellStyle name="Normal 8 3 2 2 4 2 2" xfId="7834"/>
    <cellStyle name="Normal 8 3 2 2 4 2 2 2" xfId="16270"/>
    <cellStyle name="Normal 8 3 2 2 4 2 2 3" xfId="24711"/>
    <cellStyle name="Normal 8 3 2 2 4 2 2 4" xfId="33151"/>
    <cellStyle name="Normal 8 3 2 2 4 2 3" xfId="12052"/>
    <cellStyle name="Normal 8 3 2 2 4 2 4" xfId="20494"/>
    <cellStyle name="Normal 8 3 2 2 4 2 5" xfId="28934"/>
    <cellStyle name="Normal 8 3 2 2 4 3" xfId="5689"/>
    <cellStyle name="Normal 8 3 2 2 4 3 2" xfId="14125"/>
    <cellStyle name="Normal 8 3 2 2 4 3 3" xfId="22566"/>
    <cellStyle name="Normal 8 3 2 2 4 3 4" xfId="31006"/>
    <cellStyle name="Normal 8 3 2 2 4 4" xfId="9907"/>
    <cellStyle name="Normal 8 3 2 2 4 5" xfId="18349"/>
    <cellStyle name="Normal 8 3 2 2 4 6" xfId="26789"/>
    <cellStyle name="Normal 8 3 2 2 5" xfId="1794"/>
    <cellStyle name="Normal 8 3 2 2 5 2" xfId="4024"/>
    <cellStyle name="Normal 8 3 2 2 5 2 2" xfId="8247"/>
    <cellStyle name="Normal 8 3 2 2 5 2 2 2" xfId="16683"/>
    <cellStyle name="Normal 8 3 2 2 5 2 2 3" xfId="25124"/>
    <cellStyle name="Normal 8 3 2 2 5 2 2 4" xfId="33564"/>
    <cellStyle name="Normal 8 3 2 2 5 2 3" xfId="12465"/>
    <cellStyle name="Normal 8 3 2 2 5 2 4" xfId="20907"/>
    <cellStyle name="Normal 8 3 2 2 5 2 5" xfId="29347"/>
    <cellStyle name="Normal 8 3 2 2 5 3" xfId="6102"/>
    <cellStyle name="Normal 8 3 2 2 5 3 2" xfId="14538"/>
    <cellStyle name="Normal 8 3 2 2 5 3 3" xfId="22979"/>
    <cellStyle name="Normal 8 3 2 2 5 3 4" xfId="31419"/>
    <cellStyle name="Normal 8 3 2 2 5 4" xfId="10320"/>
    <cellStyle name="Normal 8 3 2 2 5 5" xfId="18762"/>
    <cellStyle name="Normal 8 3 2 2 5 6" xfId="27202"/>
    <cellStyle name="Normal 8 3 2 2 6" xfId="2208"/>
    <cellStyle name="Normal 8 3 2 2 6 2" xfId="4437"/>
    <cellStyle name="Normal 8 3 2 2 6 2 2" xfId="8660"/>
    <cellStyle name="Normal 8 3 2 2 6 2 2 2" xfId="17096"/>
    <cellStyle name="Normal 8 3 2 2 6 2 2 3" xfId="25537"/>
    <cellStyle name="Normal 8 3 2 2 6 2 2 4" xfId="33977"/>
    <cellStyle name="Normal 8 3 2 2 6 2 3" xfId="12878"/>
    <cellStyle name="Normal 8 3 2 2 6 2 4" xfId="21320"/>
    <cellStyle name="Normal 8 3 2 2 6 2 5" xfId="29760"/>
    <cellStyle name="Normal 8 3 2 2 6 3" xfId="6515"/>
    <cellStyle name="Normal 8 3 2 2 6 3 2" xfId="14951"/>
    <cellStyle name="Normal 8 3 2 2 6 3 3" xfId="23392"/>
    <cellStyle name="Normal 8 3 2 2 6 3 4" xfId="31832"/>
    <cellStyle name="Normal 8 3 2 2 6 4" xfId="10733"/>
    <cellStyle name="Normal 8 3 2 2 6 5" xfId="19175"/>
    <cellStyle name="Normal 8 3 2 2 6 6" xfId="27615"/>
    <cellStyle name="Normal 8 3 2 2 7" xfId="2644"/>
    <cellStyle name="Normal 8 3 2 2 7 2" xfId="6928"/>
    <cellStyle name="Normal 8 3 2 2 7 2 2" xfId="15364"/>
    <cellStyle name="Normal 8 3 2 2 7 2 3" xfId="23805"/>
    <cellStyle name="Normal 8 3 2 2 7 2 4" xfId="32245"/>
    <cellStyle name="Normal 8 3 2 2 7 3" xfId="11146"/>
    <cellStyle name="Normal 8 3 2 2 7 4" xfId="19588"/>
    <cellStyle name="Normal 8 3 2 2 7 5" xfId="28028"/>
    <cellStyle name="Normal 8 3 2 2 8" xfId="4863"/>
    <cellStyle name="Normal 8 3 2 2 8 2" xfId="13299"/>
    <cellStyle name="Normal 8 3 2 2 8 3" xfId="21740"/>
    <cellStyle name="Normal 8 3 2 2 8 4" xfId="30180"/>
    <cellStyle name="Normal 8 3 2 2 9" xfId="9081"/>
    <cellStyle name="Normal 8 3 2 3" xfId="499"/>
    <cellStyle name="Normal 8 3 2 3 10" xfId="25965"/>
    <cellStyle name="Normal 8 3 2 3 2" xfId="966"/>
    <cellStyle name="Normal 8 3 2 3 2 2" xfId="3200"/>
    <cellStyle name="Normal 8 3 2 3 2 2 2" xfId="7423"/>
    <cellStyle name="Normal 8 3 2 3 2 2 2 2" xfId="15859"/>
    <cellStyle name="Normal 8 3 2 3 2 2 2 3" xfId="24300"/>
    <cellStyle name="Normal 8 3 2 3 2 2 2 4" xfId="32740"/>
    <cellStyle name="Normal 8 3 2 3 2 2 3" xfId="11641"/>
    <cellStyle name="Normal 8 3 2 3 2 2 4" xfId="20083"/>
    <cellStyle name="Normal 8 3 2 3 2 2 5" xfId="28523"/>
    <cellStyle name="Normal 8 3 2 3 2 3" xfId="5278"/>
    <cellStyle name="Normal 8 3 2 3 2 3 2" xfId="13714"/>
    <cellStyle name="Normal 8 3 2 3 2 3 3" xfId="22155"/>
    <cellStyle name="Normal 8 3 2 3 2 3 4" xfId="30595"/>
    <cellStyle name="Normal 8 3 2 3 2 4" xfId="9496"/>
    <cellStyle name="Normal 8 3 2 3 2 5" xfId="17938"/>
    <cellStyle name="Normal 8 3 2 3 2 6" xfId="26378"/>
    <cellStyle name="Normal 8 3 2 3 3" xfId="1383"/>
    <cellStyle name="Normal 8 3 2 3 3 2" xfId="3613"/>
    <cellStyle name="Normal 8 3 2 3 3 2 2" xfId="7836"/>
    <cellStyle name="Normal 8 3 2 3 3 2 2 2" xfId="16272"/>
    <cellStyle name="Normal 8 3 2 3 3 2 2 3" xfId="24713"/>
    <cellStyle name="Normal 8 3 2 3 3 2 2 4" xfId="33153"/>
    <cellStyle name="Normal 8 3 2 3 3 2 3" xfId="12054"/>
    <cellStyle name="Normal 8 3 2 3 3 2 4" xfId="20496"/>
    <cellStyle name="Normal 8 3 2 3 3 2 5" xfId="28936"/>
    <cellStyle name="Normal 8 3 2 3 3 3" xfId="5691"/>
    <cellStyle name="Normal 8 3 2 3 3 3 2" xfId="14127"/>
    <cellStyle name="Normal 8 3 2 3 3 3 3" xfId="22568"/>
    <cellStyle name="Normal 8 3 2 3 3 3 4" xfId="31008"/>
    <cellStyle name="Normal 8 3 2 3 3 4" xfId="9909"/>
    <cellStyle name="Normal 8 3 2 3 3 5" xfId="18351"/>
    <cellStyle name="Normal 8 3 2 3 3 6" xfId="26791"/>
    <cellStyle name="Normal 8 3 2 3 4" xfId="1796"/>
    <cellStyle name="Normal 8 3 2 3 4 2" xfId="4026"/>
    <cellStyle name="Normal 8 3 2 3 4 2 2" xfId="8249"/>
    <cellStyle name="Normal 8 3 2 3 4 2 2 2" xfId="16685"/>
    <cellStyle name="Normal 8 3 2 3 4 2 2 3" xfId="25126"/>
    <cellStyle name="Normal 8 3 2 3 4 2 2 4" xfId="33566"/>
    <cellStyle name="Normal 8 3 2 3 4 2 3" xfId="12467"/>
    <cellStyle name="Normal 8 3 2 3 4 2 4" xfId="20909"/>
    <cellStyle name="Normal 8 3 2 3 4 2 5" xfId="29349"/>
    <cellStyle name="Normal 8 3 2 3 4 3" xfId="6104"/>
    <cellStyle name="Normal 8 3 2 3 4 3 2" xfId="14540"/>
    <cellStyle name="Normal 8 3 2 3 4 3 3" xfId="22981"/>
    <cellStyle name="Normal 8 3 2 3 4 3 4" xfId="31421"/>
    <cellStyle name="Normal 8 3 2 3 4 4" xfId="10322"/>
    <cellStyle name="Normal 8 3 2 3 4 5" xfId="18764"/>
    <cellStyle name="Normal 8 3 2 3 4 6" xfId="27204"/>
    <cellStyle name="Normal 8 3 2 3 5" xfId="2210"/>
    <cellStyle name="Normal 8 3 2 3 5 2" xfId="4439"/>
    <cellStyle name="Normal 8 3 2 3 5 2 2" xfId="8662"/>
    <cellStyle name="Normal 8 3 2 3 5 2 2 2" xfId="17098"/>
    <cellStyle name="Normal 8 3 2 3 5 2 2 3" xfId="25539"/>
    <cellStyle name="Normal 8 3 2 3 5 2 2 4" xfId="33979"/>
    <cellStyle name="Normal 8 3 2 3 5 2 3" xfId="12880"/>
    <cellStyle name="Normal 8 3 2 3 5 2 4" xfId="21322"/>
    <cellStyle name="Normal 8 3 2 3 5 2 5" xfId="29762"/>
    <cellStyle name="Normal 8 3 2 3 5 3" xfId="6517"/>
    <cellStyle name="Normal 8 3 2 3 5 3 2" xfId="14953"/>
    <cellStyle name="Normal 8 3 2 3 5 3 3" xfId="23394"/>
    <cellStyle name="Normal 8 3 2 3 5 3 4" xfId="31834"/>
    <cellStyle name="Normal 8 3 2 3 5 4" xfId="10735"/>
    <cellStyle name="Normal 8 3 2 3 5 5" xfId="19177"/>
    <cellStyle name="Normal 8 3 2 3 5 6" xfId="27617"/>
    <cellStyle name="Normal 8 3 2 3 6" xfId="2646"/>
    <cellStyle name="Normal 8 3 2 3 6 2" xfId="6930"/>
    <cellStyle name="Normal 8 3 2 3 6 2 2" xfId="15366"/>
    <cellStyle name="Normal 8 3 2 3 6 2 3" xfId="23807"/>
    <cellStyle name="Normal 8 3 2 3 6 2 4" xfId="32247"/>
    <cellStyle name="Normal 8 3 2 3 6 3" xfId="11148"/>
    <cellStyle name="Normal 8 3 2 3 6 4" xfId="19590"/>
    <cellStyle name="Normal 8 3 2 3 6 5" xfId="28030"/>
    <cellStyle name="Normal 8 3 2 3 7" xfId="4865"/>
    <cellStyle name="Normal 8 3 2 3 7 2" xfId="13301"/>
    <cellStyle name="Normal 8 3 2 3 7 3" xfId="21742"/>
    <cellStyle name="Normal 8 3 2 3 7 4" xfId="30182"/>
    <cellStyle name="Normal 8 3 2 3 8" xfId="9083"/>
    <cellStyle name="Normal 8 3 2 3 9" xfId="17525"/>
    <cellStyle name="Normal 8 3 2 4" xfId="963"/>
    <cellStyle name="Normal 8 3 2 4 2" xfId="3197"/>
    <cellStyle name="Normal 8 3 2 4 2 2" xfId="7420"/>
    <cellStyle name="Normal 8 3 2 4 2 2 2" xfId="15856"/>
    <cellStyle name="Normal 8 3 2 4 2 2 3" xfId="24297"/>
    <cellStyle name="Normal 8 3 2 4 2 2 4" xfId="32737"/>
    <cellStyle name="Normal 8 3 2 4 2 3" xfId="11638"/>
    <cellStyle name="Normal 8 3 2 4 2 4" xfId="20080"/>
    <cellStyle name="Normal 8 3 2 4 2 5" xfId="28520"/>
    <cellStyle name="Normal 8 3 2 4 3" xfId="5275"/>
    <cellStyle name="Normal 8 3 2 4 3 2" xfId="13711"/>
    <cellStyle name="Normal 8 3 2 4 3 3" xfId="22152"/>
    <cellStyle name="Normal 8 3 2 4 3 4" xfId="30592"/>
    <cellStyle name="Normal 8 3 2 4 4" xfId="9493"/>
    <cellStyle name="Normal 8 3 2 4 5" xfId="17935"/>
    <cellStyle name="Normal 8 3 2 4 6" xfId="26375"/>
    <cellStyle name="Normal 8 3 2 5" xfId="1380"/>
    <cellStyle name="Normal 8 3 2 5 2" xfId="3610"/>
    <cellStyle name="Normal 8 3 2 5 2 2" xfId="7833"/>
    <cellStyle name="Normal 8 3 2 5 2 2 2" xfId="16269"/>
    <cellStyle name="Normal 8 3 2 5 2 2 3" xfId="24710"/>
    <cellStyle name="Normal 8 3 2 5 2 2 4" xfId="33150"/>
    <cellStyle name="Normal 8 3 2 5 2 3" xfId="12051"/>
    <cellStyle name="Normal 8 3 2 5 2 4" xfId="20493"/>
    <cellStyle name="Normal 8 3 2 5 2 5" xfId="28933"/>
    <cellStyle name="Normal 8 3 2 5 3" xfId="5688"/>
    <cellStyle name="Normal 8 3 2 5 3 2" xfId="14124"/>
    <cellStyle name="Normal 8 3 2 5 3 3" xfId="22565"/>
    <cellStyle name="Normal 8 3 2 5 3 4" xfId="31005"/>
    <cellStyle name="Normal 8 3 2 5 4" xfId="9906"/>
    <cellStyle name="Normal 8 3 2 5 5" xfId="18348"/>
    <cellStyle name="Normal 8 3 2 5 6" xfId="26788"/>
    <cellStyle name="Normal 8 3 2 6" xfId="1793"/>
    <cellStyle name="Normal 8 3 2 6 2" xfId="4023"/>
    <cellStyle name="Normal 8 3 2 6 2 2" xfId="8246"/>
    <cellStyle name="Normal 8 3 2 6 2 2 2" xfId="16682"/>
    <cellStyle name="Normal 8 3 2 6 2 2 3" xfId="25123"/>
    <cellStyle name="Normal 8 3 2 6 2 2 4" xfId="33563"/>
    <cellStyle name="Normal 8 3 2 6 2 3" xfId="12464"/>
    <cellStyle name="Normal 8 3 2 6 2 4" xfId="20906"/>
    <cellStyle name="Normal 8 3 2 6 2 5" xfId="29346"/>
    <cellStyle name="Normal 8 3 2 6 3" xfId="6101"/>
    <cellStyle name="Normal 8 3 2 6 3 2" xfId="14537"/>
    <cellStyle name="Normal 8 3 2 6 3 3" xfId="22978"/>
    <cellStyle name="Normal 8 3 2 6 3 4" xfId="31418"/>
    <cellStyle name="Normal 8 3 2 6 4" xfId="10319"/>
    <cellStyle name="Normal 8 3 2 6 5" xfId="18761"/>
    <cellStyle name="Normal 8 3 2 6 6" xfId="27201"/>
    <cellStyle name="Normal 8 3 2 7" xfId="2207"/>
    <cellStyle name="Normal 8 3 2 7 2" xfId="4436"/>
    <cellStyle name="Normal 8 3 2 7 2 2" xfId="8659"/>
    <cellStyle name="Normal 8 3 2 7 2 2 2" xfId="17095"/>
    <cellStyle name="Normal 8 3 2 7 2 2 3" xfId="25536"/>
    <cellStyle name="Normal 8 3 2 7 2 2 4" xfId="33976"/>
    <cellStyle name="Normal 8 3 2 7 2 3" xfId="12877"/>
    <cellStyle name="Normal 8 3 2 7 2 4" xfId="21319"/>
    <cellStyle name="Normal 8 3 2 7 2 5" xfId="29759"/>
    <cellStyle name="Normal 8 3 2 7 3" xfId="6514"/>
    <cellStyle name="Normal 8 3 2 7 3 2" xfId="14950"/>
    <cellStyle name="Normal 8 3 2 7 3 3" xfId="23391"/>
    <cellStyle name="Normal 8 3 2 7 3 4" xfId="31831"/>
    <cellStyle name="Normal 8 3 2 7 4" xfId="10732"/>
    <cellStyle name="Normal 8 3 2 7 5" xfId="19174"/>
    <cellStyle name="Normal 8 3 2 7 6" xfId="27614"/>
    <cellStyle name="Normal 8 3 2 8" xfId="2643"/>
    <cellStyle name="Normal 8 3 2 8 2" xfId="6927"/>
    <cellStyle name="Normal 8 3 2 8 2 2" xfId="15363"/>
    <cellStyle name="Normal 8 3 2 8 2 3" xfId="23804"/>
    <cellStyle name="Normal 8 3 2 8 2 4" xfId="32244"/>
    <cellStyle name="Normal 8 3 2 8 3" xfId="11145"/>
    <cellStyle name="Normal 8 3 2 8 4" xfId="19587"/>
    <cellStyle name="Normal 8 3 2 8 5" xfId="28027"/>
    <cellStyle name="Normal 8 3 2 9" xfId="4862"/>
    <cellStyle name="Normal 8 3 2 9 2" xfId="13298"/>
    <cellStyle name="Normal 8 3 2 9 3" xfId="21739"/>
    <cellStyle name="Normal 8 3 2 9 4" xfId="30179"/>
    <cellStyle name="Normal 8 3 3" xfId="500"/>
    <cellStyle name="Normal 8 3 3 10" xfId="17526"/>
    <cellStyle name="Normal 8 3 3 11" xfId="25966"/>
    <cellStyle name="Normal 8 3 3 2" xfId="501"/>
    <cellStyle name="Normal 8 3 3 2 10" xfId="25967"/>
    <cellStyle name="Normal 8 3 3 2 2" xfId="968"/>
    <cellStyle name="Normal 8 3 3 2 2 2" xfId="3202"/>
    <cellStyle name="Normal 8 3 3 2 2 2 2" xfId="7425"/>
    <cellStyle name="Normal 8 3 3 2 2 2 2 2" xfId="15861"/>
    <cellStyle name="Normal 8 3 3 2 2 2 2 3" xfId="24302"/>
    <cellStyle name="Normal 8 3 3 2 2 2 2 4" xfId="32742"/>
    <cellStyle name="Normal 8 3 3 2 2 2 3" xfId="11643"/>
    <cellStyle name="Normal 8 3 3 2 2 2 4" xfId="20085"/>
    <cellStyle name="Normal 8 3 3 2 2 2 5" xfId="28525"/>
    <cellStyle name="Normal 8 3 3 2 2 3" xfId="5280"/>
    <cellStyle name="Normal 8 3 3 2 2 3 2" xfId="13716"/>
    <cellStyle name="Normal 8 3 3 2 2 3 3" xfId="22157"/>
    <cellStyle name="Normal 8 3 3 2 2 3 4" xfId="30597"/>
    <cellStyle name="Normal 8 3 3 2 2 4" xfId="9498"/>
    <cellStyle name="Normal 8 3 3 2 2 5" xfId="17940"/>
    <cellStyle name="Normal 8 3 3 2 2 6" xfId="26380"/>
    <cellStyle name="Normal 8 3 3 2 3" xfId="1385"/>
    <cellStyle name="Normal 8 3 3 2 3 2" xfId="3615"/>
    <cellStyle name="Normal 8 3 3 2 3 2 2" xfId="7838"/>
    <cellStyle name="Normal 8 3 3 2 3 2 2 2" xfId="16274"/>
    <cellStyle name="Normal 8 3 3 2 3 2 2 3" xfId="24715"/>
    <cellStyle name="Normal 8 3 3 2 3 2 2 4" xfId="33155"/>
    <cellStyle name="Normal 8 3 3 2 3 2 3" xfId="12056"/>
    <cellStyle name="Normal 8 3 3 2 3 2 4" xfId="20498"/>
    <cellStyle name="Normal 8 3 3 2 3 2 5" xfId="28938"/>
    <cellStyle name="Normal 8 3 3 2 3 3" xfId="5693"/>
    <cellStyle name="Normal 8 3 3 2 3 3 2" xfId="14129"/>
    <cellStyle name="Normal 8 3 3 2 3 3 3" xfId="22570"/>
    <cellStyle name="Normal 8 3 3 2 3 3 4" xfId="31010"/>
    <cellStyle name="Normal 8 3 3 2 3 4" xfId="9911"/>
    <cellStyle name="Normal 8 3 3 2 3 5" xfId="18353"/>
    <cellStyle name="Normal 8 3 3 2 3 6" xfId="26793"/>
    <cellStyle name="Normal 8 3 3 2 4" xfId="1798"/>
    <cellStyle name="Normal 8 3 3 2 4 2" xfId="4028"/>
    <cellStyle name="Normal 8 3 3 2 4 2 2" xfId="8251"/>
    <cellStyle name="Normal 8 3 3 2 4 2 2 2" xfId="16687"/>
    <cellStyle name="Normal 8 3 3 2 4 2 2 3" xfId="25128"/>
    <cellStyle name="Normal 8 3 3 2 4 2 2 4" xfId="33568"/>
    <cellStyle name="Normal 8 3 3 2 4 2 3" xfId="12469"/>
    <cellStyle name="Normal 8 3 3 2 4 2 4" xfId="20911"/>
    <cellStyle name="Normal 8 3 3 2 4 2 5" xfId="29351"/>
    <cellStyle name="Normal 8 3 3 2 4 3" xfId="6106"/>
    <cellStyle name="Normal 8 3 3 2 4 3 2" xfId="14542"/>
    <cellStyle name="Normal 8 3 3 2 4 3 3" xfId="22983"/>
    <cellStyle name="Normal 8 3 3 2 4 3 4" xfId="31423"/>
    <cellStyle name="Normal 8 3 3 2 4 4" xfId="10324"/>
    <cellStyle name="Normal 8 3 3 2 4 5" xfId="18766"/>
    <cellStyle name="Normal 8 3 3 2 4 6" xfId="27206"/>
    <cellStyle name="Normal 8 3 3 2 5" xfId="2212"/>
    <cellStyle name="Normal 8 3 3 2 5 2" xfId="4441"/>
    <cellStyle name="Normal 8 3 3 2 5 2 2" xfId="8664"/>
    <cellStyle name="Normal 8 3 3 2 5 2 2 2" xfId="17100"/>
    <cellStyle name="Normal 8 3 3 2 5 2 2 3" xfId="25541"/>
    <cellStyle name="Normal 8 3 3 2 5 2 2 4" xfId="33981"/>
    <cellStyle name="Normal 8 3 3 2 5 2 3" xfId="12882"/>
    <cellStyle name="Normal 8 3 3 2 5 2 4" xfId="21324"/>
    <cellStyle name="Normal 8 3 3 2 5 2 5" xfId="29764"/>
    <cellStyle name="Normal 8 3 3 2 5 3" xfId="6519"/>
    <cellStyle name="Normal 8 3 3 2 5 3 2" xfId="14955"/>
    <cellStyle name="Normal 8 3 3 2 5 3 3" xfId="23396"/>
    <cellStyle name="Normal 8 3 3 2 5 3 4" xfId="31836"/>
    <cellStyle name="Normal 8 3 3 2 5 4" xfId="10737"/>
    <cellStyle name="Normal 8 3 3 2 5 5" xfId="19179"/>
    <cellStyle name="Normal 8 3 3 2 5 6" xfId="27619"/>
    <cellStyle name="Normal 8 3 3 2 6" xfId="2648"/>
    <cellStyle name="Normal 8 3 3 2 6 2" xfId="6932"/>
    <cellStyle name="Normal 8 3 3 2 6 2 2" xfId="15368"/>
    <cellStyle name="Normal 8 3 3 2 6 2 3" xfId="23809"/>
    <cellStyle name="Normal 8 3 3 2 6 2 4" xfId="32249"/>
    <cellStyle name="Normal 8 3 3 2 6 3" xfId="11150"/>
    <cellStyle name="Normal 8 3 3 2 6 4" xfId="19592"/>
    <cellStyle name="Normal 8 3 3 2 6 5" xfId="28032"/>
    <cellStyle name="Normal 8 3 3 2 7" xfId="4867"/>
    <cellStyle name="Normal 8 3 3 2 7 2" xfId="13303"/>
    <cellStyle name="Normal 8 3 3 2 7 3" xfId="21744"/>
    <cellStyle name="Normal 8 3 3 2 7 4" xfId="30184"/>
    <cellStyle name="Normal 8 3 3 2 8" xfId="9085"/>
    <cellStyle name="Normal 8 3 3 2 9" xfId="17527"/>
    <cellStyle name="Normal 8 3 3 3" xfId="967"/>
    <cellStyle name="Normal 8 3 3 3 2" xfId="3201"/>
    <cellStyle name="Normal 8 3 3 3 2 2" xfId="7424"/>
    <cellStyle name="Normal 8 3 3 3 2 2 2" xfId="15860"/>
    <cellStyle name="Normal 8 3 3 3 2 2 3" xfId="24301"/>
    <cellStyle name="Normal 8 3 3 3 2 2 4" xfId="32741"/>
    <cellStyle name="Normal 8 3 3 3 2 3" xfId="11642"/>
    <cellStyle name="Normal 8 3 3 3 2 4" xfId="20084"/>
    <cellStyle name="Normal 8 3 3 3 2 5" xfId="28524"/>
    <cellStyle name="Normal 8 3 3 3 3" xfId="5279"/>
    <cellStyle name="Normal 8 3 3 3 3 2" xfId="13715"/>
    <cellStyle name="Normal 8 3 3 3 3 3" xfId="22156"/>
    <cellStyle name="Normal 8 3 3 3 3 4" xfId="30596"/>
    <cellStyle name="Normal 8 3 3 3 4" xfId="9497"/>
    <cellStyle name="Normal 8 3 3 3 5" xfId="17939"/>
    <cellStyle name="Normal 8 3 3 3 6" xfId="26379"/>
    <cellStyle name="Normal 8 3 3 4" xfId="1384"/>
    <cellStyle name="Normal 8 3 3 4 2" xfId="3614"/>
    <cellStyle name="Normal 8 3 3 4 2 2" xfId="7837"/>
    <cellStyle name="Normal 8 3 3 4 2 2 2" xfId="16273"/>
    <cellStyle name="Normal 8 3 3 4 2 2 3" xfId="24714"/>
    <cellStyle name="Normal 8 3 3 4 2 2 4" xfId="33154"/>
    <cellStyle name="Normal 8 3 3 4 2 3" xfId="12055"/>
    <cellStyle name="Normal 8 3 3 4 2 4" xfId="20497"/>
    <cellStyle name="Normal 8 3 3 4 2 5" xfId="28937"/>
    <cellStyle name="Normal 8 3 3 4 3" xfId="5692"/>
    <cellStyle name="Normal 8 3 3 4 3 2" xfId="14128"/>
    <cellStyle name="Normal 8 3 3 4 3 3" xfId="22569"/>
    <cellStyle name="Normal 8 3 3 4 3 4" xfId="31009"/>
    <cellStyle name="Normal 8 3 3 4 4" xfId="9910"/>
    <cellStyle name="Normal 8 3 3 4 5" xfId="18352"/>
    <cellStyle name="Normal 8 3 3 4 6" xfId="26792"/>
    <cellStyle name="Normal 8 3 3 5" xfId="1797"/>
    <cellStyle name="Normal 8 3 3 5 2" xfId="4027"/>
    <cellStyle name="Normal 8 3 3 5 2 2" xfId="8250"/>
    <cellStyle name="Normal 8 3 3 5 2 2 2" xfId="16686"/>
    <cellStyle name="Normal 8 3 3 5 2 2 3" xfId="25127"/>
    <cellStyle name="Normal 8 3 3 5 2 2 4" xfId="33567"/>
    <cellStyle name="Normal 8 3 3 5 2 3" xfId="12468"/>
    <cellStyle name="Normal 8 3 3 5 2 4" xfId="20910"/>
    <cellStyle name="Normal 8 3 3 5 2 5" xfId="29350"/>
    <cellStyle name="Normal 8 3 3 5 3" xfId="6105"/>
    <cellStyle name="Normal 8 3 3 5 3 2" xfId="14541"/>
    <cellStyle name="Normal 8 3 3 5 3 3" xfId="22982"/>
    <cellStyle name="Normal 8 3 3 5 3 4" xfId="31422"/>
    <cellStyle name="Normal 8 3 3 5 4" xfId="10323"/>
    <cellStyle name="Normal 8 3 3 5 5" xfId="18765"/>
    <cellStyle name="Normal 8 3 3 5 6" xfId="27205"/>
    <cellStyle name="Normal 8 3 3 6" xfId="2211"/>
    <cellStyle name="Normal 8 3 3 6 2" xfId="4440"/>
    <cellStyle name="Normal 8 3 3 6 2 2" xfId="8663"/>
    <cellStyle name="Normal 8 3 3 6 2 2 2" xfId="17099"/>
    <cellStyle name="Normal 8 3 3 6 2 2 3" xfId="25540"/>
    <cellStyle name="Normal 8 3 3 6 2 2 4" xfId="33980"/>
    <cellStyle name="Normal 8 3 3 6 2 3" xfId="12881"/>
    <cellStyle name="Normal 8 3 3 6 2 4" xfId="21323"/>
    <cellStyle name="Normal 8 3 3 6 2 5" xfId="29763"/>
    <cellStyle name="Normal 8 3 3 6 3" xfId="6518"/>
    <cellStyle name="Normal 8 3 3 6 3 2" xfId="14954"/>
    <cellStyle name="Normal 8 3 3 6 3 3" xfId="23395"/>
    <cellStyle name="Normal 8 3 3 6 3 4" xfId="31835"/>
    <cellStyle name="Normal 8 3 3 6 4" xfId="10736"/>
    <cellStyle name="Normal 8 3 3 6 5" xfId="19178"/>
    <cellStyle name="Normal 8 3 3 6 6" xfId="27618"/>
    <cellStyle name="Normal 8 3 3 7" xfId="2647"/>
    <cellStyle name="Normal 8 3 3 7 2" xfId="6931"/>
    <cellStyle name="Normal 8 3 3 7 2 2" xfId="15367"/>
    <cellStyle name="Normal 8 3 3 7 2 3" xfId="23808"/>
    <cellStyle name="Normal 8 3 3 7 2 4" xfId="32248"/>
    <cellStyle name="Normal 8 3 3 7 3" xfId="11149"/>
    <cellStyle name="Normal 8 3 3 7 4" xfId="19591"/>
    <cellStyle name="Normal 8 3 3 7 5" xfId="28031"/>
    <cellStyle name="Normal 8 3 3 8" xfId="4866"/>
    <cellStyle name="Normal 8 3 3 8 2" xfId="13302"/>
    <cellStyle name="Normal 8 3 3 8 3" xfId="21743"/>
    <cellStyle name="Normal 8 3 3 8 4" xfId="30183"/>
    <cellStyle name="Normal 8 3 3 9" xfId="9084"/>
    <cellStyle name="Normal 8 3 4" xfId="502"/>
    <cellStyle name="Normal 8 3 4 10" xfId="25968"/>
    <cellStyle name="Normal 8 3 4 2" xfId="969"/>
    <cellStyle name="Normal 8 3 4 2 2" xfId="3203"/>
    <cellStyle name="Normal 8 3 4 2 2 2" xfId="7426"/>
    <cellStyle name="Normal 8 3 4 2 2 2 2" xfId="15862"/>
    <cellStyle name="Normal 8 3 4 2 2 2 3" xfId="24303"/>
    <cellStyle name="Normal 8 3 4 2 2 2 4" xfId="32743"/>
    <cellStyle name="Normal 8 3 4 2 2 3" xfId="11644"/>
    <cellStyle name="Normal 8 3 4 2 2 4" xfId="20086"/>
    <cellStyle name="Normal 8 3 4 2 2 5" xfId="28526"/>
    <cellStyle name="Normal 8 3 4 2 3" xfId="5281"/>
    <cellStyle name="Normal 8 3 4 2 3 2" xfId="13717"/>
    <cellStyle name="Normal 8 3 4 2 3 3" xfId="22158"/>
    <cellStyle name="Normal 8 3 4 2 3 4" xfId="30598"/>
    <cellStyle name="Normal 8 3 4 2 4" xfId="9499"/>
    <cellStyle name="Normal 8 3 4 2 5" xfId="17941"/>
    <cellStyle name="Normal 8 3 4 2 6" xfId="26381"/>
    <cellStyle name="Normal 8 3 4 3" xfId="1386"/>
    <cellStyle name="Normal 8 3 4 3 2" xfId="3616"/>
    <cellStyle name="Normal 8 3 4 3 2 2" xfId="7839"/>
    <cellStyle name="Normal 8 3 4 3 2 2 2" xfId="16275"/>
    <cellStyle name="Normal 8 3 4 3 2 2 3" xfId="24716"/>
    <cellStyle name="Normal 8 3 4 3 2 2 4" xfId="33156"/>
    <cellStyle name="Normal 8 3 4 3 2 3" xfId="12057"/>
    <cellStyle name="Normal 8 3 4 3 2 4" xfId="20499"/>
    <cellStyle name="Normal 8 3 4 3 2 5" xfId="28939"/>
    <cellStyle name="Normal 8 3 4 3 3" xfId="5694"/>
    <cellStyle name="Normal 8 3 4 3 3 2" xfId="14130"/>
    <cellStyle name="Normal 8 3 4 3 3 3" xfId="22571"/>
    <cellStyle name="Normal 8 3 4 3 3 4" xfId="31011"/>
    <cellStyle name="Normal 8 3 4 3 4" xfId="9912"/>
    <cellStyle name="Normal 8 3 4 3 5" xfId="18354"/>
    <cellStyle name="Normal 8 3 4 3 6" xfId="26794"/>
    <cellStyle name="Normal 8 3 4 4" xfId="1799"/>
    <cellStyle name="Normal 8 3 4 4 2" xfId="4029"/>
    <cellStyle name="Normal 8 3 4 4 2 2" xfId="8252"/>
    <cellStyle name="Normal 8 3 4 4 2 2 2" xfId="16688"/>
    <cellStyle name="Normal 8 3 4 4 2 2 3" xfId="25129"/>
    <cellStyle name="Normal 8 3 4 4 2 2 4" xfId="33569"/>
    <cellStyle name="Normal 8 3 4 4 2 3" xfId="12470"/>
    <cellStyle name="Normal 8 3 4 4 2 4" xfId="20912"/>
    <cellStyle name="Normal 8 3 4 4 2 5" xfId="29352"/>
    <cellStyle name="Normal 8 3 4 4 3" xfId="6107"/>
    <cellStyle name="Normal 8 3 4 4 3 2" xfId="14543"/>
    <cellStyle name="Normal 8 3 4 4 3 3" xfId="22984"/>
    <cellStyle name="Normal 8 3 4 4 3 4" xfId="31424"/>
    <cellStyle name="Normal 8 3 4 4 4" xfId="10325"/>
    <cellStyle name="Normal 8 3 4 4 5" xfId="18767"/>
    <cellStyle name="Normal 8 3 4 4 6" xfId="27207"/>
    <cellStyle name="Normal 8 3 4 5" xfId="2213"/>
    <cellStyle name="Normal 8 3 4 5 2" xfId="4442"/>
    <cellStyle name="Normal 8 3 4 5 2 2" xfId="8665"/>
    <cellStyle name="Normal 8 3 4 5 2 2 2" xfId="17101"/>
    <cellStyle name="Normal 8 3 4 5 2 2 3" xfId="25542"/>
    <cellStyle name="Normal 8 3 4 5 2 2 4" xfId="33982"/>
    <cellStyle name="Normal 8 3 4 5 2 3" xfId="12883"/>
    <cellStyle name="Normal 8 3 4 5 2 4" xfId="21325"/>
    <cellStyle name="Normal 8 3 4 5 2 5" xfId="29765"/>
    <cellStyle name="Normal 8 3 4 5 3" xfId="6520"/>
    <cellStyle name="Normal 8 3 4 5 3 2" xfId="14956"/>
    <cellStyle name="Normal 8 3 4 5 3 3" xfId="23397"/>
    <cellStyle name="Normal 8 3 4 5 3 4" xfId="31837"/>
    <cellStyle name="Normal 8 3 4 5 4" xfId="10738"/>
    <cellStyle name="Normal 8 3 4 5 5" xfId="19180"/>
    <cellStyle name="Normal 8 3 4 5 6" xfId="27620"/>
    <cellStyle name="Normal 8 3 4 6" xfId="2649"/>
    <cellStyle name="Normal 8 3 4 6 2" xfId="6933"/>
    <cellStyle name="Normal 8 3 4 6 2 2" xfId="15369"/>
    <cellStyle name="Normal 8 3 4 6 2 3" xfId="23810"/>
    <cellStyle name="Normal 8 3 4 6 2 4" xfId="32250"/>
    <cellStyle name="Normal 8 3 4 6 3" xfId="11151"/>
    <cellStyle name="Normal 8 3 4 6 4" xfId="19593"/>
    <cellStyle name="Normal 8 3 4 6 5" xfId="28033"/>
    <cellStyle name="Normal 8 3 4 7" xfId="4868"/>
    <cellStyle name="Normal 8 3 4 7 2" xfId="13304"/>
    <cellStyle name="Normal 8 3 4 7 3" xfId="21745"/>
    <cellStyle name="Normal 8 3 4 7 4" xfId="30185"/>
    <cellStyle name="Normal 8 3 4 8" xfId="9086"/>
    <cellStyle name="Normal 8 3 4 9" xfId="17528"/>
    <cellStyle name="Normal 8 3 5" xfId="962"/>
    <cellStyle name="Normal 8 3 5 2" xfId="3196"/>
    <cellStyle name="Normal 8 3 5 2 2" xfId="7419"/>
    <cellStyle name="Normal 8 3 5 2 2 2" xfId="15855"/>
    <cellStyle name="Normal 8 3 5 2 2 3" xfId="24296"/>
    <cellStyle name="Normal 8 3 5 2 2 4" xfId="32736"/>
    <cellStyle name="Normal 8 3 5 2 3" xfId="11637"/>
    <cellStyle name="Normal 8 3 5 2 4" xfId="20079"/>
    <cellStyle name="Normal 8 3 5 2 5" xfId="28519"/>
    <cellStyle name="Normal 8 3 5 3" xfId="5274"/>
    <cellStyle name="Normal 8 3 5 3 2" xfId="13710"/>
    <cellStyle name="Normal 8 3 5 3 3" xfId="22151"/>
    <cellStyle name="Normal 8 3 5 3 4" xfId="30591"/>
    <cellStyle name="Normal 8 3 5 4" xfId="9492"/>
    <cellStyle name="Normal 8 3 5 5" xfId="17934"/>
    <cellStyle name="Normal 8 3 5 6" xfId="26374"/>
    <cellStyle name="Normal 8 3 6" xfId="1379"/>
    <cellStyle name="Normal 8 3 6 2" xfId="3609"/>
    <cellStyle name="Normal 8 3 6 2 2" xfId="7832"/>
    <cellStyle name="Normal 8 3 6 2 2 2" xfId="16268"/>
    <cellStyle name="Normal 8 3 6 2 2 3" xfId="24709"/>
    <cellStyle name="Normal 8 3 6 2 2 4" xfId="33149"/>
    <cellStyle name="Normal 8 3 6 2 3" xfId="12050"/>
    <cellStyle name="Normal 8 3 6 2 4" xfId="20492"/>
    <cellStyle name="Normal 8 3 6 2 5" xfId="28932"/>
    <cellStyle name="Normal 8 3 6 3" xfId="5687"/>
    <cellStyle name="Normal 8 3 6 3 2" xfId="14123"/>
    <cellStyle name="Normal 8 3 6 3 3" xfId="22564"/>
    <cellStyle name="Normal 8 3 6 3 4" xfId="31004"/>
    <cellStyle name="Normal 8 3 6 4" xfId="9905"/>
    <cellStyle name="Normal 8 3 6 5" xfId="18347"/>
    <cellStyle name="Normal 8 3 6 6" xfId="26787"/>
    <cellStyle name="Normal 8 3 7" xfId="1792"/>
    <cellStyle name="Normal 8 3 7 2" xfId="4022"/>
    <cellStyle name="Normal 8 3 7 2 2" xfId="8245"/>
    <cellStyle name="Normal 8 3 7 2 2 2" xfId="16681"/>
    <cellStyle name="Normal 8 3 7 2 2 3" xfId="25122"/>
    <cellStyle name="Normal 8 3 7 2 2 4" xfId="33562"/>
    <cellStyle name="Normal 8 3 7 2 3" xfId="12463"/>
    <cellStyle name="Normal 8 3 7 2 4" xfId="20905"/>
    <cellStyle name="Normal 8 3 7 2 5" xfId="29345"/>
    <cellStyle name="Normal 8 3 7 3" xfId="6100"/>
    <cellStyle name="Normal 8 3 7 3 2" xfId="14536"/>
    <cellStyle name="Normal 8 3 7 3 3" xfId="22977"/>
    <cellStyle name="Normal 8 3 7 3 4" xfId="31417"/>
    <cellStyle name="Normal 8 3 7 4" xfId="10318"/>
    <cellStyle name="Normal 8 3 7 5" xfId="18760"/>
    <cellStyle name="Normal 8 3 7 6" xfId="27200"/>
    <cellStyle name="Normal 8 3 8" xfId="2206"/>
    <cellStyle name="Normal 8 3 8 2" xfId="4435"/>
    <cellStyle name="Normal 8 3 8 2 2" xfId="8658"/>
    <cellStyle name="Normal 8 3 8 2 2 2" xfId="17094"/>
    <cellStyle name="Normal 8 3 8 2 2 3" xfId="25535"/>
    <cellStyle name="Normal 8 3 8 2 2 4" xfId="33975"/>
    <cellStyle name="Normal 8 3 8 2 3" xfId="12876"/>
    <cellStyle name="Normal 8 3 8 2 4" xfId="21318"/>
    <cellStyle name="Normal 8 3 8 2 5" xfId="29758"/>
    <cellStyle name="Normal 8 3 8 3" xfId="6513"/>
    <cellStyle name="Normal 8 3 8 3 2" xfId="14949"/>
    <cellStyle name="Normal 8 3 8 3 3" xfId="23390"/>
    <cellStyle name="Normal 8 3 8 3 4" xfId="31830"/>
    <cellStyle name="Normal 8 3 8 4" xfId="10731"/>
    <cellStyle name="Normal 8 3 8 5" xfId="19173"/>
    <cellStyle name="Normal 8 3 8 6" xfId="27613"/>
    <cellStyle name="Normal 8 3 9" xfId="2642"/>
    <cellStyle name="Normal 8 3 9 2" xfId="6926"/>
    <cellStyle name="Normal 8 3 9 2 2" xfId="15362"/>
    <cellStyle name="Normal 8 3 9 2 3" xfId="23803"/>
    <cellStyle name="Normal 8 3 9 2 4" xfId="32243"/>
    <cellStyle name="Normal 8 3 9 3" xfId="11144"/>
    <cellStyle name="Normal 8 3 9 4" xfId="19586"/>
    <cellStyle name="Normal 8 3 9 5" xfId="28026"/>
    <cellStyle name="Normal 8 4" xfId="503"/>
    <cellStyle name="Normal 8 4 10" xfId="9087"/>
    <cellStyle name="Normal 8 4 11" xfId="17529"/>
    <cellStyle name="Normal 8 4 12" xfId="25969"/>
    <cellStyle name="Normal 8 4 2" xfId="504"/>
    <cellStyle name="Normal 8 4 2 10" xfId="17530"/>
    <cellStyle name="Normal 8 4 2 11" xfId="25970"/>
    <cellStyle name="Normal 8 4 2 2" xfId="505"/>
    <cellStyle name="Normal 8 4 2 2 10" xfId="25971"/>
    <cellStyle name="Normal 8 4 2 2 2" xfId="972"/>
    <cellStyle name="Normal 8 4 2 2 2 2" xfId="3206"/>
    <cellStyle name="Normal 8 4 2 2 2 2 2" xfId="7429"/>
    <cellStyle name="Normal 8 4 2 2 2 2 2 2" xfId="15865"/>
    <cellStyle name="Normal 8 4 2 2 2 2 2 3" xfId="24306"/>
    <cellStyle name="Normal 8 4 2 2 2 2 2 4" xfId="32746"/>
    <cellStyle name="Normal 8 4 2 2 2 2 3" xfId="11647"/>
    <cellStyle name="Normal 8 4 2 2 2 2 4" xfId="20089"/>
    <cellStyle name="Normal 8 4 2 2 2 2 5" xfId="28529"/>
    <cellStyle name="Normal 8 4 2 2 2 3" xfId="5284"/>
    <cellStyle name="Normal 8 4 2 2 2 3 2" xfId="13720"/>
    <cellStyle name="Normal 8 4 2 2 2 3 3" xfId="22161"/>
    <cellStyle name="Normal 8 4 2 2 2 3 4" xfId="30601"/>
    <cellStyle name="Normal 8 4 2 2 2 4" xfId="9502"/>
    <cellStyle name="Normal 8 4 2 2 2 5" xfId="17944"/>
    <cellStyle name="Normal 8 4 2 2 2 6" xfId="26384"/>
    <cellStyle name="Normal 8 4 2 2 3" xfId="1389"/>
    <cellStyle name="Normal 8 4 2 2 3 2" xfId="3619"/>
    <cellStyle name="Normal 8 4 2 2 3 2 2" xfId="7842"/>
    <cellStyle name="Normal 8 4 2 2 3 2 2 2" xfId="16278"/>
    <cellStyle name="Normal 8 4 2 2 3 2 2 3" xfId="24719"/>
    <cellStyle name="Normal 8 4 2 2 3 2 2 4" xfId="33159"/>
    <cellStyle name="Normal 8 4 2 2 3 2 3" xfId="12060"/>
    <cellStyle name="Normal 8 4 2 2 3 2 4" xfId="20502"/>
    <cellStyle name="Normal 8 4 2 2 3 2 5" xfId="28942"/>
    <cellStyle name="Normal 8 4 2 2 3 3" xfId="5697"/>
    <cellStyle name="Normal 8 4 2 2 3 3 2" xfId="14133"/>
    <cellStyle name="Normal 8 4 2 2 3 3 3" xfId="22574"/>
    <cellStyle name="Normal 8 4 2 2 3 3 4" xfId="31014"/>
    <cellStyle name="Normal 8 4 2 2 3 4" xfId="9915"/>
    <cellStyle name="Normal 8 4 2 2 3 5" xfId="18357"/>
    <cellStyle name="Normal 8 4 2 2 3 6" xfId="26797"/>
    <cellStyle name="Normal 8 4 2 2 4" xfId="1802"/>
    <cellStyle name="Normal 8 4 2 2 4 2" xfId="4032"/>
    <cellStyle name="Normal 8 4 2 2 4 2 2" xfId="8255"/>
    <cellStyle name="Normal 8 4 2 2 4 2 2 2" xfId="16691"/>
    <cellStyle name="Normal 8 4 2 2 4 2 2 3" xfId="25132"/>
    <cellStyle name="Normal 8 4 2 2 4 2 2 4" xfId="33572"/>
    <cellStyle name="Normal 8 4 2 2 4 2 3" xfId="12473"/>
    <cellStyle name="Normal 8 4 2 2 4 2 4" xfId="20915"/>
    <cellStyle name="Normal 8 4 2 2 4 2 5" xfId="29355"/>
    <cellStyle name="Normal 8 4 2 2 4 3" xfId="6110"/>
    <cellStyle name="Normal 8 4 2 2 4 3 2" xfId="14546"/>
    <cellStyle name="Normal 8 4 2 2 4 3 3" xfId="22987"/>
    <cellStyle name="Normal 8 4 2 2 4 3 4" xfId="31427"/>
    <cellStyle name="Normal 8 4 2 2 4 4" xfId="10328"/>
    <cellStyle name="Normal 8 4 2 2 4 5" xfId="18770"/>
    <cellStyle name="Normal 8 4 2 2 4 6" xfId="27210"/>
    <cellStyle name="Normal 8 4 2 2 5" xfId="2216"/>
    <cellStyle name="Normal 8 4 2 2 5 2" xfId="4445"/>
    <cellStyle name="Normal 8 4 2 2 5 2 2" xfId="8668"/>
    <cellStyle name="Normal 8 4 2 2 5 2 2 2" xfId="17104"/>
    <cellStyle name="Normal 8 4 2 2 5 2 2 3" xfId="25545"/>
    <cellStyle name="Normal 8 4 2 2 5 2 2 4" xfId="33985"/>
    <cellStyle name="Normal 8 4 2 2 5 2 3" xfId="12886"/>
    <cellStyle name="Normal 8 4 2 2 5 2 4" xfId="21328"/>
    <cellStyle name="Normal 8 4 2 2 5 2 5" xfId="29768"/>
    <cellStyle name="Normal 8 4 2 2 5 3" xfId="6523"/>
    <cellStyle name="Normal 8 4 2 2 5 3 2" xfId="14959"/>
    <cellStyle name="Normal 8 4 2 2 5 3 3" xfId="23400"/>
    <cellStyle name="Normal 8 4 2 2 5 3 4" xfId="31840"/>
    <cellStyle name="Normal 8 4 2 2 5 4" xfId="10741"/>
    <cellStyle name="Normal 8 4 2 2 5 5" xfId="19183"/>
    <cellStyle name="Normal 8 4 2 2 5 6" xfId="27623"/>
    <cellStyle name="Normal 8 4 2 2 6" xfId="2652"/>
    <cellStyle name="Normal 8 4 2 2 6 2" xfId="6936"/>
    <cellStyle name="Normal 8 4 2 2 6 2 2" xfId="15372"/>
    <cellStyle name="Normal 8 4 2 2 6 2 3" xfId="23813"/>
    <cellStyle name="Normal 8 4 2 2 6 2 4" xfId="32253"/>
    <cellStyle name="Normal 8 4 2 2 6 3" xfId="11154"/>
    <cellStyle name="Normal 8 4 2 2 6 4" xfId="19596"/>
    <cellStyle name="Normal 8 4 2 2 6 5" xfId="28036"/>
    <cellStyle name="Normal 8 4 2 2 7" xfId="4871"/>
    <cellStyle name="Normal 8 4 2 2 7 2" xfId="13307"/>
    <cellStyle name="Normal 8 4 2 2 7 3" xfId="21748"/>
    <cellStyle name="Normal 8 4 2 2 7 4" xfId="30188"/>
    <cellStyle name="Normal 8 4 2 2 8" xfId="9089"/>
    <cellStyle name="Normal 8 4 2 2 9" xfId="17531"/>
    <cellStyle name="Normal 8 4 2 3" xfId="971"/>
    <cellStyle name="Normal 8 4 2 3 2" xfId="3205"/>
    <cellStyle name="Normal 8 4 2 3 2 2" xfId="7428"/>
    <cellStyle name="Normal 8 4 2 3 2 2 2" xfId="15864"/>
    <cellStyle name="Normal 8 4 2 3 2 2 3" xfId="24305"/>
    <cellStyle name="Normal 8 4 2 3 2 2 4" xfId="32745"/>
    <cellStyle name="Normal 8 4 2 3 2 3" xfId="11646"/>
    <cellStyle name="Normal 8 4 2 3 2 4" xfId="20088"/>
    <cellStyle name="Normal 8 4 2 3 2 5" xfId="28528"/>
    <cellStyle name="Normal 8 4 2 3 3" xfId="5283"/>
    <cellStyle name="Normal 8 4 2 3 3 2" xfId="13719"/>
    <cellStyle name="Normal 8 4 2 3 3 3" xfId="22160"/>
    <cellStyle name="Normal 8 4 2 3 3 4" xfId="30600"/>
    <cellStyle name="Normal 8 4 2 3 4" xfId="9501"/>
    <cellStyle name="Normal 8 4 2 3 5" xfId="17943"/>
    <cellStyle name="Normal 8 4 2 3 6" xfId="26383"/>
    <cellStyle name="Normal 8 4 2 4" xfId="1388"/>
    <cellStyle name="Normal 8 4 2 4 2" xfId="3618"/>
    <cellStyle name="Normal 8 4 2 4 2 2" xfId="7841"/>
    <cellStyle name="Normal 8 4 2 4 2 2 2" xfId="16277"/>
    <cellStyle name="Normal 8 4 2 4 2 2 3" xfId="24718"/>
    <cellStyle name="Normal 8 4 2 4 2 2 4" xfId="33158"/>
    <cellStyle name="Normal 8 4 2 4 2 3" xfId="12059"/>
    <cellStyle name="Normal 8 4 2 4 2 4" xfId="20501"/>
    <cellStyle name="Normal 8 4 2 4 2 5" xfId="28941"/>
    <cellStyle name="Normal 8 4 2 4 3" xfId="5696"/>
    <cellStyle name="Normal 8 4 2 4 3 2" xfId="14132"/>
    <cellStyle name="Normal 8 4 2 4 3 3" xfId="22573"/>
    <cellStyle name="Normal 8 4 2 4 3 4" xfId="31013"/>
    <cellStyle name="Normal 8 4 2 4 4" xfId="9914"/>
    <cellStyle name="Normal 8 4 2 4 5" xfId="18356"/>
    <cellStyle name="Normal 8 4 2 4 6" xfId="26796"/>
    <cellStyle name="Normal 8 4 2 5" xfId="1801"/>
    <cellStyle name="Normal 8 4 2 5 2" xfId="4031"/>
    <cellStyle name="Normal 8 4 2 5 2 2" xfId="8254"/>
    <cellStyle name="Normal 8 4 2 5 2 2 2" xfId="16690"/>
    <cellStyle name="Normal 8 4 2 5 2 2 3" xfId="25131"/>
    <cellStyle name="Normal 8 4 2 5 2 2 4" xfId="33571"/>
    <cellStyle name="Normal 8 4 2 5 2 3" xfId="12472"/>
    <cellStyle name="Normal 8 4 2 5 2 4" xfId="20914"/>
    <cellStyle name="Normal 8 4 2 5 2 5" xfId="29354"/>
    <cellStyle name="Normal 8 4 2 5 3" xfId="6109"/>
    <cellStyle name="Normal 8 4 2 5 3 2" xfId="14545"/>
    <cellStyle name="Normal 8 4 2 5 3 3" xfId="22986"/>
    <cellStyle name="Normal 8 4 2 5 3 4" xfId="31426"/>
    <cellStyle name="Normal 8 4 2 5 4" xfId="10327"/>
    <cellStyle name="Normal 8 4 2 5 5" xfId="18769"/>
    <cellStyle name="Normal 8 4 2 5 6" xfId="27209"/>
    <cellStyle name="Normal 8 4 2 6" xfId="2215"/>
    <cellStyle name="Normal 8 4 2 6 2" xfId="4444"/>
    <cellStyle name="Normal 8 4 2 6 2 2" xfId="8667"/>
    <cellStyle name="Normal 8 4 2 6 2 2 2" xfId="17103"/>
    <cellStyle name="Normal 8 4 2 6 2 2 3" xfId="25544"/>
    <cellStyle name="Normal 8 4 2 6 2 2 4" xfId="33984"/>
    <cellStyle name="Normal 8 4 2 6 2 3" xfId="12885"/>
    <cellStyle name="Normal 8 4 2 6 2 4" xfId="21327"/>
    <cellStyle name="Normal 8 4 2 6 2 5" xfId="29767"/>
    <cellStyle name="Normal 8 4 2 6 3" xfId="6522"/>
    <cellStyle name="Normal 8 4 2 6 3 2" xfId="14958"/>
    <cellStyle name="Normal 8 4 2 6 3 3" xfId="23399"/>
    <cellStyle name="Normal 8 4 2 6 3 4" xfId="31839"/>
    <cellStyle name="Normal 8 4 2 6 4" xfId="10740"/>
    <cellStyle name="Normal 8 4 2 6 5" xfId="19182"/>
    <cellStyle name="Normal 8 4 2 6 6" xfId="27622"/>
    <cellStyle name="Normal 8 4 2 7" xfId="2651"/>
    <cellStyle name="Normal 8 4 2 7 2" xfId="6935"/>
    <cellStyle name="Normal 8 4 2 7 2 2" xfId="15371"/>
    <cellStyle name="Normal 8 4 2 7 2 3" xfId="23812"/>
    <cellStyle name="Normal 8 4 2 7 2 4" xfId="32252"/>
    <cellStyle name="Normal 8 4 2 7 3" xfId="11153"/>
    <cellStyle name="Normal 8 4 2 7 4" xfId="19595"/>
    <cellStyle name="Normal 8 4 2 7 5" xfId="28035"/>
    <cellStyle name="Normal 8 4 2 8" xfId="4870"/>
    <cellStyle name="Normal 8 4 2 8 2" xfId="13306"/>
    <cellStyle name="Normal 8 4 2 8 3" xfId="21747"/>
    <cellStyle name="Normal 8 4 2 8 4" xfId="30187"/>
    <cellStyle name="Normal 8 4 2 9" xfId="9088"/>
    <cellStyle name="Normal 8 4 3" xfId="506"/>
    <cellStyle name="Normal 8 4 3 10" xfId="25972"/>
    <cellStyle name="Normal 8 4 3 2" xfId="973"/>
    <cellStyle name="Normal 8 4 3 2 2" xfId="3207"/>
    <cellStyle name="Normal 8 4 3 2 2 2" xfId="7430"/>
    <cellStyle name="Normal 8 4 3 2 2 2 2" xfId="15866"/>
    <cellStyle name="Normal 8 4 3 2 2 2 3" xfId="24307"/>
    <cellStyle name="Normal 8 4 3 2 2 2 4" xfId="32747"/>
    <cellStyle name="Normal 8 4 3 2 2 3" xfId="11648"/>
    <cellStyle name="Normal 8 4 3 2 2 4" xfId="20090"/>
    <cellStyle name="Normal 8 4 3 2 2 5" xfId="28530"/>
    <cellStyle name="Normal 8 4 3 2 3" xfId="5285"/>
    <cellStyle name="Normal 8 4 3 2 3 2" xfId="13721"/>
    <cellStyle name="Normal 8 4 3 2 3 3" xfId="22162"/>
    <cellStyle name="Normal 8 4 3 2 3 4" xfId="30602"/>
    <cellStyle name="Normal 8 4 3 2 4" xfId="9503"/>
    <cellStyle name="Normal 8 4 3 2 5" xfId="17945"/>
    <cellStyle name="Normal 8 4 3 2 6" xfId="26385"/>
    <cellStyle name="Normal 8 4 3 3" xfId="1390"/>
    <cellStyle name="Normal 8 4 3 3 2" xfId="3620"/>
    <cellStyle name="Normal 8 4 3 3 2 2" xfId="7843"/>
    <cellStyle name="Normal 8 4 3 3 2 2 2" xfId="16279"/>
    <cellStyle name="Normal 8 4 3 3 2 2 3" xfId="24720"/>
    <cellStyle name="Normal 8 4 3 3 2 2 4" xfId="33160"/>
    <cellStyle name="Normal 8 4 3 3 2 3" xfId="12061"/>
    <cellStyle name="Normal 8 4 3 3 2 4" xfId="20503"/>
    <cellStyle name="Normal 8 4 3 3 2 5" xfId="28943"/>
    <cellStyle name="Normal 8 4 3 3 3" xfId="5698"/>
    <cellStyle name="Normal 8 4 3 3 3 2" xfId="14134"/>
    <cellStyle name="Normal 8 4 3 3 3 3" xfId="22575"/>
    <cellStyle name="Normal 8 4 3 3 3 4" xfId="31015"/>
    <cellStyle name="Normal 8 4 3 3 4" xfId="9916"/>
    <cellStyle name="Normal 8 4 3 3 5" xfId="18358"/>
    <cellStyle name="Normal 8 4 3 3 6" xfId="26798"/>
    <cellStyle name="Normal 8 4 3 4" xfId="1803"/>
    <cellStyle name="Normal 8 4 3 4 2" xfId="4033"/>
    <cellStyle name="Normal 8 4 3 4 2 2" xfId="8256"/>
    <cellStyle name="Normal 8 4 3 4 2 2 2" xfId="16692"/>
    <cellStyle name="Normal 8 4 3 4 2 2 3" xfId="25133"/>
    <cellStyle name="Normal 8 4 3 4 2 2 4" xfId="33573"/>
    <cellStyle name="Normal 8 4 3 4 2 3" xfId="12474"/>
    <cellStyle name="Normal 8 4 3 4 2 4" xfId="20916"/>
    <cellStyle name="Normal 8 4 3 4 2 5" xfId="29356"/>
    <cellStyle name="Normal 8 4 3 4 3" xfId="6111"/>
    <cellStyle name="Normal 8 4 3 4 3 2" xfId="14547"/>
    <cellStyle name="Normal 8 4 3 4 3 3" xfId="22988"/>
    <cellStyle name="Normal 8 4 3 4 3 4" xfId="31428"/>
    <cellStyle name="Normal 8 4 3 4 4" xfId="10329"/>
    <cellStyle name="Normal 8 4 3 4 5" xfId="18771"/>
    <cellStyle name="Normal 8 4 3 4 6" xfId="27211"/>
    <cellStyle name="Normal 8 4 3 5" xfId="2217"/>
    <cellStyle name="Normal 8 4 3 5 2" xfId="4446"/>
    <cellStyle name="Normal 8 4 3 5 2 2" xfId="8669"/>
    <cellStyle name="Normal 8 4 3 5 2 2 2" xfId="17105"/>
    <cellStyle name="Normal 8 4 3 5 2 2 3" xfId="25546"/>
    <cellStyle name="Normal 8 4 3 5 2 2 4" xfId="33986"/>
    <cellStyle name="Normal 8 4 3 5 2 3" xfId="12887"/>
    <cellStyle name="Normal 8 4 3 5 2 4" xfId="21329"/>
    <cellStyle name="Normal 8 4 3 5 2 5" xfId="29769"/>
    <cellStyle name="Normal 8 4 3 5 3" xfId="6524"/>
    <cellStyle name="Normal 8 4 3 5 3 2" xfId="14960"/>
    <cellStyle name="Normal 8 4 3 5 3 3" xfId="23401"/>
    <cellStyle name="Normal 8 4 3 5 3 4" xfId="31841"/>
    <cellStyle name="Normal 8 4 3 5 4" xfId="10742"/>
    <cellStyle name="Normal 8 4 3 5 5" xfId="19184"/>
    <cellStyle name="Normal 8 4 3 5 6" xfId="27624"/>
    <cellStyle name="Normal 8 4 3 6" xfId="2653"/>
    <cellStyle name="Normal 8 4 3 6 2" xfId="6937"/>
    <cellStyle name="Normal 8 4 3 6 2 2" xfId="15373"/>
    <cellStyle name="Normal 8 4 3 6 2 3" xfId="23814"/>
    <cellStyle name="Normal 8 4 3 6 2 4" xfId="32254"/>
    <cellStyle name="Normal 8 4 3 6 3" xfId="11155"/>
    <cellStyle name="Normal 8 4 3 6 4" xfId="19597"/>
    <cellStyle name="Normal 8 4 3 6 5" xfId="28037"/>
    <cellStyle name="Normal 8 4 3 7" xfId="4872"/>
    <cellStyle name="Normal 8 4 3 7 2" xfId="13308"/>
    <cellStyle name="Normal 8 4 3 7 3" xfId="21749"/>
    <cellStyle name="Normal 8 4 3 7 4" xfId="30189"/>
    <cellStyle name="Normal 8 4 3 8" xfId="9090"/>
    <cellStyle name="Normal 8 4 3 9" xfId="17532"/>
    <cellStyle name="Normal 8 4 4" xfId="970"/>
    <cellStyle name="Normal 8 4 4 2" xfId="3204"/>
    <cellStyle name="Normal 8 4 4 2 2" xfId="7427"/>
    <cellStyle name="Normal 8 4 4 2 2 2" xfId="15863"/>
    <cellStyle name="Normal 8 4 4 2 2 3" xfId="24304"/>
    <cellStyle name="Normal 8 4 4 2 2 4" xfId="32744"/>
    <cellStyle name="Normal 8 4 4 2 3" xfId="11645"/>
    <cellStyle name="Normal 8 4 4 2 4" xfId="20087"/>
    <cellStyle name="Normal 8 4 4 2 5" xfId="28527"/>
    <cellStyle name="Normal 8 4 4 3" xfId="5282"/>
    <cellStyle name="Normal 8 4 4 3 2" xfId="13718"/>
    <cellStyle name="Normal 8 4 4 3 3" xfId="22159"/>
    <cellStyle name="Normal 8 4 4 3 4" xfId="30599"/>
    <cellStyle name="Normal 8 4 4 4" xfId="9500"/>
    <cellStyle name="Normal 8 4 4 5" xfId="17942"/>
    <cellStyle name="Normal 8 4 4 6" xfId="26382"/>
    <cellStyle name="Normal 8 4 5" xfId="1387"/>
    <cellStyle name="Normal 8 4 5 2" xfId="3617"/>
    <cellStyle name="Normal 8 4 5 2 2" xfId="7840"/>
    <cellStyle name="Normal 8 4 5 2 2 2" xfId="16276"/>
    <cellStyle name="Normal 8 4 5 2 2 3" xfId="24717"/>
    <cellStyle name="Normal 8 4 5 2 2 4" xfId="33157"/>
    <cellStyle name="Normal 8 4 5 2 3" xfId="12058"/>
    <cellStyle name="Normal 8 4 5 2 4" xfId="20500"/>
    <cellStyle name="Normal 8 4 5 2 5" xfId="28940"/>
    <cellStyle name="Normal 8 4 5 3" xfId="5695"/>
    <cellStyle name="Normal 8 4 5 3 2" xfId="14131"/>
    <cellStyle name="Normal 8 4 5 3 3" xfId="22572"/>
    <cellStyle name="Normal 8 4 5 3 4" xfId="31012"/>
    <cellStyle name="Normal 8 4 5 4" xfId="9913"/>
    <cellStyle name="Normal 8 4 5 5" xfId="18355"/>
    <cellStyle name="Normal 8 4 5 6" xfId="26795"/>
    <cellStyle name="Normal 8 4 6" xfId="1800"/>
    <cellStyle name="Normal 8 4 6 2" xfId="4030"/>
    <cellStyle name="Normal 8 4 6 2 2" xfId="8253"/>
    <cellStyle name="Normal 8 4 6 2 2 2" xfId="16689"/>
    <cellStyle name="Normal 8 4 6 2 2 3" xfId="25130"/>
    <cellStyle name="Normal 8 4 6 2 2 4" xfId="33570"/>
    <cellStyle name="Normal 8 4 6 2 3" xfId="12471"/>
    <cellStyle name="Normal 8 4 6 2 4" xfId="20913"/>
    <cellStyle name="Normal 8 4 6 2 5" xfId="29353"/>
    <cellStyle name="Normal 8 4 6 3" xfId="6108"/>
    <cellStyle name="Normal 8 4 6 3 2" xfId="14544"/>
    <cellStyle name="Normal 8 4 6 3 3" xfId="22985"/>
    <cellStyle name="Normal 8 4 6 3 4" xfId="31425"/>
    <cellStyle name="Normal 8 4 6 4" xfId="10326"/>
    <cellStyle name="Normal 8 4 6 5" xfId="18768"/>
    <cellStyle name="Normal 8 4 6 6" xfId="27208"/>
    <cellStyle name="Normal 8 4 7" xfId="2214"/>
    <cellStyle name="Normal 8 4 7 2" xfId="4443"/>
    <cellStyle name="Normal 8 4 7 2 2" xfId="8666"/>
    <cellStyle name="Normal 8 4 7 2 2 2" xfId="17102"/>
    <cellStyle name="Normal 8 4 7 2 2 3" xfId="25543"/>
    <cellStyle name="Normal 8 4 7 2 2 4" xfId="33983"/>
    <cellStyle name="Normal 8 4 7 2 3" xfId="12884"/>
    <cellStyle name="Normal 8 4 7 2 4" xfId="21326"/>
    <cellStyle name="Normal 8 4 7 2 5" xfId="29766"/>
    <cellStyle name="Normal 8 4 7 3" xfId="6521"/>
    <cellStyle name="Normal 8 4 7 3 2" xfId="14957"/>
    <cellStyle name="Normal 8 4 7 3 3" xfId="23398"/>
    <cellStyle name="Normal 8 4 7 3 4" xfId="31838"/>
    <cellStyle name="Normal 8 4 7 4" xfId="10739"/>
    <cellStyle name="Normal 8 4 7 5" xfId="19181"/>
    <cellStyle name="Normal 8 4 7 6" xfId="27621"/>
    <cellStyle name="Normal 8 4 8" xfId="2650"/>
    <cellStyle name="Normal 8 4 8 2" xfId="6934"/>
    <cellStyle name="Normal 8 4 8 2 2" xfId="15370"/>
    <cellStyle name="Normal 8 4 8 2 3" xfId="23811"/>
    <cellStyle name="Normal 8 4 8 2 4" xfId="32251"/>
    <cellStyle name="Normal 8 4 8 3" xfId="11152"/>
    <cellStyle name="Normal 8 4 8 4" xfId="19594"/>
    <cellStyle name="Normal 8 4 8 5" xfId="28034"/>
    <cellStyle name="Normal 8 4 9" xfId="4869"/>
    <cellStyle name="Normal 8 4 9 2" xfId="13305"/>
    <cellStyle name="Normal 8 4 9 3" xfId="21746"/>
    <cellStyle name="Normal 8 4 9 4" xfId="30186"/>
    <cellStyle name="Normal 8 5" xfId="507"/>
    <cellStyle name="Normal 8 5 10" xfId="17533"/>
    <cellStyle name="Normal 8 5 11" xfId="25973"/>
    <cellStyle name="Normal 8 5 2" xfId="508"/>
    <cellStyle name="Normal 8 5 2 10" xfId="25974"/>
    <cellStyle name="Normal 8 5 2 2" xfId="975"/>
    <cellStyle name="Normal 8 5 2 2 2" xfId="3209"/>
    <cellStyle name="Normal 8 5 2 2 2 2" xfId="7432"/>
    <cellStyle name="Normal 8 5 2 2 2 2 2" xfId="15868"/>
    <cellStyle name="Normal 8 5 2 2 2 2 3" xfId="24309"/>
    <cellStyle name="Normal 8 5 2 2 2 2 4" xfId="32749"/>
    <cellStyle name="Normal 8 5 2 2 2 3" xfId="11650"/>
    <cellStyle name="Normal 8 5 2 2 2 4" xfId="20092"/>
    <cellStyle name="Normal 8 5 2 2 2 5" xfId="28532"/>
    <cellStyle name="Normal 8 5 2 2 3" xfId="5287"/>
    <cellStyle name="Normal 8 5 2 2 3 2" xfId="13723"/>
    <cellStyle name="Normal 8 5 2 2 3 3" xfId="22164"/>
    <cellStyle name="Normal 8 5 2 2 3 4" xfId="30604"/>
    <cellStyle name="Normal 8 5 2 2 4" xfId="9505"/>
    <cellStyle name="Normal 8 5 2 2 5" xfId="17947"/>
    <cellStyle name="Normal 8 5 2 2 6" xfId="26387"/>
    <cellStyle name="Normal 8 5 2 3" xfId="1392"/>
    <cellStyle name="Normal 8 5 2 3 2" xfId="3622"/>
    <cellStyle name="Normal 8 5 2 3 2 2" xfId="7845"/>
    <cellStyle name="Normal 8 5 2 3 2 2 2" xfId="16281"/>
    <cellStyle name="Normal 8 5 2 3 2 2 3" xfId="24722"/>
    <cellStyle name="Normal 8 5 2 3 2 2 4" xfId="33162"/>
    <cellStyle name="Normal 8 5 2 3 2 3" xfId="12063"/>
    <cellStyle name="Normal 8 5 2 3 2 4" xfId="20505"/>
    <cellStyle name="Normal 8 5 2 3 2 5" xfId="28945"/>
    <cellStyle name="Normal 8 5 2 3 3" xfId="5700"/>
    <cellStyle name="Normal 8 5 2 3 3 2" xfId="14136"/>
    <cellStyle name="Normal 8 5 2 3 3 3" xfId="22577"/>
    <cellStyle name="Normal 8 5 2 3 3 4" xfId="31017"/>
    <cellStyle name="Normal 8 5 2 3 4" xfId="9918"/>
    <cellStyle name="Normal 8 5 2 3 5" xfId="18360"/>
    <cellStyle name="Normal 8 5 2 3 6" xfId="26800"/>
    <cellStyle name="Normal 8 5 2 4" xfId="1805"/>
    <cellStyle name="Normal 8 5 2 4 2" xfId="4035"/>
    <cellStyle name="Normal 8 5 2 4 2 2" xfId="8258"/>
    <cellStyle name="Normal 8 5 2 4 2 2 2" xfId="16694"/>
    <cellStyle name="Normal 8 5 2 4 2 2 3" xfId="25135"/>
    <cellStyle name="Normal 8 5 2 4 2 2 4" xfId="33575"/>
    <cellStyle name="Normal 8 5 2 4 2 3" xfId="12476"/>
    <cellStyle name="Normal 8 5 2 4 2 4" xfId="20918"/>
    <cellStyle name="Normal 8 5 2 4 2 5" xfId="29358"/>
    <cellStyle name="Normal 8 5 2 4 3" xfId="6113"/>
    <cellStyle name="Normal 8 5 2 4 3 2" xfId="14549"/>
    <cellStyle name="Normal 8 5 2 4 3 3" xfId="22990"/>
    <cellStyle name="Normal 8 5 2 4 3 4" xfId="31430"/>
    <cellStyle name="Normal 8 5 2 4 4" xfId="10331"/>
    <cellStyle name="Normal 8 5 2 4 5" xfId="18773"/>
    <cellStyle name="Normal 8 5 2 4 6" xfId="27213"/>
    <cellStyle name="Normal 8 5 2 5" xfId="2219"/>
    <cellStyle name="Normal 8 5 2 5 2" xfId="4448"/>
    <cellStyle name="Normal 8 5 2 5 2 2" xfId="8671"/>
    <cellStyle name="Normal 8 5 2 5 2 2 2" xfId="17107"/>
    <cellStyle name="Normal 8 5 2 5 2 2 3" xfId="25548"/>
    <cellStyle name="Normal 8 5 2 5 2 2 4" xfId="33988"/>
    <cellStyle name="Normal 8 5 2 5 2 3" xfId="12889"/>
    <cellStyle name="Normal 8 5 2 5 2 4" xfId="21331"/>
    <cellStyle name="Normal 8 5 2 5 2 5" xfId="29771"/>
    <cellStyle name="Normal 8 5 2 5 3" xfId="6526"/>
    <cellStyle name="Normal 8 5 2 5 3 2" xfId="14962"/>
    <cellStyle name="Normal 8 5 2 5 3 3" xfId="23403"/>
    <cellStyle name="Normal 8 5 2 5 3 4" xfId="31843"/>
    <cellStyle name="Normal 8 5 2 5 4" xfId="10744"/>
    <cellStyle name="Normal 8 5 2 5 5" xfId="19186"/>
    <cellStyle name="Normal 8 5 2 5 6" xfId="27626"/>
    <cellStyle name="Normal 8 5 2 6" xfId="2655"/>
    <cellStyle name="Normal 8 5 2 6 2" xfId="6939"/>
    <cellStyle name="Normal 8 5 2 6 2 2" xfId="15375"/>
    <cellStyle name="Normal 8 5 2 6 2 3" xfId="23816"/>
    <cellStyle name="Normal 8 5 2 6 2 4" xfId="32256"/>
    <cellStyle name="Normal 8 5 2 6 3" xfId="11157"/>
    <cellStyle name="Normal 8 5 2 6 4" xfId="19599"/>
    <cellStyle name="Normal 8 5 2 6 5" xfId="28039"/>
    <cellStyle name="Normal 8 5 2 7" xfId="4874"/>
    <cellStyle name="Normal 8 5 2 7 2" xfId="13310"/>
    <cellStyle name="Normal 8 5 2 7 3" xfId="21751"/>
    <cellStyle name="Normal 8 5 2 7 4" xfId="30191"/>
    <cellStyle name="Normal 8 5 2 8" xfId="9092"/>
    <cellStyle name="Normal 8 5 2 9" xfId="17534"/>
    <cellStyle name="Normal 8 5 3" xfId="974"/>
    <cellStyle name="Normal 8 5 3 2" xfId="3208"/>
    <cellStyle name="Normal 8 5 3 2 2" xfId="7431"/>
    <cellStyle name="Normal 8 5 3 2 2 2" xfId="15867"/>
    <cellStyle name="Normal 8 5 3 2 2 3" xfId="24308"/>
    <cellStyle name="Normal 8 5 3 2 2 4" xfId="32748"/>
    <cellStyle name="Normal 8 5 3 2 3" xfId="11649"/>
    <cellStyle name="Normal 8 5 3 2 4" xfId="20091"/>
    <cellStyle name="Normal 8 5 3 2 5" xfId="28531"/>
    <cellStyle name="Normal 8 5 3 3" xfId="5286"/>
    <cellStyle name="Normal 8 5 3 3 2" xfId="13722"/>
    <cellStyle name="Normal 8 5 3 3 3" xfId="22163"/>
    <cellStyle name="Normal 8 5 3 3 4" xfId="30603"/>
    <cellStyle name="Normal 8 5 3 4" xfId="9504"/>
    <cellStyle name="Normal 8 5 3 5" xfId="17946"/>
    <cellStyle name="Normal 8 5 3 6" xfId="26386"/>
    <cellStyle name="Normal 8 5 4" xfId="1391"/>
    <cellStyle name="Normal 8 5 4 2" xfId="3621"/>
    <cellStyle name="Normal 8 5 4 2 2" xfId="7844"/>
    <cellStyle name="Normal 8 5 4 2 2 2" xfId="16280"/>
    <cellStyle name="Normal 8 5 4 2 2 3" xfId="24721"/>
    <cellStyle name="Normal 8 5 4 2 2 4" xfId="33161"/>
    <cellStyle name="Normal 8 5 4 2 3" xfId="12062"/>
    <cellStyle name="Normal 8 5 4 2 4" xfId="20504"/>
    <cellStyle name="Normal 8 5 4 2 5" xfId="28944"/>
    <cellStyle name="Normal 8 5 4 3" xfId="5699"/>
    <cellStyle name="Normal 8 5 4 3 2" xfId="14135"/>
    <cellStyle name="Normal 8 5 4 3 3" xfId="22576"/>
    <cellStyle name="Normal 8 5 4 3 4" xfId="31016"/>
    <cellStyle name="Normal 8 5 4 4" xfId="9917"/>
    <cellStyle name="Normal 8 5 4 5" xfId="18359"/>
    <cellStyle name="Normal 8 5 4 6" xfId="26799"/>
    <cellStyle name="Normal 8 5 5" xfId="1804"/>
    <cellStyle name="Normal 8 5 5 2" xfId="4034"/>
    <cellStyle name="Normal 8 5 5 2 2" xfId="8257"/>
    <cellStyle name="Normal 8 5 5 2 2 2" xfId="16693"/>
    <cellStyle name="Normal 8 5 5 2 2 3" xfId="25134"/>
    <cellStyle name="Normal 8 5 5 2 2 4" xfId="33574"/>
    <cellStyle name="Normal 8 5 5 2 3" xfId="12475"/>
    <cellStyle name="Normal 8 5 5 2 4" xfId="20917"/>
    <cellStyle name="Normal 8 5 5 2 5" xfId="29357"/>
    <cellStyle name="Normal 8 5 5 3" xfId="6112"/>
    <cellStyle name="Normal 8 5 5 3 2" xfId="14548"/>
    <cellStyle name="Normal 8 5 5 3 3" xfId="22989"/>
    <cellStyle name="Normal 8 5 5 3 4" xfId="31429"/>
    <cellStyle name="Normal 8 5 5 4" xfId="10330"/>
    <cellStyle name="Normal 8 5 5 5" xfId="18772"/>
    <cellStyle name="Normal 8 5 5 6" xfId="27212"/>
    <cellStyle name="Normal 8 5 6" xfId="2218"/>
    <cellStyle name="Normal 8 5 6 2" xfId="4447"/>
    <cellStyle name="Normal 8 5 6 2 2" xfId="8670"/>
    <cellStyle name="Normal 8 5 6 2 2 2" xfId="17106"/>
    <cellStyle name="Normal 8 5 6 2 2 3" xfId="25547"/>
    <cellStyle name="Normal 8 5 6 2 2 4" xfId="33987"/>
    <cellStyle name="Normal 8 5 6 2 3" xfId="12888"/>
    <cellStyle name="Normal 8 5 6 2 4" xfId="21330"/>
    <cellStyle name="Normal 8 5 6 2 5" xfId="29770"/>
    <cellStyle name="Normal 8 5 6 3" xfId="6525"/>
    <cellStyle name="Normal 8 5 6 3 2" xfId="14961"/>
    <cellStyle name="Normal 8 5 6 3 3" xfId="23402"/>
    <cellStyle name="Normal 8 5 6 3 4" xfId="31842"/>
    <cellStyle name="Normal 8 5 6 4" xfId="10743"/>
    <cellStyle name="Normal 8 5 6 5" xfId="19185"/>
    <cellStyle name="Normal 8 5 6 6" xfId="27625"/>
    <cellStyle name="Normal 8 5 7" xfId="2654"/>
    <cellStyle name="Normal 8 5 7 2" xfId="6938"/>
    <cellStyle name="Normal 8 5 7 2 2" xfId="15374"/>
    <cellStyle name="Normal 8 5 7 2 3" xfId="23815"/>
    <cellStyle name="Normal 8 5 7 2 4" xfId="32255"/>
    <cellStyle name="Normal 8 5 7 3" xfId="11156"/>
    <cellStyle name="Normal 8 5 7 4" xfId="19598"/>
    <cellStyle name="Normal 8 5 7 5" xfId="28038"/>
    <cellStyle name="Normal 8 5 8" xfId="4873"/>
    <cellStyle name="Normal 8 5 8 2" xfId="13309"/>
    <cellStyle name="Normal 8 5 8 3" xfId="21750"/>
    <cellStyle name="Normal 8 5 8 4" xfId="30190"/>
    <cellStyle name="Normal 8 5 9" xfId="9091"/>
    <cellStyle name="Normal 8 6" xfId="509"/>
    <cellStyle name="Normal 8 6 10" xfId="25975"/>
    <cellStyle name="Normal 8 6 2" xfId="976"/>
    <cellStyle name="Normal 8 6 2 2" xfId="3210"/>
    <cellStyle name="Normal 8 6 2 2 2" xfId="7433"/>
    <cellStyle name="Normal 8 6 2 2 2 2" xfId="15869"/>
    <cellStyle name="Normal 8 6 2 2 2 3" xfId="24310"/>
    <cellStyle name="Normal 8 6 2 2 2 4" xfId="32750"/>
    <cellStyle name="Normal 8 6 2 2 3" xfId="11651"/>
    <cellStyle name="Normal 8 6 2 2 4" xfId="20093"/>
    <cellStyle name="Normal 8 6 2 2 5" xfId="28533"/>
    <cellStyle name="Normal 8 6 2 3" xfId="5288"/>
    <cellStyle name="Normal 8 6 2 3 2" xfId="13724"/>
    <cellStyle name="Normal 8 6 2 3 3" xfId="22165"/>
    <cellStyle name="Normal 8 6 2 3 4" xfId="30605"/>
    <cellStyle name="Normal 8 6 2 4" xfId="9506"/>
    <cellStyle name="Normal 8 6 2 5" xfId="17948"/>
    <cellStyle name="Normal 8 6 2 6" xfId="26388"/>
    <cellStyle name="Normal 8 6 3" xfId="1393"/>
    <cellStyle name="Normal 8 6 3 2" xfId="3623"/>
    <cellStyle name="Normal 8 6 3 2 2" xfId="7846"/>
    <cellStyle name="Normal 8 6 3 2 2 2" xfId="16282"/>
    <cellStyle name="Normal 8 6 3 2 2 3" xfId="24723"/>
    <cellStyle name="Normal 8 6 3 2 2 4" xfId="33163"/>
    <cellStyle name="Normal 8 6 3 2 3" xfId="12064"/>
    <cellStyle name="Normal 8 6 3 2 4" xfId="20506"/>
    <cellStyle name="Normal 8 6 3 2 5" xfId="28946"/>
    <cellStyle name="Normal 8 6 3 3" xfId="5701"/>
    <cellStyle name="Normal 8 6 3 3 2" xfId="14137"/>
    <cellStyle name="Normal 8 6 3 3 3" xfId="22578"/>
    <cellStyle name="Normal 8 6 3 3 4" xfId="31018"/>
    <cellStyle name="Normal 8 6 3 4" xfId="9919"/>
    <cellStyle name="Normal 8 6 3 5" xfId="18361"/>
    <cellStyle name="Normal 8 6 3 6" xfId="26801"/>
    <cellStyle name="Normal 8 6 4" xfId="1806"/>
    <cellStyle name="Normal 8 6 4 2" xfId="4036"/>
    <cellStyle name="Normal 8 6 4 2 2" xfId="8259"/>
    <cellStyle name="Normal 8 6 4 2 2 2" xfId="16695"/>
    <cellStyle name="Normal 8 6 4 2 2 3" xfId="25136"/>
    <cellStyle name="Normal 8 6 4 2 2 4" xfId="33576"/>
    <cellStyle name="Normal 8 6 4 2 3" xfId="12477"/>
    <cellStyle name="Normal 8 6 4 2 4" xfId="20919"/>
    <cellStyle name="Normal 8 6 4 2 5" xfId="29359"/>
    <cellStyle name="Normal 8 6 4 3" xfId="6114"/>
    <cellStyle name="Normal 8 6 4 3 2" xfId="14550"/>
    <cellStyle name="Normal 8 6 4 3 3" xfId="22991"/>
    <cellStyle name="Normal 8 6 4 3 4" xfId="31431"/>
    <cellStyle name="Normal 8 6 4 4" xfId="10332"/>
    <cellStyle name="Normal 8 6 4 5" xfId="18774"/>
    <cellStyle name="Normal 8 6 4 6" xfId="27214"/>
    <cellStyle name="Normal 8 6 5" xfId="2220"/>
    <cellStyle name="Normal 8 6 5 2" xfId="4449"/>
    <cellStyle name="Normal 8 6 5 2 2" xfId="8672"/>
    <cellStyle name="Normal 8 6 5 2 2 2" xfId="17108"/>
    <cellStyle name="Normal 8 6 5 2 2 3" xfId="25549"/>
    <cellStyle name="Normal 8 6 5 2 2 4" xfId="33989"/>
    <cellStyle name="Normal 8 6 5 2 3" xfId="12890"/>
    <cellStyle name="Normal 8 6 5 2 4" xfId="21332"/>
    <cellStyle name="Normal 8 6 5 2 5" xfId="29772"/>
    <cellStyle name="Normal 8 6 5 3" xfId="6527"/>
    <cellStyle name="Normal 8 6 5 3 2" xfId="14963"/>
    <cellStyle name="Normal 8 6 5 3 3" xfId="23404"/>
    <cellStyle name="Normal 8 6 5 3 4" xfId="31844"/>
    <cellStyle name="Normal 8 6 5 4" xfId="10745"/>
    <cellStyle name="Normal 8 6 5 5" xfId="19187"/>
    <cellStyle name="Normal 8 6 5 6" xfId="27627"/>
    <cellStyle name="Normal 8 6 6" xfId="2656"/>
    <cellStyle name="Normal 8 6 6 2" xfId="6940"/>
    <cellStyle name="Normal 8 6 6 2 2" xfId="15376"/>
    <cellStyle name="Normal 8 6 6 2 3" xfId="23817"/>
    <cellStyle name="Normal 8 6 6 2 4" xfId="32257"/>
    <cellStyle name="Normal 8 6 6 3" xfId="11158"/>
    <cellStyle name="Normal 8 6 6 4" xfId="19600"/>
    <cellStyle name="Normal 8 6 6 5" xfId="28040"/>
    <cellStyle name="Normal 8 6 7" xfId="4875"/>
    <cellStyle name="Normal 8 6 7 2" xfId="13311"/>
    <cellStyle name="Normal 8 6 7 3" xfId="21752"/>
    <cellStyle name="Normal 8 6 7 4" xfId="30192"/>
    <cellStyle name="Normal 8 6 8" xfId="9093"/>
    <cellStyle name="Normal 8 6 9" xfId="17535"/>
    <cellStyle name="Normal 8 7" xfId="945"/>
    <cellStyle name="Normal 8 7 2" xfId="3179"/>
    <cellStyle name="Normal 8 7 2 2" xfId="7402"/>
    <cellStyle name="Normal 8 7 2 2 2" xfId="15838"/>
    <cellStyle name="Normal 8 7 2 2 3" xfId="24279"/>
    <cellStyle name="Normal 8 7 2 2 4" xfId="32719"/>
    <cellStyle name="Normal 8 7 2 3" xfId="11620"/>
    <cellStyle name="Normal 8 7 2 4" xfId="20062"/>
    <cellStyle name="Normal 8 7 2 5" xfId="28502"/>
    <cellStyle name="Normal 8 7 3" xfId="5257"/>
    <cellStyle name="Normal 8 7 3 2" xfId="13693"/>
    <cellStyle name="Normal 8 7 3 3" xfId="22134"/>
    <cellStyle name="Normal 8 7 3 4" xfId="30574"/>
    <cellStyle name="Normal 8 7 4" xfId="9475"/>
    <cellStyle name="Normal 8 7 5" xfId="17917"/>
    <cellStyle name="Normal 8 7 6" xfId="26357"/>
    <cellStyle name="Normal 8 8" xfId="1362"/>
    <cellStyle name="Normal 8 8 2" xfId="3592"/>
    <cellStyle name="Normal 8 8 2 2" xfId="7815"/>
    <cellStyle name="Normal 8 8 2 2 2" xfId="16251"/>
    <cellStyle name="Normal 8 8 2 2 3" xfId="24692"/>
    <cellStyle name="Normal 8 8 2 2 4" xfId="33132"/>
    <cellStyle name="Normal 8 8 2 3" xfId="12033"/>
    <cellStyle name="Normal 8 8 2 4" xfId="20475"/>
    <cellStyle name="Normal 8 8 2 5" xfId="28915"/>
    <cellStyle name="Normal 8 8 3" xfId="5670"/>
    <cellStyle name="Normal 8 8 3 2" xfId="14106"/>
    <cellStyle name="Normal 8 8 3 3" xfId="22547"/>
    <cellStyle name="Normal 8 8 3 4" xfId="30987"/>
    <cellStyle name="Normal 8 8 4" xfId="9888"/>
    <cellStyle name="Normal 8 8 5" xfId="18330"/>
    <cellStyle name="Normal 8 8 6" xfId="26770"/>
    <cellStyle name="Normal 8 9" xfId="1775"/>
    <cellStyle name="Normal 8 9 2" xfId="4005"/>
    <cellStyle name="Normal 8 9 2 2" xfId="8228"/>
    <cellStyle name="Normal 8 9 2 2 2" xfId="16664"/>
    <cellStyle name="Normal 8 9 2 2 3" xfId="25105"/>
    <cellStyle name="Normal 8 9 2 2 4" xfId="33545"/>
    <cellStyle name="Normal 8 9 2 3" xfId="12446"/>
    <cellStyle name="Normal 8 9 2 4" xfId="20888"/>
    <cellStyle name="Normal 8 9 2 5" xfId="29328"/>
    <cellStyle name="Normal 8 9 3" xfId="6083"/>
    <cellStyle name="Normal 8 9 3 2" xfId="14519"/>
    <cellStyle name="Normal 8 9 3 3" xfId="22960"/>
    <cellStyle name="Normal 8 9 3 4" xfId="31400"/>
    <cellStyle name="Normal 8 9 4" xfId="10301"/>
    <cellStyle name="Normal 8 9 5" xfId="18743"/>
    <cellStyle name="Normal 8 9 6" xfId="27183"/>
    <cellStyle name="Normal 9" xfId="510"/>
    <cellStyle name="Normal 9 2" xfId="511"/>
    <cellStyle name="Normal 9 2 10" xfId="2657"/>
    <cellStyle name="Normal 9 2 10 2" xfId="6941"/>
    <cellStyle name="Normal 9 2 10 2 2" xfId="15377"/>
    <cellStyle name="Normal 9 2 10 2 3" xfId="23818"/>
    <cellStyle name="Normal 9 2 10 2 4" xfId="32258"/>
    <cellStyle name="Normal 9 2 10 3" xfId="11159"/>
    <cellStyle name="Normal 9 2 10 4" xfId="19601"/>
    <cellStyle name="Normal 9 2 10 5" xfId="28041"/>
    <cellStyle name="Normal 9 2 11" xfId="4876"/>
    <cellStyle name="Normal 9 2 11 2" xfId="13312"/>
    <cellStyle name="Normal 9 2 11 3" xfId="21753"/>
    <cellStyle name="Normal 9 2 11 4" xfId="30193"/>
    <cellStyle name="Normal 9 2 12" xfId="9094"/>
    <cellStyle name="Normal 9 2 13" xfId="17536"/>
    <cellStyle name="Normal 9 2 14" xfId="25976"/>
    <cellStyle name="Normal 9 2 2" xfId="512"/>
    <cellStyle name="Normal 9 2 2 10" xfId="4877"/>
    <cellStyle name="Normal 9 2 2 10 2" xfId="13313"/>
    <cellStyle name="Normal 9 2 2 10 3" xfId="21754"/>
    <cellStyle name="Normal 9 2 2 10 4" xfId="30194"/>
    <cellStyle name="Normal 9 2 2 11" xfId="9095"/>
    <cellStyle name="Normal 9 2 2 12" xfId="17537"/>
    <cellStyle name="Normal 9 2 2 13" xfId="25977"/>
    <cellStyle name="Normal 9 2 2 2" xfId="513"/>
    <cellStyle name="Normal 9 2 2 2 10" xfId="9096"/>
    <cellStyle name="Normal 9 2 2 2 11" xfId="17538"/>
    <cellStyle name="Normal 9 2 2 2 12" xfId="25978"/>
    <cellStyle name="Normal 9 2 2 2 2" xfId="514"/>
    <cellStyle name="Normal 9 2 2 2 2 10" xfId="17539"/>
    <cellStyle name="Normal 9 2 2 2 2 11" xfId="25979"/>
    <cellStyle name="Normal 9 2 2 2 2 2" xfId="515"/>
    <cellStyle name="Normal 9 2 2 2 2 2 10" xfId="25980"/>
    <cellStyle name="Normal 9 2 2 2 2 2 2" xfId="982"/>
    <cellStyle name="Normal 9 2 2 2 2 2 2 2" xfId="3215"/>
    <cellStyle name="Normal 9 2 2 2 2 2 2 2 2" xfId="7438"/>
    <cellStyle name="Normal 9 2 2 2 2 2 2 2 2 2" xfId="15874"/>
    <cellStyle name="Normal 9 2 2 2 2 2 2 2 2 3" xfId="24315"/>
    <cellStyle name="Normal 9 2 2 2 2 2 2 2 2 4" xfId="32755"/>
    <cellStyle name="Normal 9 2 2 2 2 2 2 2 3" xfId="11656"/>
    <cellStyle name="Normal 9 2 2 2 2 2 2 2 4" xfId="20098"/>
    <cellStyle name="Normal 9 2 2 2 2 2 2 2 5" xfId="28538"/>
    <cellStyle name="Normal 9 2 2 2 2 2 2 3" xfId="5293"/>
    <cellStyle name="Normal 9 2 2 2 2 2 2 3 2" xfId="13729"/>
    <cellStyle name="Normal 9 2 2 2 2 2 2 3 3" xfId="22170"/>
    <cellStyle name="Normal 9 2 2 2 2 2 2 3 4" xfId="30610"/>
    <cellStyle name="Normal 9 2 2 2 2 2 2 4" xfId="9511"/>
    <cellStyle name="Normal 9 2 2 2 2 2 2 5" xfId="17953"/>
    <cellStyle name="Normal 9 2 2 2 2 2 2 6" xfId="26393"/>
    <cellStyle name="Normal 9 2 2 2 2 2 3" xfId="1398"/>
    <cellStyle name="Normal 9 2 2 2 2 2 3 2" xfId="3628"/>
    <cellStyle name="Normal 9 2 2 2 2 2 3 2 2" xfId="7851"/>
    <cellStyle name="Normal 9 2 2 2 2 2 3 2 2 2" xfId="16287"/>
    <cellStyle name="Normal 9 2 2 2 2 2 3 2 2 3" xfId="24728"/>
    <cellStyle name="Normal 9 2 2 2 2 2 3 2 2 4" xfId="33168"/>
    <cellStyle name="Normal 9 2 2 2 2 2 3 2 3" xfId="12069"/>
    <cellStyle name="Normal 9 2 2 2 2 2 3 2 4" xfId="20511"/>
    <cellStyle name="Normal 9 2 2 2 2 2 3 2 5" xfId="28951"/>
    <cellStyle name="Normal 9 2 2 2 2 2 3 3" xfId="5706"/>
    <cellStyle name="Normal 9 2 2 2 2 2 3 3 2" xfId="14142"/>
    <cellStyle name="Normal 9 2 2 2 2 2 3 3 3" xfId="22583"/>
    <cellStyle name="Normal 9 2 2 2 2 2 3 3 4" xfId="31023"/>
    <cellStyle name="Normal 9 2 2 2 2 2 3 4" xfId="9924"/>
    <cellStyle name="Normal 9 2 2 2 2 2 3 5" xfId="18366"/>
    <cellStyle name="Normal 9 2 2 2 2 2 3 6" xfId="26806"/>
    <cellStyle name="Normal 9 2 2 2 2 2 4" xfId="1811"/>
    <cellStyle name="Normal 9 2 2 2 2 2 4 2" xfId="4041"/>
    <cellStyle name="Normal 9 2 2 2 2 2 4 2 2" xfId="8264"/>
    <cellStyle name="Normal 9 2 2 2 2 2 4 2 2 2" xfId="16700"/>
    <cellStyle name="Normal 9 2 2 2 2 2 4 2 2 3" xfId="25141"/>
    <cellStyle name="Normal 9 2 2 2 2 2 4 2 2 4" xfId="33581"/>
    <cellStyle name="Normal 9 2 2 2 2 2 4 2 3" xfId="12482"/>
    <cellStyle name="Normal 9 2 2 2 2 2 4 2 4" xfId="20924"/>
    <cellStyle name="Normal 9 2 2 2 2 2 4 2 5" xfId="29364"/>
    <cellStyle name="Normal 9 2 2 2 2 2 4 3" xfId="6119"/>
    <cellStyle name="Normal 9 2 2 2 2 2 4 3 2" xfId="14555"/>
    <cellStyle name="Normal 9 2 2 2 2 2 4 3 3" xfId="22996"/>
    <cellStyle name="Normal 9 2 2 2 2 2 4 3 4" xfId="31436"/>
    <cellStyle name="Normal 9 2 2 2 2 2 4 4" xfId="10337"/>
    <cellStyle name="Normal 9 2 2 2 2 2 4 5" xfId="18779"/>
    <cellStyle name="Normal 9 2 2 2 2 2 4 6" xfId="27219"/>
    <cellStyle name="Normal 9 2 2 2 2 2 5" xfId="2225"/>
    <cellStyle name="Normal 9 2 2 2 2 2 5 2" xfId="4454"/>
    <cellStyle name="Normal 9 2 2 2 2 2 5 2 2" xfId="8677"/>
    <cellStyle name="Normal 9 2 2 2 2 2 5 2 2 2" xfId="17113"/>
    <cellStyle name="Normal 9 2 2 2 2 2 5 2 2 3" xfId="25554"/>
    <cellStyle name="Normal 9 2 2 2 2 2 5 2 2 4" xfId="33994"/>
    <cellStyle name="Normal 9 2 2 2 2 2 5 2 3" xfId="12895"/>
    <cellStyle name="Normal 9 2 2 2 2 2 5 2 4" xfId="21337"/>
    <cellStyle name="Normal 9 2 2 2 2 2 5 2 5" xfId="29777"/>
    <cellStyle name="Normal 9 2 2 2 2 2 5 3" xfId="6532"/>
    <cellStyle name="Normal 9 2 2 2 2 2 5 3 2" xfId="14968"/>
    <cellStyle name="Normal 9 2 2 2 2 2 5 3 3" xfId="23409"/>
    <cellStyle name="Normal 9 2 2 2 2 2 5 3 4" xfId="31849"/>
    <cellStyle name="Normal 9 2 2 2 2 2 5 4" xfId="10750"/>
    <cellStyle name="Normal 9 2 2 2 2 2 5 5" xfId="19192"/>
    <cellStyle name="Normal 9 2 2 2 2 2 5 6" xfId="27632"/>
    <cellStyle name="Normal 9 2 2 2 2 2 6" xfId="2661"/>
    <cellStyle name="Normal 9 2 2 2 2 2 6 2" xfId="6945"/>
    <cellStyle name="Normal 9 2 2 2 2 2 6 2 2" xfId="15381"/>
    <cellStyle name="Normal 9 2 2 2 2 2 6 2 3" xfId="23822"/>
    <cellStyle name="Normal 9 2 2 2 2 2 6 2 4" xfId="32262"/>
    <cellStyle name="Normal 9 2 2 2 2 2 6 3" xfId="11163"/>
    <cellStyle name="Normal 9 2 2 2 2 2 6 4" xfId="19605"/>
    <cellStyle name="Normal 9 2 2 2 2 2 6 5" xfId="28045"/>
    <cellStyle name="Normal 9 2 2 2 2 2 7" xfId="4880"/>
    <cellStyle name="Normal 9 2 2 2 2 2 7 2" xfId="13316"/>
    <cellStyle name="Normal 9 2 2 2 2 2 7 3" xfId="21757"/>
    <cellStyle name="Normal 9 2 2 2 2 2 7 4" xfId="30197"/>
    <cellStyle name="Normal 9 2 2 2 2 2 8" xfId="9098"/>
    <cellStyle name="Normal 9 2 2 2 2 2 9" xfId="17540"/>
    <cellStyle name="Normal 9 2 2 2 2 3" xfId="981"/>
    <cellStyle name="Normal 9 2 2 2 2 3 2" xfId="3214"/>
    <cellStyle name="Normal 9 2 2 2 2 3 2 2" xfId="7437"/>
    <cellStyle name="Normal 9 2 2 2 2 3 2 2 2" xfId="15873"/>
    <cellStyle name="Normal 9 2 2 2 2 3 2 2 3" xfId="24314"/>
    <cellStyle name="Normal 9 2 2 2 2 3 2 2 4" xfId="32754"/>
    <cellStyle name="Normal 9 2 2 2 2 3 2 3" xfId="11655"/>
    <cellStyle name="Normal 9 2 2 2 2 3 2 4" xfId="20097"/>
    <cellStyle name="Normal 9 2 2 2 2 3 2 5" xfId="28537"/>
    <cellStyle name="Normal 9 2 2 2 2 3 3" xfId="5292"/>
    <cellStyle name="Normal 9 2 2 2 2 3 3 2" xfId="13728"/>
    <cellStyle name="Normal 9 2 2 2 2 3 3 3" xfId="22169"/>
    <cellStyle name="Normal 9 2 2 2 2 3 3 4" xfId="30609"/>
    <cellStyle name="Normal 9 2 2 2 2 3 4" xfId="9510"/>
    <cellStyle name="Normal 9 2 2 2 2 3 5" xfId="17952"/>
    <cellStyle name="Normal 9 2 2 2 2 3 6" xfId="26392"/>
    <cellStyle name="Normal 9 2 2 2 2 4" xfId="1397"/>
    <cellStyle name="Normal 9 2 2 2 2 4 2" xfId="3627"/>
    <cellStyle name="Normal 9 2 2 2 2 4 2 2" xfId="7850"/>
    <cellStyle name="Normal 9 2 2 2 2 4 2 2 2" xfId="16286"/>
    <cellStyle name="Normal 9 2 2 2 2 4 2 2 3" xfId="24727"/>
    <cellStyle name="Normal 9 2 2 2 2 4 2 2 4" xfId="33167"/>
    <cellStyle name="Normal 9 2 2 2 2 4 2 3" xfId="12068"/>
    <cellStyle name="Normal 9 2 2 2 2 4 2 4" xfId="20510"/>
    <cellStyle name="Normal 9 2 2 2 2 4 2 5" xfId="28950"/>
    <cellStyle name="Normal 9 2 2 2 2 4 3" xfId="5705"/>
    <cellStyle name="Normal 9 2 2 2 2 4 3 2" xfId="14141"/>
    <cellStyle name="Normal 9 2 2 2 2 4 3 3" xfId="22582"/>
    <cellStyle name="Normal 9 2 2 2 2 4 3 4" xfId="31022"/>
    <cellStyle name="Normal 9 2 2 2 2 4 4" xfId="9923"/>
    <cellStyle name="Normal 9 2 2 2 2 4 5" xfId="18365"/>
    <cellStyle name="Normal 9 2 2 2 2 4 6" xfId="26805"/>
    <cellStyle name="Normal 9 2 2 2 2 5" xfId="1810"/>
    <cellStyle name="Normal 9 2 2 2 2 5 2" xfId="4040"/>
    <cellStyle name="Normal 9 2 2 2 2 5 2 2" xfId="8263"/>
    <cellStyle name="Normal 9 2 2 2 2 5 2 2 2" xfId="16699"/>
    <cellStyle name="Normal 9 2 2 2 2 5 2 2 3" xfId="25140"/>
    <cellStyle name="Normal 9 2 2 2 2 5 2 2 4" xfId="33580"/>
    <cellStyle name="Normal 9 2 2 2 2 5 2 3" xfId="12481"/>
    <cellStyle name="Normal 9 2 2 2 2 5 2 4" xfId="20923"/>
    <cellStyle name="Normal 9 2 2 2 2 5 2 5" xfId="29363"/>
    <cellStyle name="Normal 9 2 2 2 2 5 3" xfId="6118"/>
    <cellStyle name="Normal 9 2 2 2 2 5 3 2" xfId="14554"/>
    <cellStyle name="Normal 9 2 2 2 2 5 3 3" xfId="22995"/>
    <cellStyle name="Normal 9 2 2 2 2 5 3 4" xfId="31435"/>
    <cellStyle name="Normal 9 2 2 2 2 5 4" xfId="10336"/>
    <cellStyle name="Normal 9 2 2 2 2 5 5" xfId="18778"/>
    <cellStyle name="Normal 9 2 2 2 2 5 6" xfId="27218"/>
    <cellStyle name="Normal 9 2 2 2 2 6" xfId="2224"/>
    <cellStyle name="Normal 9 2 2 2 2 6 2" xfId="4453"/>
    <cellStyle name="Normal 9 2 2 2 2 6 2 2" xfId="8676"/>
    <cellStyle name="Normal 9 2 2 2 2 6 2 2 2" xfId="17112"/>
    <cellStyle name="Normal 9 2 2 2 2 6 2 2 3" xfId="25553"/>
    <cellStyle name="Normal 9 2 2 2 2 6 2 2 4" xfId="33993"/>
    <cellStyle name="Normal 9 2 2 2 2 6 2 3" xfId="12894"/>
    <cellStyle name="Normal 9 2 2 2 2 6 2 4" xfId="21336"/>
    <cellStyle name="Normal 9 2 2 2 2 6 2 5" xfId="29776"/>
    <cellStyle name="Normal 9 2 2 2 2 6 3" xfId="6531"/>
    <cellStyle name="Normal 9 2 2 2 2 6 3 2" xfId="14967"/>
    <cellStyle name="Normal 9 2 2 2 2 6 3 3" xfId="23408"/>
    <cellStyle name="Normal 9 2 2 2 2 6 3 4" xfId="31848"/>
    <cellStyle name="Normal 9 2 2 2 2 6 4" xfId="10749"/>
    <cellStyle name="Normal 9 2 2 2 2 6 5" xfId="19191"/>
    <cellStyle name="Normal 9 2 2 2 2 6 6" xfId="27631"/>
    <cellStyle name="Normal 9 2 2 2 2 7" xfId="2660"/>
    <cellStyle name="Normal 9 2 2 2 2 7 2" xfId="6944"/>
    <cellStyle name="Normal 9 2 2 2 2 7 2 2" xfId="15380"/>
    <cellStyle name="Normal 9 2 2 2 2 7 2 3" xfId="23821"/>
    <cellStyle name="Normal 9 2 2 2 2 7 2 4" xfId="32261"/>
    <cellStyle name="Normal 9 2 2 2 2 7 3" xfId="11162"/>
    <cellStyle name="Normal 9 2 2 2 2 7 4" xfId="19604"/>
    <cellStyle name="Normal 9 2 2 2 2 7 5" xfId="28044"/>
    <cellStyle name="Normal 9 2 2 2 2 8" xfId="4879"/>
    <cellStyle name="Normal 9 2 2 2 2 8 2" xfId="13315"/>
    <cellStyle name="Normal 9 2 2 2 2 8 3" xfId="21756"/>
    <cellStyle name="Normal 9 2 2 2 2 8 4" xfId="30196"/>
    <cellStyle name="Normal 9 2 2 2 2 9" xfId="9097"/>
    <cellStyle name="Normal 9 2 2 2 3" xfId="516"/>
    <cellStyle name="Normal 9 2 2 2 3 10" xfId="25981"/>
    <cellStyle name="Normal 9 2 2 2 3 2" xfId="983"/>
    <cellStyle name="Normal 9 2 2 2 3 2 2" xfId="3216"/>
    <cellStyle name="Normal 9 2 2 2 3 2 2 2" xfId="7439"/>
    <cellStyle name="Normal 9 2 2 2 3 2 2 2 2" xfId="15875"/>
    <cellStyle name="Normal 9 2 2 2 3 2 2 2 3" xfId="24316"/>
    <cellStyle name="Normal 9 2 2 2 3 2 2 2 4" xfId="32756"/>
    <cellStyle name="Normal 9 2 2 2 3 2 2 3" xfId="11657"/>
    <cellStyle name="Normal 9 2 2 2 3 2 2 4" xfId="20099"/>
    <cellStyle name="Normal 9 2 2 2 3 2 2 5" xfId="28539"/>
    <cellStyle name="Normal 9 2 2 2 3 2 3" xfId="5294"/>
    <cellStyle name="Normal 9 2 2 2 3 2 3 2" xfId="13730"/>
    <cellStyle name="Normal 9 2 2 2 3 2 3 3" xfId="22171"/>
    <cellStyle name="Normal 9 2 2 2 3 2 3 4" xfId="30611"/>
    <cellStyle name="Normal 9 2 2 2 3 2 4" xfId="9512"/>
    <cellStyle name="Normal 9 2 2 2 3 2 5" xfId="17954"/>
    <cellStyle name="Normal 9 2 2 2 3 2 6" xfId="26394"/>
    <cellStyle name="Normal 9 2 2 2 3 3" xfId="1399"/>
    <cellStyle name="Normal 9 2 2 2 3 3 2" xfId="3629"/>
    <cellStyle name="Normal 9 2 2 2 3 3 2 2" xfId="7852"/>
    <cellStyle name="Normal 9 2 2 2 3 3 2 2 2" xfId="16288"/>
    <cellStyle name="Normal 9 2 2 2 3 3 2 2 3" xfId="24729"/>
    <cellStyle name="Normal 9 2 2 2 3 3 2 2 4" xfId="33169"/>
    <cellStyle name="Normal 9 2 2 2 3 3 2 3" xfId="12070"/>
    <cellStyle name="Normal 9 2 2 2 3 3 2 4" xfId="20512"/>
    <cellStyle name="Normal 9 2 2 2 3 3 2 5" xfId="28952"/>
    <cellStyle name="Normal 9 2 2 2 3 3 3" xfId="5707"/>
    <cellStyle name="Normal 9 2 2 2 3 3 3 2" xfId="14143"/>
    <cellStyle name="Normal 9 2 2 2 3 3 3 3" xfId="22584"/>
    <cellStyle name="Normal 9 2 2 2 3 3 3 4" xfId="31024"/>
    <cellStyle name="Normal 9 2 2 2 3 3 4" xfId="9925"/>
    <cellStyle name="Normal 9 2 2 2 3 3 5" xfId="18367"/>
    <cellStyle name="Normal 9 2 2 2 3 3 6" xfId="26807"/>
    <cellStyle name="Normal 9 2 2 2 3 4" xfId="1812"/>
    <cellStyle name="Normal 9 2 2 2 3 4 2" xfId="4042"/>
    <cellStyle name="Normal 9 2 2 2 3 4 2 2" xfId="8265"/>
    <cellStyle name="Normal 9 2 2 2 3 4 2 2 2" xfId="16701"/>
    <cellStyle name="Normal 9 2 2 2 3 4 2 2 3" xfId="25142"/>
    <cellStyle name="Normal 9 2 2 2 3 4 2 2 4" xfId="33582"/>
    <cellStyle name="Normal 9 2 2 2 3 4 2 3" xfId="12483"/>
    <cellStyle name="Normal 9 2 2 2 3 4 2 4" xfId="20925"/>
    <cellStyle name="Normal 9 2 2 2 3 4 2 5" xfId="29365"/>
    <cellStyle name="Normal 9 2 2 2 3 4 3" xfId="6120"/>
    <cellStyle name="Normal 9 2 2 2 3 4 3 2" xfId="14556"/>
    <cellStyle name="Normal 9 2 2 2 3 4 3 3" xfId="22997"/>
    <cellStyle name="Normal 9 2 2 2 3 4 3 4" xfId="31437"/>
    <cellStyle name="Normal 9 2 2 2 3 4 4" xfId="10338"/>
    <cellStyle name="Normal 9 2 2 2 3 4 5" xfId="18780"/>
    <cellStyle name="Normal 9 2 2 2 3 4 6" xfId="27220"/>
    <cellStyle name="Normal 9 2 2 2 3 5" xfId="2226"/>
    <cellStyle name="Normal 9 2 2 2 3 5 2" xfId="4455"/>
    <cellStyle name="Normal 9 2 2 2 3 5 2 2" xfId="8678"/>
    <cellStyle name="Normal 9 2 2 2 3 5 2 2 2" xfId="17114"/>
    <cellStyle name="Normal 9 2 2 2 3 5 2 2 3" xfId="25555"/>
    <cellStyle name="Normal 9 2 2 2 3 5 2 2 4" xfId="33995"/>
    <cellStyle name="Normal 9 2 2 2 3 5 2 3" xfId="12896"/>
    <cellStyle name="Normal 9 2 2 2 3 5 2 4" xfId="21338"/>
    <cellStyle name="Normal 9 2 2 2 3 5 2 5" xfId="29778"/>
    <cellStyle name="Normal 9 2 2 2 3 5 3" xfId="6533"/>
    <cellStyle name="Normal 9 2 2 2 3 5 3 2" xfId="14969"/>
    <cellStyle name="Normal 9 2 2 2 3 5 3 3" xfId="23410"/>
    <cellStyle name="Normal 9 2 2 2 3 5 3 4" xfId="31850"/>
    <cellStyle name="Normal 9 2 2 2 3 5 4" xfId="10751"/>
    <cellStyle name="Normal 9 2 2 2 3 5 5" xfId="19193"/>
    <cellStyle name="Normal 9 2 2 2 3 5 6" xfId="27633"/>
    <cellStyle name="Normal 9 2 2 2 3 6" xfId="2662"/>
    <cellStyle name="Normal 9 2 2 2 3 6 2" xfId="6946"/>
    <cellStyle name="Normal 9 2 2 2 3 6 2 2" xfId="15382"/>
    <cellStyle name="Normal 9 2 2 2 3 6 2 3" xfId="23823"/>
    <cellStyle name="Normal 9 2 2 2 3 6 2 4" xfId="32263"/>
    <cellStyle name="Normal 9 2 2 2 3 6 3" xfId="11164"/>
    <cellStyle name="Normal 9 2 2 2 3 6 4" xfId="19606"/>
    <cellStyle name="Normal 9 2 2 2 3 6 5" xfId="28046"/>
    <cellStyle name="Normal 9 2 2 2 3 7" xfId="4881"/>
    <cellStyle name="Normal 9 2 2 2 3 7 2" xfId="13317"/>
    <cellStyle name="Normal 9 2 2 2 3 7 3" xfId="21758"/>
    <cellStyle name="Normal 9 2 2 2 3 7 4" xfId="30198"/>
    <cellStyle name="Normal 9 2 2 2 3 8" xfId="9099"/>
    <cellStyle name="Normal 9 2 2 2 3 9" xfId="17541"/>
    <cellStyle name="Normal 9 2 2 2 4" xfId="980"/>
    <cellStyle name="Normal 9 2 2 2 4 2" xfId="3213"/>
    <cellStyle name="Normal 9 2 2 2 4 2 2" xfId="7436"/>
    <cellStyle name="Normal 9 2 2 2 4 2 2 2" xfId="15872"/>
    <cellStyle name="Normal 9 2 2 2 4 2 2 3" xfId="24313"/>
    <cellStyle name="Normal 9 2 2 2 4 2 2 4" xfId="32753"/>
    <cellStyle name="Normal 9 2 2 2 4 2 3" xfId="11654"/>
    <cellStyle name="Normal 9 2 2 2 4 2 4" xfId="20096"/>
    <cellStyle name="Normal 9 2 2 2 4 2 5" xfId="28536"/>
    <cellStyle name="Normal 9 2 2 2 4 3" xfId="5291"/>
    <cellStyle name="Normal 9 2 2 2 4 3 2" xfId="13727"/>
    <cellStyle name="Normal 9 2 2 2 4 3 3" xfId="22168"/>
    <cellStyle name="Normal 9 2 2 2 4 3 4" xfId="30608"/>
    <cellStyle name="Normal 9 2 2 2 4 4" xfId="9509"/>
    <cellStyle name="Normal 9 2 2 2 4 5" xfId="17951"/>
    <cellStyle name="Normal 9 2 2 2 4 6" xfId="26391"/>
    <cellStyle name="Normal 9 2 2 2 5" xfId="1396"/>
    <cellStyle name="Normal 9 2 2 2 5 2" xfId="3626"/>
    <cellStyle name="Normal 9 2 2 2 5 2 2" xfId="7849"/>
    <cellStyle name="Normal 9 2 2 2 5 2 2 2" xfId="16285"/>
    <cellStyle name="Normal 9 2 2 2 5 2 2 3" xfId="24726"/>
    <cellStyle name="Normal 9 2 2 2 5 2 2 4" xfId="33166"/>
    <cellStyle name="Normal 9 2 2 2 5 2 3" xfId="12067"/>
    <cellStyle name="Normal 9 2 2 2 5 2 4" xfId="20509"/>
    <cellStyle name="Normal 9 2 2 2 5 2 5" xfId="28949"/>
    <cellStyle name="Normal 9 2 2 2 5 3" xfId="5704"/>
    <cellStyle name="Normal 9 2 2 2 5 3 2" xfId="14140"/>
    <cellStyle name="Normal 9 2 2 2 5 3 3" xfId="22581"/>
    <cellStyle name="Normal 9 2 2 2 5 3 4" xfId="31021"/>
    <cellStyle name="Normal 9 2 2 2 5 4" xfId="9922"/>
    <cellStyle name="Normal 9 2 2 2 5 5" xfId="18364"/>
    <cellStyle name="Normal 9 2 2 2 5 6" xfId="26804"/>
    <cellStyle name="Normal 9 2 2 2 6" xfId="1809"/>
    <cellStyle name="Normal 9 2 2 2 6 2" xfId="4039"/>
    <cellStyle name="Normal 9 2 2 2 6 2 2" xfId="8262"/>
    <cellStyle name="Normal 9 2 2 2 6 2 2 2" xfId="16698"/>
    <cellStyle name="Normal 9 2 2 2 6 2 2 3" xfId="25139"/>
    <cellStyle name="Normal 9 2 2 2 6 2 2 4" xfId="33579"/>
    <cellStyle name="Normal 9 2 2 2 6 2 3" xfId="12480"/>
    <cellStyle name="Normal 9 2 2 2 6 2 4" xfId="20922"/>
    <cellStyle name="Normal 9 2 2 2 6 2 5" xfId="29362"/>
    <cellStyle name="Normal 9 2 2 2 6 3" xfId="6117"/>
    <cellStyle name="Normal 9 2 2 2 6 3 2" xfId="14553"/>
    <cellStyle name="Normal 9 2 2 2 6 3 3" xfId="22994"/>
    <cellStyle name="Normal 9 2 2 2 6 3 4" xfId="31434"/>
    <cellStyle name="Normal 9 2 2 2 6 4" xfId="10335"/>
    <cellStyle name="Normal 9 2 2 2 6 5" xfId="18777"/>
    <cellStyle name="Normal 9 2 2 2 6 6" xfId="27217"/>
    <cellStyle name="Normal 9 2 2 2 7" xfId="2223"/>
    <cellStyle name="Normal 9 2 2 2 7 2" xfId="4452"/>
    <cellStyle name="Normal 9 2 2 2 7 2 2" xfId="8675"/>
    <cellStyle name="Normal 9 2 2 2 7 2 2 2" xfId="17111"/>
    <cellStyle name="Normal 9 2 2 2 7 2 2 3" xfId="25552"/>
    <cellStyle name="Normal 9 2 2 2 7 2 2 4" xfId="33992"/>
    <cellStyle name="Normal 9 2 2 2 7 2 3" xfId="12893"/>
    <cellStyle name="Normal 9 2 2 2 7 2 4" xfId="21335"/>
    <cellStyle name="Normal 9 2 2 2 7 2 5" xfId="29775"/>
    <cellStyle name="Normal 9 2 2 2 7 3" xfId="6530"/>
    <cellStyle name="Normal 9 2 2 2 7 3 2" xfId="14966"/>
    <cellStyle name="Normal 9 2 2 2 7 3 3" xfId="23407"/>
    <cellStyle name="Normal 9 2 2 2 7 3 4" xfId="31847"/>
    <cellStyle name="Normal 9 2 2 2 7 4" xfId="10748"/>
    <cellStyle name="Normal 9 2 2 2 7 5" xfId="19190"/>
    <cellStyle name="Normal 9 2 2 2 7 6" xfId="27630"/>
    <cellStyle name="Normal 9 2 2 2 8" xfId="2659"/>
    <cellStyle name="Normal 9 2 2 2 8 2" xfId="6943"/>
    <cellStyle name="Normal 9 2 2 2 8 2 2" xfId="15379"/>
    <cellStyle name="Normal 9 2 2 2 8 2 3" xfId="23820"/>
    <cellStyle name="Normal 9 2 2 2 8 2 4" xfId="32260"/>
    <cellStyle name="Normal 9 2 2 2 8 3" xfId="11161"/>
    <cellStyle name="Normal 9 2 2 2 8 4" xfId="19603"/>
    <cellStyle name="Normal 9 2 2 2 8 5" xfId="28043"/>
    <cellStyle name="Normal 9 2 2 2 9" xfId="4878"/>
    <cellStyle name="Normal 9 2 2 2 9 2" xfId="13314"/>
    <cellStyle name="Normal 9 2 2 2 9 3" xfId="21755"/>
    <cellStyle name="Normal 9 2 2 2 9 4" xfId="30195"/>
    <cellStyle name="Normal 9 2 2 3" xfId="517"/>
    <cellStyle name="Normal 9 2 2 3 10" xfId="17542"/>
    <cellStyle name="Normal 9 2 2 3 11" xfId="25982"/>
    <cellStyle name="Normal 9 2 2 3 2" xfId="518"/>
    <cellStyle name="Normal 9 2 2 3 2 10" xfId="25983"/>
    <cellStyle name="Normal 9 2 2 3 2 2" xfId="985"/>
    <cellStyle name="Normal 9 2 2 3 2 2 2" xfId="3218"/>
    <cellStyle name="Normal 9 2 2 3 2 2 2 2" xfId="7441"/>
    <cellStyle name="Normal 9 2 2 3 2 2 2 2 2" xfId="15877"/>
    <cellStyle name="Normal 9 2 2 3 2 2 2 2 3" xfId="24318"/>
    <cellStyle name="Normal 9 2 2 3 2 2 2 2 4" xfId="32758"/>
    <cellStyle name="Normal 9 2 2 3 2 2 2 3" xfId="11659"/>
    <cellStyle name="Normal 9 2 2 3 2 2 2 4" xfId="20101"/>
    <cellStyle name="Normal 9 2 2 3 2 2 2 5" xfId="28541"/>
    <cellStyle name="Normal 9 2 2 3 2 2 3" xfId="5296"/>
    <cellStyle name="Normal 9 2 2 3 2 2 3 2" xfId="13732"/>
    <cellStyle name="Normal 9 2 2 3 2 2 3 3" xfId="22173"/>
    <cellStyle name="Normal 9 2 2 3 2 2 3 4" xfId="30613"/>
    <cellStyle name="Normal 9 2 2 3 2 2 4" xfId="9514"/>
    <cellStyle name="Normal 9 2 2 3 2 2 5" xfId="17956"/>
    <cellStyle name="Normal 9 2 2 3 2 2 6" xfId="26396"/>
    <cellStyle name="Normal 9 2 2 3 2 3" xfId="1401"/>
    <cellStyle name="Normal 9 2 2 3 2 3 2" xfId="3631"/>
    <cellStyle name="Normal 9 2 2 3 2 3 2 2" xfId="7854"/>
    <cellStyle name="Normal 9 2 2 3 2 3 2 2 2" xfId="16290"/>
    <cellStyle name="Normal 9 2 2 3 2 3 2 2 3" xfId="24731"/>
    <cellStyle name="Normal 9 2 2 3 2 3 2 2 4" xfId="33171"/>
    <cellStyle name="Normal 9 2 2 3 2 3 2 3" xfId="12072"/>
    <cellStyle name="Normal 9 2 2 3 2 3 2 4" xfId="20514"/>
    <cellStyle name="Normal 9 2 2 3 2 3 2 5" xfId="28954"/>
    <cellStyle name="Normal 9 2 2 3 2 3 3" xfId="5709"/>
    <cellStyle name="Normal 9 2 2 3 2 3 3 2" xfId="14145"/>
    <cellStyle name="Normal 9 2 2 3 2 3 3 3" xfId="22586"/>
    <cellStyle name="Normal 9 2 2 3 2 3 3 4" xfId="31026"/>
    <cellStyle name="Normal 9 2 2 3 2 3 4" xfId="9927"/>
    <cellStyle name="Normal 9 2 2 3 2 3 5" xfId="18369"/>
    <cellStyle name="Normal 9 2 2 3 2 3 6" xfId="26809"/>
    <cellStyle name="Normal 9 2 2 3 2 4" xfId="1814"/>
    <cellStyle name="Normal 9 2 2 3 2 4 2" xfId="4044"/>
    <cellStyle name="Normal 9 2 2 3 2 4 2 2" xfId="8267"/>
    <cellStyle name="Normal 9 2 2 3 2 4 2 2 2" xfId="16703"/>
    <cellStyle name="Normal 9 2 2 3 2 4 2 2 3" xfId="25144"/>
    <cellStyle name="Normal 9 2 2 3 2 4 2 2 4" xfId="33584"/>
    <cellStyle name="Normal 9 2 2 3 2 4 2 3" xfId="12485"/>
    <cellStyle name="Normal 9 2 2 3 2 4 2 4" xfId="20927"/>
    <cellStyle name="Normal 9 2 2 3 2 4 2 5" xfId="29367"/>
    <cellStyle name="Normal 9 2 2 3 2 4 3" xfId="6122"/>
    <cellStyle name="Normal 9 2 2 3 2 4 3 2" xfId="14558"/>
    <cellStyle name="Normal 9 2 2 3 2 4 3 3" xfId="22999"/>
    <cellStyle name="Normal 9 2 2 3 2 4 3 4" xfId="31439"/>
    <cellStyle name="Normal 9 2 2 3 2 4 4" xfId="10340"/>
    <cellStyle name="Normal 9 2 2 3 2 4 5" xfId="18782"/>
    <cellStyle name="Normal 9 2 2 3 2 4 6" xfId="27222"/>
    <cellStyle name="Normal 9 2 2 3 2 5" xfId="2228"/>
    <cellStyle name="Normal 9 2 2 3 2 5 2" xfId="4457"/>
    <cellStyle name="Normal 9 2 2 3 2 5 2 2" xfId="8680"/>
    <cellStyle name="Normal 9 2 2 3 2 5 2 2 2" xfId="17116"/>
    <cellStyle name="Normal 9 2 2 3 2 5 2 2 3" xfId="25557"/>
    <cellStyle name="Normal 9 2 2 3 2 5 2 2 4" xfId="33997"/>
    <cellStyle name="Normal 9 2 2 3 2 5 2 3" xfId="12898"/>
    <cellStyle name="Normal 9 2 2 3 2 5 2 4" xfId="21340"/>
    <cellStyle name="Normal 9 2 2 3 2 5 2 5" xfId="29780"/>
    <cellStyle name="Normal 9 2 2 3 2 5 3" xfId="6535"/>
    <cellStyle name="Normal 9 2 2 3 2 5 3 2" xfId="14971"/>
    <cellStyle name="Normal 9 2 2 3 2 5 3 3" xfId="23412"/>
    <cellStyle name="Normal 9 2 2 3 2 5 3 4" xfId="31852"/>
    <cellStyle name="Normal 9 2 2 3 2 5 4" xfId="10753"/>
    <cellStyle name="Normal 9 2 2 3 2 5 5" xfId="19195"/>
    <cellStyle name="Normal 9 2 2 3 2 5 6" xfId="27635"/>
    <cellStyle name="Normal 9 2 2 3 2 6" xfId="2664"/>
    <cellStyle name="Normal 9 2 2 3 2 6 2" xfId="6948"/>
    <cellStyle name="Normal 9 2 2 3 2 6 2 2" xfId="15384"/>
    <cellStyle name="Normal 9 2 2 3 2 6 2 3" xfId="23825"/>
    <cellStyle name="Normal 9 2 2 3 2 6 2 4" xfId="32265"/>
    <cellStyle name="Normal 9 2 2 3 2 6 3" xfId="11166"/>
    <cellStyle name="Normal 9 2 2 3 2 6 4" xfId="19608"/>
    <cellStyle name="Normal 9 2 2 3 2 6 5" xfId="28048"/>
    <cellStyle name="Normal 9 2 2 3 2 7" xfId="4883"/>
    <cellStyle name="Normal 9 2 2 3 2 7 2" xfId="13319"/>
    <cellStyle name="Normal 9 2 2 3 2 7 3" xfId="21760"/>
    <cellStyle name="Normal 9 2 2 3 2 7 4" xfId="30200"/>
    <cellStyle name="Normal 9 2 2 3 2 8" xfId="9101"/>
    <cellStyle name="Normal 9 2 2 3 2 9" xfId="17543"/>
    <cellStyle name="Normal 9 2 2 3 3" xfId="984"/>
    <cellStyle name="Normal 9 2 2 3 3 2" xfId="3217"/>
    <cellStyle name="Normal 9 2 2 3 3 2 2" xfId="7440"/>
    <cellStyle name="Normal 9 2 2 3 3 2 2 2" xfId="15876"/>
    <cellStyle name="Normal 9 2 2 3 3 2 2 3" xfId="24317"/>
    <cellStyle name="Normal 9 2 2 3 3 2 2 4" xfId="32757"/>
    <cellStyle name="Normal 9 2 2 3 3 2 3" xfId="11658"/>
    <cellStyle name="Normal 9 2 2 3 3 2 4" xfId="20100"/>
    <cellStyle name="Normal 9 2 2 3 3 2 5" xfId="28540"/>
    <cellStyle name="Normal 9 2 2 3 3 3" xfId="5295"/>
    <cellStyle name="Normal 9 2 2 3 3 3 2" xfId="13731"/>
    <cellStyle name="Normal 9 2 2 3 3 3 3" xfId="22172"/>
    <cellStyle name="Normal 9 2 2 3 3 3 4" xfId="30612"/>
    <cellStyle name="Normal 9 2 2 3 3 4" xfId="9513"/>
    <cellStyle name="Normal 9 2 2 3 3 5" xfId="17955"/>
    <cellStyle name="Normal 9 2 2 3 3 6" xfId="26395"/>
    <cellStyle name="Normal 9 2 2 3 4" xfId="1400"/>
    <cellStyle name="Normal 9 2 2 3 4 2" xfId="3630"/>
    <cellStyle name="Normal 9 2 2 3 4 2 2" xfId="7853"/>
    <cellStyle name="Normal 9 2 2 3 4 2 2 2" xfId="16289"/>
    <cellStyle name="Normal 9 2 2 3 4 2 2 3" xfId="24730"/>
    <cellStyle name="Normal 9 2 2 3 4 2 2 4" xfId="33170"/>
    <cellStyle name="Normal 9 2 2 3 4 2 3" xfId="12071"/>
    <cellStyle name="Normal 9 2 2 3 4 2 4" xfId="20513"/>
    <cellStyle name="Normal 9 2 2 3 4 2 5" xfId="28953"/>
    <cellStyle name="Normal 9 2 2 3 4 3" xfId="5708"/>
    <cellStyle name="Normal 9 2 2 3 4 3 2" xfId="14144"/>
    <cellStyle name="Normal 9 2 2 3 4 3 3" xfId="22585"/>
    <cellStyle name="Normal 9 2 2 3 4 3 4" xfId="31025"/>
    <cellStyle name="Normal 9 2 2 3 4 4" xfId="9926"/>
    <cellStyle name="Normal 9 2 2 3 4 5" xfId="18368"/>
    <cellStyle name="Normal 9 2 2 3 4 6" xfId="26808"/>
    <cellStyle name="Normal 9 2 2 3 5" xfId="1813"/>
    <cellStyle name="Normal 9 2 2 3 5 2" xfId="4043"/>
    <cellStyle name="Normal 9 2 2 3 5 2 2" xfId="8266"/>
    <cellStyle name="Normal 9 2 2 3 5 2 2 2" xfId="16702"/>
    <cellStyle name="Normal 9 2 2 3 5 2 2 3" xfId="25143"/>
    <cellStyle name="Normal 9 2 2 3 5 2 2 4" xfId="33583"/>
    <cellStyle name="Normal 9 2 2 3 5 2 3" xfId="12484"/>
    <cellStyle name="Normal 9 2 2 3 5 2 4" xfId="20926"/>
    <cellStyle name="Normal 9 2 2 3 5 2 5" xfId="29366"/>
    <cellStyle name="Normal 9 2 2 3 5 3" xfId="6121"/>
    <cellStyle name="Normal 9 2 2 3 5 3 2" xfId="14557"/>
    <cellStyle name="Normal 9 2 2 3 5 3 3" xfId="22998"/>
    <cellStyle name="Normal 9 2 2 3 5 3 4" xfId="31438"/>
    <cellStyle name="Normal 9 2 2 3 5 4" xfId="10339"/>
    <cellStyle name="Normal 9 2 2 3 5 5" xfId="18781"/>
    <cellStyle name="Normal 9 2 2 3 5 6" xfId="27221"/>
    <cellStyle name="Normal 9 2 2 3 6" xfId="2227"/>
    <cellStyle name="Normal 9 2 2 3 6 2" xfId="4456"/>
    <cellStyle name="Normal 9 2 2 3 6 2 2" xfId="8679"/>
    <cellStyle name="Normal 9 2 2 3 6 2 2 2" xfId="17115"/>
    <cellStyle name="Normal 9 2 2 3 6 2 2 3" xfId="25556"/>
    <cellStyle name="Normal 9 2 2 3 6 2 2 4" xfId="33996"/>
    <cellStyle name="Normal 9 2 2 3 6 2 3" xfId="12897"/>
    <cellStyle name="Normal 9 2 2 3 6 2 4" xfId="21339"/>
    <cellStyle name="Normal 9 2 2 3 6 2 5" xfId="29779"/>
    <cellStyle name="Normal 9 2 2 3 6 3" xfId="6534"/>
    <cellStyle name="Normal 9 2 2 3 6 3 2" xfId="14970"/>
    <cellStyle name="Normal 9 2 2 3 6 3 3" xfId="23411"/>
    <cellStyle name="Normal 9 2 2 3 6 3 4" xfId="31851"/>
    <cellStyle name="Normal 9 2 2 3 6 4" xfId="10752"/>
    <cellStyle name="Normal 9 2 2 3 6 5" xfId="19194"/>
    <cellStyle name="Normal 9 2 2 3 6 6" xfId="27634"/>
    <cellStyle name="Normal 9 2 2 3 7" xfId="2663"/>
    <cellStyle name="Normal 9 2 2 3 7 2" xfId="6947"/>
    <cellStyle name="Normal 9 2 2 3 7 2 2" xfId="15383"/>
    <cellStyle name="Normal 9 2 2 3 7 2 3" xfId="23824"/>
    <cellStyle name="Normal 9 2 2 3 7 2 4" xfId="32264"/>
    <cellStyle name="Normal 9 2 2 3 7 3" xfId="11165"/>
    <cellStyle name="Normal 9 2 2 3 7 4" xfId="19607"/>
    <cellStyle name="Normal 9 2 2 3 7 5" xfId="28047"/>
    <cellStyle name="Normal 9 2 2 3 8" xfId="4882"/>
    <cellStyle name="Normal 9 2 2 3 8 2" xfId="13318"/>
    <cellStyle name="Normal 9 2 2 3 8 3" xfId="21759"/>
    <cellStyle name="Normal 9 2 2 3 8 4" xfId="30199"/>
    <cellStyle name="Normal 9 2 2 3 9" xfId="9100"/>
    <cellStyle name="Normal 9 2 2 4" xfId="519"/>
    <cellStyle name="Normal 9 2 2 4 10" xfId="25984"/>
    <cellStyle name="Normal 9 2 2 4 2" xfId="986"/>
    <cellStyle name="Normal 9 2 2 4 2 2" xfId="3219"/>
    <cellStyle name="Normal 9 2 2 4 2 2 2" xfId="7442"/>
    <cellStyle name="Normal 9 2 2 4 2 2 2 2" xfId="15878"/>
    <cellStyle name="Normal 9 2 2 4 2 2 2 3" xfId="24319"/>
    <cellStyle name="Normal 9 2 2 4 2 2 2 4" xfId="32759"/>
    <cellStyle name="Normal 9 2 2 4 2 2 3" xfId="11660"/>
    <cellStyle name="Normal 9 2 2 4 2 2 4" xfId="20102"/>
    <cellStyle name="Normal 9 2 2 4 2 2 5" xfId="28542"/>
    <cellStyle name="Normal 9 2 2 4 2 3" xfId="5297"/>
    <cellStyle name="Normal 9 2 2 4 2 3 2" xfId="13733"/>
    <cellStyle name="Normal 9 2 2 4 2 3 3" xfId="22174"/>
    <cellStyle name="Normal 9 2 2 4 2 3 4" xfId="30614"/>
    <cellStyle name="Normal 9 2 2 4 2 4" xfId="9515"/>
    <cellStyle name="Normal 9 2 2 4 2 5" xfId="17957"/>
    <cellStyle name="Normal 9 2 2 4 2 6" xfId="26397"/>
    <cellStyle name="Normal 9 2 2 4 3" xfId="1402"/>
    <cellStyle name="Normal 9 2 2 4 3 2" xfId="3632"/>
    <cellStyle name="Normal 9 2 2 4 3 2 2" xfId="7855"/>
    <cellStyle name="Normal 9 2 2 4 3 2 2 2" xfId="16291"/>
    <cellStyle name="Normal 9 2 2 4 3 2 2 3" xfId="24732"/>
    <cellStyle name="Normal 9 2 2 4 3 2 2 4" xfId="33172"/>
    <cellStyle name="Normal 9 2 2 4 3 2 3" xfId="12073"/>
    <cellStyle name="Normal 9 2 2 4 3 2 4" xfId="20515"/>
    <cellStyle name="Normal 9 2 2 4 3 2 5" xfId="28955"/>
    <cellStyle name="Normal 9 2 2 4 3 3" xfId="5710"/>
    <cellStyle name="Normal 9 2 2 4 3 3 2" xfId="14146"/>
    <cellStyle name="Normal 9 2 2 4 3 3 3" xfId="22587"/>
    <cellStyle name="Normal 9 2 2 4 3 3 4" xfId="31027"/>
    <cellStyle name="Normal 9 2 2 4 3 4" xfId="9928"/>
    <cellStyle name="Normal 9 2 2 4 3 5" xfId="18370"/>
    <cellStyle name="Normal 9 2 2 4 3 6" xfId="26810"/>
    <cellStyle name="Normal 9 2 2 4 4" xfId="1815"/>
    <cellStyle name="Normal 9 2 2 4 4 2" xfId="4045"/>
    <cellStyle name="Normal 9 2 2 4 4 2 2" xfId="8268"/>
    <cellStyle name="Normal 9 2 2 4 4 2 2 2" xfId="16704"/>
    <cellStyle name="Normal 9 2 2 4 4 2 2 3" xfId="25145"/>
    <cellStyle name="Normal 9 2 2 4 4 2 2 4" xfId="33585"/>
    <cellStyle name="Normal 9 2 2 4 4 2 3" xfId="12486"/>
    <cellStyle name="Normal 9 2 2 4 4 2 4" xfId="20928"/>
    <cellStyle name="Normal 9 2 2 4 4 2 5" xfId="29368"/>
    <cellStyle name="Normal 9 2 2 4 4 3" xfId="6123"/>
    <cellStyle name="Normal 9 2 2 4 4 3 2" xfId="14559"/>
    <cellStyle name="Normal 9 2 2 4 4 3 3" xfId="23000"/>
    <cellStyle name="Normal 9 2 2 4 4 3 4" xfId="31440"/>
    <cellStyle name="Normal 9 2 2 4 4 4" xfId="10341"/>
    <cellStyle name="Normal 9 2 2 4 4 5" xfId="18783"/>
    <cellStyle name="Normal 9 2 2 4 4 6" xfId="27223"/>
    <cellStyle name="Normal 9 2 2 4 5" xfId="2229"/>
    <cellStyle name="Normal 9 2 2 4 5 2" xfId="4458"/>
    <cellStyle name="Normal 9 2 2 4 5 2 2" xfId="8681"/>
    <cellStyle name="Normal 9 2 2 4 5 2 2 2" xfId="17117"/>
    <cellStyle name="Normal 9 2 2 4 5 2 2 3" xfId="25558"/>
    <cellStyle name="Normal 9 2 2 4 5 2 2 4" xfId="33998"/>
    <cellStyle name="Normal 9 2 2 4 5 2 3" xfId="12899"/>
    <cellStyle name="Normal 9 2 2 4 5 2 4" xfId="21341"/>
    <cellStyle name="Normal 9 2 2 4 5 2 5" xfId="29781"/>
    <cellStyle name="Normal 9 2 2 4 5 3" xfId="6536"/>
    <cellStyle name="Normal 9 2 2 4 5 3 2" xfId="14972"/>
    <cellStyle name="Normal 9 2 2 4 5 3 3" xfId="23413"/>
    <cellStyle name="Normal 9 2 2 4 5 3 4" xfId="31853"/>
    <cellStyle name="Normal 9 2 2 4 5 4" xfId="10754"/>
    <cellStyle name="Normal 9 2 2 4 5 5" xfId="19196"/>
    <cellStyle name="Normal 9 2 2 4 5 6" xfId="27636"/>
    <cellStyle name="Normal 9 2 2 4 6" xfId="2665"/>
    <cellStyle name="Normal 9 2 2 4 6 2" xfId="6949"/>
    <cellStyle name="Normal 9 2 2 4 6 2 2" xfId="15385"/>
    <cellStyle name="Normal 9 2 2 4 6 2 3" xfId="23826"/>
    <cellStyle name="Normal 9 2 2 4 6 2 4" xfId="32266"/>
    <cellStyle name="Normal 9 2 2 4 6 3" xfId="11167"/>
    <cellStyle name="Normal 9 2 2 4 6 4" xfId="19609"/>
    <cellStyle name="Normal 9 2 2 4 6 5" xfId="28049"/>
    <cellStyle name="Normal 9 2 2 4 7" xfId="4884"/>
    <cellStyle name="Normal 9 2 2 4 7 2" xfId="13320"/>
    <cellStyle name="Normal 9 2 2 4 7 3" xfId="21761"/>
    <cellStyle name="Normal 9 2 2 4 7 4" xfId="30201"/>
    <cellStyle name="Normal 9 2 2 4 8" xfId="9102"/>
    <cellStyle name="Normal 9 2 2 4 9" xfId="17544"/>
    <cellStyle name="Normal 9 2 2 5" xfId="979"/>
    <cellStyle name="Normal 9 2 2 5 2" xfId="3212"/>
    <cellStyle name="Normal 9 2 2 5 2 2" xfId="7435"/>
    <cellStyle name="Normal 9 2 2 5 2 2 2" xfId="15871"/>
    <cellStyle name="Normal 9 2 2 5 2 2 3" xfId="24312"/>
    <cellStyle name="Normal 9 2 2 5 2 2 4" xfId="32752"/>
    <cellStyle name="Normal 9 2 2 5 2 3" xfId="11653"/>
    <cellStyle name="Normal 9 2 2 5 2 4" xfId="20095"/>
    <cellStyle name="Normal 9 2 2 5 2 5" xfId="28535"/>
    <cellStyle name="Normal 9 2 2 5 3" xfId="5290"/>
    <cellStyle name="Normal 9 2 2 5 3 2" xfId="13726"/>
    <cellStyle name="Normal 9 2 2 5 3 3" xfId="22167"/>
    <cellStyle name="Normal 9 2 2 5 3 4" xfId="30607"/>
    <cellStyle name="Normal 9 2 2 5 4" xfId="9508"/>
    <cellStyle name="Normal 9 2 2 5 5" xfId="17950"/>
    <cellStyle name="Normal 9 2 2 5 6" xfId="26390"/>
    <cellStyle name="Normal 9 2 2 6" xfId="1395"/>
    <cellStyle name="Normal 9 2 2 6 2" xfId="3625"/>
    <cellStyle name="Normal 9 2 2 6 2 2" xfId="7848"/>
    <cellStyle name="Normal 9 2 2 6 2 2 2" xfId="16284"/>
    <cellStyle name="Normal 9 2 2 6 2 2 3" xfId="24725"/>
    <cellStyle name="Normal 9 2 2 6 2 2 4" xfId="33165"/>
    <cellStyle name="Normal 9 2 2 6 2 3" xfId="12066"/>
    <cellStyle name="Normal 9 2 2 6 2 4" xfId="20508"/>
    <cellStyle name="Normal 9 2 2 6 2 5" xfId="28948"/>
    <cellStyle name="Normal 9 2 2 6 3" xfId="5703"/>
    <cellStyle name="Normal 9 2 2 6 3 2" xfId="14139"/>
    <cellStyle name="Normal 9 2 2 6 3 3" xfId="22580"/>
    <cellStyle name="Normal 9 2 2 6 3 4" xfId="31020"/>
    <cellStyle name="Normal 9 2 2 6 4" xfId="9921"/>
    <cellStyle name="Normal 9 2 2 6 5" xfId="18363"/>
    <cellStyle name="Normal 9 2 2 6 6" xfId="26803"/>
    <cellStyle name="Normal 9 2 2 7" xfId="1808"/>
    <cellStyle name="Normal 9 2 2 7 2" xfId="4038"/>
    <cellStyle name="Normal 9 2 2 7 2 2" xfId="8261"/>
    <cellStyle name="Normal 9 2 2 7 2 2 2" xfId="16697"/>
    <cellStyle name="Normal 9 2 2 7 2 2 3" xfId="25138"/>
    <cellStyle name="Normal 9 2 2 7 2 2 4" xfId="33578"/>
    <cellStyle name="Normal 9 2 2 7 2 3" xfId="12479"/>
    <cellStyle name="Normal 9 2 2 7 2 4" xfId="20921"/>
    <cellStyle name="Normal 9 2 2 7 2 5" xfId="29361"/>
    <cellStyle name="Normal 9 2 2 7 3" xfId="6116"/>
    <cellStyle name="Normal 9 2 2 7 3 2" xfId="14552"/>
    <cellStyle name="Normal 9 2 2 7 3 3" xfId="22993"/>
    <cellStyle name="Normal 9 2 2 7 3 4" xfId="31433"/>
    <cellStyle name="Normal 9 2 2 7 4" xfId="10334"/>
    <cellStyle name="Normal 9 2 2 7 5" xfId="18776"/>
    <cellStyle name="Normal 9 2 2 7 6" xfId="27216"/>
    <cellStyle name="Normal 9 2 2 8" xfId="2222"/>
    <cellStyle name="Normal 9 2 2 8 2" xfId="4451"/>
    <cellStyle name="Normal 9 2 2 8 2 2" xfId="8674"/>
    <cellStyle name="Normal 9 2 2 8 2 2 2" xfId="17110"/>
    <cellStyle name="Normal 9 2 2 8 2 2 3" xfId="25551"/>
    <cellStyle name="Normal 9 2 2 8 2 2 4" xfId="33991"/>
    <cellStyle name="Normal 9 2 2 8 2 3" xfId="12892"/>
    <cellStyle name="Normal 9 2 2 8 2 4" xfId="21334"/>
    <cellStyle name="Normal 9 2 2 8 2 5" xfId="29774"/>
    <cellStyle name="Normal 9 2 2 8 3" xfId="6529"/>
    <cellStyle name="Normal 9 2 2 8 3 2" xfId="14965"/>
    <cellStyle name="Normal 9 2 2 8 3 3" xfId="23406"/>
    <cellStyle name="Normal 9 2 2 8 3 4" xfId="31846"/>
    <cellStyle name="Normal 9 2 2 8 4" xfId="10747"/>
    <cellStyle name="Normal 9 2 2 8 5" xfId="19189"/>
    <cellStyle name="Normal 9 2 2 8 6" xfId="27629"/>
    <cellStyle name="Normal 9 2 2 9" xfId="2658"/>
    <cellStyle name="Normal 9 2 2 9 2" xfId="6942"/>
    <cellStyle name="Normal 9 2 2 9 2 2" xfId="15378"/>
    <cellStyle name="Normal 9 2 2 9 2 3" xfId="23819"/>
    <cellStyle name="Normal 9 2 2 9 2 4" xfId="32259"/>
    <cellStyle name="Normal 9 2 2 9 3" xfId="11160"/>
    <cellStyle name="Normal 9 2 2 9 4" xfId="19602"/>
    <cellStyle name="Normal 9 2 2 9 5" xfId="28042"/>
    <cellStyle name="Normal 9 2 3" xfId="520"/>
    <cellStyle name="Normal 9 2 3 10" xfId="9103"/>
    <cellStyle name="Normal 9 2 3 11" xfId="17545"/>
    <cellStyle name="Normal 9 2 3 12" xfId="25985"/>
    <cellStyle name="Normal 9 2 3 2" xfId="521"/>
    <cellStyle name="Normal 9 2 3 2 10" xfId="17546"/>
    <cellStyle name="Normal 9 2 3 2 11" xfId="25986"/>
    <cellStyle name="Normal 9 2 3 2 2" xfId="522"/>
    <cellStyle name="Normal 9 2 3 2 2 10" xfId="25987"/>
    <cellStyle name="Normal 9 2 3 2 2 2" xfId="989"/>
    <cellStyle name="Normal 9 2 3 2 2 2 2" xfId="3222"/>
    <cellStyle name="Normal 9 2 3 2 2 2 2 2" xfId="7445"/>
    <cellStyle name="Normal 9 2 3 2 2 2 2 2 2" xfId="15881"/>
    <cellStyle name="Normal 9 2 3 2 2 2 2 2 3" xfId="24322"/>
    <cellStyle name="Normal 9 2 3 2 2 2 2 2 4" xfId="32762"/>
    <cellStyle name="Normal 9 2 3 2 2 2 2 3" xfId="11663"/>
    <cellStyle name="Normal 9 2 3 2 2 2 2 4" xfId="20105"/>
    <cellStyle name="Normal 9 2 3 2 2 2 2 5" xfId="28545"/>
    <cellStyle name="Normal 9 2 3 2 2 2 3" xfId="5300"/>
    <cellStyle name="Normal 9 2 3 2 2 2 3 2" xfId="13736"/>
    <cellStyle name="Normal 9 2 3 2 2 2 3 3" xfId="22177"/>
    <cellStyle name="Normal 9 2 3 2 2 2 3 4" xfId="30617"/>
    <cellStyle name="Normal 9 2 3 2 2 2 4" xfId="9518"/>
    <cellStyle name="Normal 9 2 3 2 2 2 5" xfId="17960"/>
    <cellStyle name="Normal 9 2 3 2 2 2 6" xfId="26400"/>
    <cellStyle name="Normal 9 2 3 2 2 3" xfId="1405"/>
    <cellStyle name="Normal 9 2 3 2 2 3 2" xfId="3635"/>
    <cellStyle name="Normal 9 2 3 2 2 3 2 2" xfId="7858"/>
    <cellStyle name="Normal 9 2 3 2 2 3 2 2 2" xfId="16294"/>
    <cellStyle name="Normal 9 2 3 2 2 3 2 2 3" xfId="24735"/>
    <cellStyle name="Normal 9 2 3 2 2 3 2 2 4" xfId="33175"/>
    <cellStyle name="Normal 9 2 3 2 2 3 2 3" xfId="12076"/>
    <cellStyle name="Normal 9 2 3 2 2 3 2 4" xfId="20518"/>
    <cellStyle name="Normal 9 2 3 2 2 3 2 5" xfId="28958"/>
    <cellStyle name="Normal 9 2 3 2 2 3 3" xfId="5713"/>
    <cellStyle name="Normal 9 2 3 2 2 3 3 2" xfId="14149"/>
    <cellStyle name="Normal 9 2 3 2 2 3 3 3" xfId="22590"/>
    <cellStyle name="Normal 9 2 3 2 2 3 3 4" xfId="31030"/>
    <cellStyle name="Normal 9 2 3 2 2 3 4" xfId="9931"/>
    <cellStyle name="Normal 9 2 3 2 2 3 5" xfId="18373"/>
    <cellStyle name="Normal 9 2 3 2 2 3 6" xfId="26813"/>
    <cellStyle name="Normal 9 2 3 2 2 4" xfId="1818"/>
    <cellStyle name="Normal 9 2 3 2 2 4 2" xfId="4048"/>
    <cellStyle name="Normal 9 2 3 2 2 4 2 2" xfId="8271"/>
    <cellStyle name="Normal 9 2 3 2 2 4 2 2 2" xfId="16707"/>
    <cellStyle name="Normal 9 2 3 2 2 4 2 2 3" xfId="25148"/>
    <cellStyle name="Normal 9 2 3 2 2 4 2 2 4" xfId="33588"/>
    <cellStyle name="Normal 9 2 3 2 2 4 2 3" xfId="12489"/>
    <cellStyle name="Normal 9 2 3 2 2 4 2 4" xfId="20931"/>
    <cellStyle name="Normal 9 2 3 2 2 4 2 5" xfId="29371"/>
    <cellStyle name="Normal 9 2 3 2 2 4 3" xfId="6126"/>
    <cellStyle name="Normal 9 2 3 2 2 4 3 2" xfId="14562"/>
    <cellStyle name="Normal 9 2 3 2 2 4 3 3" xfId="23003"/>
    <cellStyle name="Normal 9 2 3 2 2 4 3 4" xfId="31443"/>
    <cellStyle name="Normal 9 2 3 2 2 4 4" xfId="10344"/>
    <cellStyle name="Normal 9 2 3 2 2 4 5" xfId="18786"/>
    <cellStyle name="Normal 9 2 3 2 2 4 6" xfId="27226"/>
    <cellStyle name="Normal 9 2 3 2 2 5" xfId="2232"/>
    <cellStyle name="Normal 9 2 3 2 2 5 2" xfId="4461"/>
    <cellStyle name="Normal 9 2 3 2 2 5 2 2" xfId="8684"/>
    <cellStyle name="Normal 9 2 3 2 2 5 2 2 2" xfId="17120"/>
    <cellStyle name="Normal 9 2 3 2 2 5 2 2 3" xfId="25561"/>
    <cellStyle name="Normal 9 2 3 2 2 5 2 2 4" xfId="34001"/>
    <cellStyle name="Normal 9 2 3 2 2 5 2 3" xfId="12902"/>
    <cellStyle name="Normal 9 2 3 2 2 5 2 4" xfId="21344"/>
    <cellStyle name="Normal 9 2 3 2 2 5 2 5" xfId="29784"/>
    <cellStyle name="Normal 9 2 3 2 2 5 3" xfId="6539"/>
    <cellStyle name="Normal 9 2 3 2 2 5 3 2" xfId="14975"/>
    <cellStyle name="Normal 9 2 3 2 2 5 3 3" xfId="23416"/>
    <cellStyle name="Normal 9 2 3 2 2 5 3 4" xfId="31856"/>
    <cellStyle name="Normal 9 2 3 2 2 5 4" xfId="10757"/>
    <cellStyle name="Normal 9 2 3 2 2 5 5" xfId="19199"/>
    <cellStyle name="Normal 9 2 3 2 2 5 6" xfId="27639"/>
    <cellStyle name="Normal 9 2 3 2 2 6" xfId="2668"/>
    <cellStyle name="Normal 9 2 3 2 2 6 2" xfId="6952"/>
    <cellStyle name="Normal 9 2 3 2 2 6 2 2" xfId="15388"/>
    <cellStyle name="Normal 9 2 3 2 2 6 2 3" xfId="23829"/>
    <cellStyle name="Normal 9 2 3 2 2 6 2 4" xfId="32269"/>
    <cellStyle name="Normal 9 2 3 2 2 6 3" xfId="11170"/>
    <cellStyle name="Normal 9 2 3 2 2 6 4" xfId="19612"/>
    <cellStyle name="Normal 9 2 3 2 2 6 5" xfId="28052"/>
    <cellStyle name="Normal 9 2 3 2 2 7" xfId="4887"/>
    <cellStyle name="Normal 9 2 3 2 2 7 2" xfId="13323"/>
    <cellStyle name="Normal 9 2 3 2 2 7 3" xfId="21764"/>
    <cellStyle name="Normal 9 2 3 2 2 7 4" xfId="30204"/>
    <cellStyle name="Normal 9 2 3 2 2 8" xfId="9105"/>
    <cellStyle name="Normal 9 2 3 2 2 9" xfId="17547"/>
    <cellStyle name="Normal 9 2 3 2 3" xfId="988"/>
    <cellStyle name="Normal 9 2 3 2 3 2" xfId="3221"/>
    <cellStyle name="Normal 9 2 3 2 3 2 2" xfId="7444"/>
    <cellStyle name="Normal 9 2 3 2 3 2 2 2" xfId="15880"/>
    <cellStyle name="Normal 9 2 3 2 3 2 2 3" xfId="24321"/>
    <cellStyle name="Normal 9 2 3 2 3 2 2 4" xfId="32761"/>
    <cellStyle name="Normal 9 2 3 2 3 2 3" xfId="11662"/>
    <cellStyle name="Normal 9 2 3 2 3 2 4" xfId="20104"/>
    <cellStyle name="Normal 9 2 3 2 3 2 5" xfId="28544"/>
    <cellStyle name="Normal 9 2 3 2 3 3" xfId="5299"/>
    <cellStyle name="Normal 9 2 3 2 3 3 2" xfId="13735"/>
    <cellStyle name="Normal 9 2 3 2 3 3 3" xfId="22176"/>
    <cellStyle name="Normal 9 2 3 2 3 3 4" xfId="30616"/>
    <cellStyle name="Normal 9 2 3 2 3 4" xfId="9517"/>
    <cellStyle name="Normal 9 2 3 2 3 5" xfId="17959"/>
    <cellStyle name="Normal 9 2 3 2 3 6" xfId="26399"/>
    <cellStyle name="Normal 9 2 3 2 4" xfId="1404"/>
    <cellStyle name="Normal 9 2 3 2 4 2" xfId="3634"/>
    <cellStyle name="Normal 9 2 3 2 4 2 2" xfId="7857"/>
    <cellStyle name="Normal 9 2 3 2 4 2 2 2" xfId="16293"/>
    <cellStyle name="Normal 9 2 3 2 4 2 2 3" xfId="24734"/>
    <cellStyle name="Normal 9 2 3 2 4 2 2 4" xfId="33174"/>
    <cellStyle name="Normal 9 2 3 2 4 2 3" xfId="12075"/>
    <cellStyle name="Normal 9 2 3 2 4 2 4" xfId="20517"/>
    <cellStyle name="Normal 9 2 3 2 4 2 5" xfId="28957"/>
    <cellStyle name="Normal 9 2 3 2 4 3" xfId="5712"/>
    <cellStyle name="Normal 9 2 3 2 4 3 2" xfId="14148"/>
    <cellStyle name="Normal 9 2 3 2 4 3 3" xfId="22589"/>
    <cellStyle name="Normal 9 2 3 2 4 3 4" xfId="31029"/>
    <cellStyle name="Normal 9 2 3 2 4 4" xfId="9930"/>
    <cellStyle name="Normal 9 2 3 2 4 5" xfId="18372"/>
    <cellStyle name="Normal 9 2 3 2 4 6" xfId="26812"/>
    <cellStyle name="Normal 9 2 3 2 5" xfId="1817"/>
    <cellStyle name="Normal 9 2 3 2 5 2" xfId="4047"/>
    <cellStyle name="Normal 9 2 3 2 5 2 2" xfId="8270"/>
    <cellStyle name="Normal 9 2 3 2 5 2 2 2" xfId="16706"/>
    <cellStyle name="Normal 9 2 3 2 5 2 2 3" xfId="25147"/>
    <cellStyle name="Normal 9 2 3 2 5 2 2 4" xfId="33587"/>
    <cellStyle name="Normal 9 2 3 2 5 2 3" xfId="12488"/>
    <cellStyle name="Normal 9 2 3 2 5 2 4" xfId="20930"/>
    <cellStyle name="Normal 9 2 3 2 5 2 5" xfId="29370"/>
    <cellStyle name="Normal 9 2 3 2 5 3" xfId="6125"/>
    <cellStyle name="Normal 9 2 3 2 5 3 2" xfId="14561"/>
    <cellStyle name="Normal 9 2 3 2 5 3 3" xfId="23002"/>
    <cellStyle name="Normal 9 2 3 2 5 3 4" xfId="31442"/>
    <cellStyle name="Normal 9 2 3 2 5 4" xfId="10343"/>
    <cellStyle name="Normal 9 2 3 2 5 5" xfId="18785"/>
    <cellStyle name="Normal 9 2 3 2 5 6" xfId="27225"/>
    <cellStyle name="Normal 9 2 3 2 6" xfId="2231"/>
    <cellStyle name="Normal 9 2 3 2 6 2" xfId="4460"/>
    <cellStyle name="Normal 9 2 3 2 6 2 2" xfId="8683"/>
    <cellStyle name="Normal 9 2 3 2 6 2 2 2" xfId="17119"/>
    <cellStyle name="Normal 9 2 3 2 6 2 2 3" xfId="25560"/>
    <cellStyle name="Normal 9 2 3 2 6 2 2 4" xfId="34000"/>
    <cellStyle name="Normal 9 2 3 2 6 2 3" xfId="12901"/>
    <cellStyle name="Normal 9 2 3 2 6 2 4" xfId="21343"/>
    <cellStyle name="Normal 9 2 3 2 6 2 5" xfId="29783"/>
    <cellStyle name="Normal 9 2 3 2 6 3" xfId="6538"/>
    <cellStyle name="Normal 9 2 3 2 6 3 2" xfId="14974"/>
    <cellStyle name="Normal 9 2 3 2 6 3 3" xfId="23415"/>
    <cellStyle name="Normal 9 2 3 2 6 3 4" xfId="31855"/>
    <cellStyle name="Normal 9 2 3 2 6 4" xfId="10756"/>
    <cellStyle name="Normal 9 2 3 2 6 5" xfId="19198"/>
    <cellStyle name="Normal 9 2 3 2 6 6" xfId="27638"/>
    <cellStyle name="Normal 9 2 3 2 7" xfId="2667"/>
    <cellStyle name="Normal 9 2 3 2 7 2" xfId="6951"/>
    <cellStyle name="Normal 9 2 3 2 7 2 2" xfId="15387"/>
    <cellStyle name="Normal 9 2 3 2 7 2 3" xfId="23828"/>
    <cellStyle name="Normal 9 2 3 2 7 2 4" xfId="32268"/>
    <cellStyle name="Normal 9 2 3 2 7 3" xfId="11169"/>
    <cellStyle name="Normal 9 2 3 2 7 4" xfId="19611"/>
    <cellStyle name="Normal 9 2 3 2 7 5" xfId="28051"/>
    <cellStyle name="Normal 9 2 3 2 8" xfId="4886"/>
    <cellStyle name="Normal 9 2 3 2 8 2" xfId="13322"/>
    <cellStyle name="Normal 9 2 3 2 8 3" xfId="21763"/>
    <cellStyle name="Normal 9 2 3 2 8 4" xfId="30203"/>
    <cellStyle name="Normal 9 2 3 2 9" xfId="9104"/>
    <cellStyle name="Normal 9 2 3 3" xfId="523"/>
    <cellStyle name="Normal 9 2 3 3 10" xfId="25988"/>
    <cellStyle name="Normal 9 2 3 3 2" xfId="990"/>
    <cellStyle name="Normal 9 2 3 3 2 2" xfId="3223"/>
    <cellStyle name="Normal 9 2 3 3 2 2 2" xfId="7446"/>
    <cellStyle name="Normal 9 2 3 3 2 2 2 2" xfId="15882"/>
    <cellStyle name="Normal 9 2 3 3 2 2 2 3" xfId="24323"/>
    <cellStyle name="Normal 9 2 3 3 2 2 2 4" xfId="32763"/>
    <cellStyle name="Normal 9 2 3 3 2 2 3" xfId="11664"/>
    <cellStyle name="Normal 9 2 3 3 2 2 4" xfId="20106"/>
    <cellStyle name="Normal 9 2 3 3 2 2 5" xfId="28546"/>
    <cellStyle name="Normal 9 2 3 3 2 3" xfId="5301"/>
    <cellStyle name="Normal 9 2 3 3 2 3 2" xfId="13737"/>
    <cellStyle name="Normal 9 2 3 3 2 3 3" xfId="22178"/>
    <cellStyle name="Normal 9 2 3 3 2 3 4" xfId="30618"/>
    <cellStyle name="Normal 9 2 3 3 2 4" xfId="9519"/>
    <cellStyle name="Normal 9 2 3 3 2 5" xfId="17961"/>
    <cellStyle name="Normal 9 2 3 3 2 6" xfId="26401"/>
    <cellStyle name="Normal 9 2 3 3 3" xfId="1406"/>
    <cellStyle name="Normal 9 2 3 3 3 2" xfId="3636"/>
    <cellStyle name="Normal 9 2 3 3 3 2 2" xfId="7859"/>
    <cellStyle name="Normal 9 2 3 3 3 2 2 2" xfId="16295"/>
    <cellStyle name="Normal 9 2 3 3 3 2 2 3" xfId="24736"/>
    <cellStyle name="Normal 9 2 3 3 3 2 2 4" xfId="33176"/>
    <cellStyle name="Normal 9 2 3 3 3 2 3" xfId="12077"/>
    <cellStyle name="Normal 9 2 3 3 3 2 4" xfId="20519"/>
    <cellStyle name="Normal 9 2 3 3 3 2 5" xfId="28959"/>
    <cellStyle name="Normal 9 2 3 3 3 3" xfId="5714"/>
    <cellStyle name="Normal 9 2 3 3 3 3 2" xfId="14150"/>
    <cellStyle name="Normal 9 2 3 3 3 3 3" xfId="22591"/>
    <cellStyle name="Normal 9 2 3 3 3 3 4" xfId="31031"/>
    <cellStyle name="Normal 9 2 3 3 3 4" xfId="9932"/>
    <cellStyle name="Normal 9 2 3 3 3 5" xfId="18374"/>
    <cellStyle name="Normal 9 2 3 3 3 6" xfId="26814"/>
    <cellStyle name="Normal 9 2 3 3 4" xfId="1819"/>
    <cellStyle name="Normal 9 2 3 3 4 2" xfId="4049"/>
    <cellStyle name="Normal 9 2 3 3 4 2 2" xfId="8272"/>
    <cellStyle name="Normal 9 2 3 3 4 2 2 2" xfId="16708"/>
    <cellStyle name="Normal 9 2 3 3 4 2 2 3" xfId="25149"/>
    <cellStyle name="Normal 9 2 3 3 4 2 2 4" xfId="33589"/>
    <cellStyle name="Normal 9 2 3 3 4 2 3" xfId="12490"/>
    <cellStyle name="Normal 9 2 3 3 4 2 4" xfId="20932"/>
    <cellStyle name="Normal 9 2 3 3 4 2 5" xfId="29372"/>
    <cellStyle name="Normal 9 2 3 3 4 3" xfId="6127"/>
    <cellStyle name="Normal 9 2 3 3 4 3 2" xfId="14563"/>
    <cellStyle name="Normal 9 2 3 3 4 3 3" xfId="23004"/>
    <cellStyle name="Normal 9 2 3 3 4 3 4" xfId="31444"/>
    <cellStyle name="Normal 9 2 3 3 4 4" xfId="10345"/>
    <cellStyle name="Normal 9 2 3 3 4 5" xfId="18787"/>
    <cellStyle name="Normal 9 2 3 3 4 6" xfId="27227"/>
    <cellStyle name="Normal 9 2 3 3 5" xfId="2233"/>
    <cellStyle name="Normal 9 2 3 3 5 2" xfId="4462"/>
    <cellStyle name="Normal 9 2 3 3 5 2 2" xfId="8685"/>
    <cellStyle name="Normal 9 2 3 3 5 2 2 2" xfId="17121"/>
    <cellStyle name="Normal 9 2 3 3 5 2 2 3" xfId="25562"/>
    <cellStyle name="Normal 9 2 3 3 5 2 2 4" xfId="34002"/>
    <cellStyle name="Normal 9 2 3 3 5 2 3" xfId="12903"/>
    <cellStyle name="Normal 9 2 3 3 5 2 4" xfId="21345"/>
    <cellStyle name="Normal 9 2 3 3 5 2 5" xfId="29785"/>
    <cellStyle name="Normal 9 2 3 3 5 3" xfId="6540"/>
    <cellStyle name="Normal 9 2 3 3 5 3 2" xfId="14976"/>
    <cellStyle name="Normal 9 2 3 3 5 3 3" xfId="23417"/>
    <cellStyle name="Normal 9 2 3 3 5 3 4" xfId="31857"/>
    <cellStyle name="Normal 9 2 3 3 5 4" xfId="10758"/>
    <cellStyle name="Normal 9 2 3 3 5 5" xfId="19200"/>
    <cellStyle name="Normal 9 2 3 3 5 6" xfId="27640"/>
    <cellStyle name="Normal 9 2 3 3 6" xfId="2669"/>
    <cellStyle name="Normal 9 2 3 3 6 2" xfId="6953"/>
    <cellStyle name="Normal 9 2 3 3 6 2 2" xfId="15389"/>
    <cellStyle name="Normal 9 2 3 3 6 2 3" xfId="23830"/>
    <cellStyle name="Normal 9 2 3 3 6 2 4" xfId="32270"/>
    <cellStyle name="Normal 9 2 3 3 6 3" xfId="11171"/>
    <cellStyle name="Normal 9 2 3 3 6 4" xfId="19613"/>
    <cellStyle name="Normal 9 2 3 3 6 5" xfId="28053"/>
    <cellStyle name="Normal 9 2 3 3 7" xfId="4888"/>
    <cellStyle name="Normal 9 2 3 3 7 2" xfId="13324"/>
    <cellStyle name="Normal 9 2 3 3 7 3" xfId="21765"/>
    <cellStyle name="Normal 9 2 3 3 7 4" xfId="30205"/>
    <cellStyle name="Normal 9 2 3 3 8" xfId="9106"/>
    <cellStyle name="Normal 9 2 3 3 9" xfId="17548"/>
    <cellStyle name="Normal 9 2 3 4" xfId="987"/>
    <cellStyle name="Normal 9 2 3 4 2" xfId="3220"/>
    <cellStyle name="Normal 9 2 3 4 2 2" xfId="7443"/>
    <cellStyle name="Normal 9 2 3 4 2 2 2" xfId="15879"/>
    <cellStyle name="Normal 9 2 3 4 2 2 3" xfId="24320"/>
    <cellStyle name="Normal 9 2 3 4 2 2 4" xfId="32760"/>
    <cellStyle name="Normal 9 2 3 4 2 3" xfId="11661"/>
    <cellStyle name="Normal 9 2 3 4 2 4" xfId="20103"/>
    <cellStyle name="Normal 9 2 3 4 2 5" xfId="28543"/>
    <cellStyle name="Normal 9 2 3 4 3" xfId="5298"/>
    <cellStyle name="Normal 9 2 3 4 3 2" xfId="13734"/>
    <cellStyle name="Normal 9 2 3 4 3 3" xfId="22175"/>
    <cellStyle name="Normal 9 2 3 4 3 4" xfId="30615"/>
    <cellStyle name="Normal 9 2 3 4 4" xfId="9516"/>
    <cellStyle name="Normal 9 2 3 4 5" xfId="17958"/>
    <cellStyle name="Normal 9 2 3 4 6" xfId="26398"/>
    <cellStyle name="Normal 9 2 3 5" xfId="1403"/>
    <cellStyle name="Normal 9 2 3 5 2" xfId="3633"/>
    <cellStyle name="Normal 9 2 3 5 2 2" xfId="7856"/>
    <cellStyle name="Normal 9 2 3 5 2 2 2" xfId="16292"/>
    <cellStyle name="Normal 9 2 3 5 2 2 3" xfId="24733"/>
    <cellStyle name="Normal 9 2 3 5 2 2 4" xfId="33173"/>
    <cellStyle name="Normal 9 2 3 5 2 3" xfId="12074"/>
    <cellStyle name="Normal 9 2 3 5 2 4" xfId="20516"/>
    <cellStyle name="Normal 9 2 3 5 2 5" xfId="28956"/>
    <cellStyle name="Normal 9 2 3 5 3" xfId="5711"/>
    <cellStyle name="Normal 9 2 3 5 3 2" xfId="14147"/>
    <cellStyle name="Normal 9 2 3 5 3 3" xfId="22588"/>
    <cellStyle name="Normal 9 2 3 5 3 4" xfId="31028"/>
    <cellStyle name="Normal 9 2 3 5 4" xfId="9929"/>
    <cellStyle name="Normal 9 2 3 5 5" xfId="18371"/>
    <cellStyle name="Normal 9 2 3 5 6" xfId="26811"/>
    <cellStyle name="Normal 9 2 3 6" xfId="1816"/>
    <cellStyle name="Normal 9 2 3 6 2" xfId="4046"/>
    <cellStyle name="Normal 9 2 3 6 2 2" xfId="8269"/>
    <cellStyle name="Normal 9 2 3 6 2 2 2" xfId="16705"/>
    <cellStyle name="Normal 9 2 3 6 2 2 3" xfId="25146"/>
    <cellStyle name="Normal 9 2 3 6 2 2 4" xfId="33586"/>
    <cellStyle name="Normal 9 2 3 6 2 3" xfId="12487"/>
    <cellStyle name="Normal 9 2 3 6 2 4" xfId="20929"/>
    <cellStyle name="Normal 9 2 3 6 2 5" xfId="29369"/>
    <cellStyle name="Normal 9 2 3 6 3" xfId="6124"/>
    <cellStyle name="Normal 9 2 3 6 3 2" xfId="14560"/>
    <cellStyle name="Normal 9 2 3 6 3 3" xfId="23001"/>
    <cellStyle name="Normal 9 2 3 6 3 4" xfId="31441"/>
    <cellStyle name="Normal 9 2 3 6 4" xfId="10342"/>
    <cellStyle name="Normal 9 2 3 6 5" xfId="18784"/>
    <cellStyle name="Normal 9 2 3 6 6" xfId="27224"/>
    <cellStyle name="Normal 9 2 3 7" xfId="2230"/>
    <cellStyle name="Normal 9 2 3 7 2" xfId="4459"/>
    <cellStyle name="Normal 9 2 3 7 2 2" xfId="8682"/>
    <cellStyle name="Normal 9 2 3 7 2 2 2" xfId="17118"/>
    <cellStyle name="Normal 9 2 3 7 2 2 3" xfId="25559"/>
    <cellStyle name="Normal 9 2 3 7 2 2 4" xfId="33999"/>
    <cellStyle name="Normal 9 2 3 7 2 3" xfId="12900"/>
    <cellStyle name="Normal 9 2 3 7 2 4" xfId="21342"/>
    <cellStyle name="Normal 9 2 3 7 2 5" xfId="29782"/>
    <cellStyle name="Normal 9 2 3 7 3" xfId="6537"/>
    <cellStyle name="Normal 9 2 3 7 3 2" xfId="14973"/>
    <cellStyle name="Normal 9 2 3 7 3 3" xfId="23414"/>
    <cellStyle name="Normal 9 2 3 7 3 4" xfId="31854"/>
    <cellStyle name="Normal 9 2 3 7 4" xfId="10755"/>
    <cellStyle name="Normal 9 2 3 7 5" xfId="19197"/>
    <cellStyle name="Normal 9 2 3 7 6" xfId="27637"/>
    <cellStyle name="Normal 9 2 3 8" xfId="2666"/>
    <cellStyle name="Normal 9 2 3 8 2" xfId="6950"/>
    <cellStyle name="Normal 9 2 3 8 2 2" xfId="15386"/>
    <cellStyle name="Normal 9 2 3 8 2 3" xfId="23827"/>
    <cellStyle name="Normal 9 2 3 8 2 4" xfId="32267"/>
    <cellStyle name="Normal 9 2 3 8 3" xfId="11168"/>
    <cellStyle name="Normal 9 2 3 8 4" xfId="19610"/>
    <cellStyle name="Normal 9 2 3 8 5" xfId="28050"/>
    <cellStyle name="Normal 9 2 3 9" xfId="4885"/>
    <cellStyle name="Normal 9 2 3 9 2" xfId="13321"/>
    <cellStyle name="Normal 9 2 3 9 3" xfId="21762"/>
    <cellStyle name="Normal 9 2 3 9 4" xfId="30202"/>
    <cellStyle name="Normal 9 2 4" xfId="524"/>
    <cellStyle name="Normal 9 2 4 10" xfId="17549"/>
    <cellStyle name="Normal 9 2 4 11" xfId="25989"/>
    <cellStyle name="Normal 9 2 4 2" xfId="525"/>
    <cellStyle name="Normal 9 2 4 2 10" xfId="25990"/>
    <cellStyle name="Normal 9 2 4 2 2" xfId="992"/>
    <cellStyle name="Normal 9 2 4 2 2 2" xfId="3225"/>
    <cellStyle name="Normal 9 2 4 2 2 2 2" xfId="7448"/>
    <cellStyle name="Normal 9 2 4 2 2 2 2 2" xfId="15884"/>
    <cellStyle name="Normal 9 2 4 2 2 2 2 3" xfId="24325"/>
    <cellStyle name="Normal 9 2 4 2 2 2 2 4" xfId="32765"/>
    <cellStyle name="Normal 9 2 4 2 2 2 3" xfId="11666"/>
    <cellStyle name="Normal 9 2 4 2 2 2 4" xfId="20108"/>
    <cellStyle name="Normal 9 2 4 2 2 2 5" xfId="28548"/>
    <cellStyle name="Normal 9 2 4 2 2 3" xfId="5303"/>
    <cellStyle name="Normal 9 2 4 2 2 3 2" xfId="13739"/>
    <cellStyle name="Normal 9 2 4 2 2 3 3" xfId="22180"/>
    <cellStyle name="Normal 9 2 4 2 2 3 4" xfId="30620"/>
    <cellStyle name="Normal 9 2 4 2 2 4" xfId="9521"/>
    <cellStyle name="Normal 9 2 4 2 2 5" xfId="17963"/>
    <cellStyle name="Normal 9 2 4 2 2 6" xfId="26403"/>
    <cellStyle name="Normal 9 2 4 2 3" xfId="1408"/>
    <cellStyle name="Normal 9 2 4 2 3 2" xfId="3638"/>
    <cellStyle name="Normal 9 2 4 2 3 2 2" xfId="7861"/>
    <cellStyle name="Normal 9 2 4 2 3 2 2 2" xfId="16297"/>
    <cellStyle name="Normal 9 2 4 2 3 2 2 3" xfId="24738"/>
    <cellStyle name="Normal 9 2 4 2 3 2 2 4" xfId="33178"/>
    <cellStyle name="Normal 9 2 4 2 3 2 3" xfId="12079"/>
    <cellStyle name="Normal 9 2 4 2 3 2 4" xfId="20521"/>
    <cellStyle name="Normal 9 2 4 2 3 2 5" xfId="28961"/>
    <cellStyle name="Normal 9 2 4 2 3 3" xfId="5716"/>
    <cellStyle name="Normal 9 2 4 2 3 3 2" xfId="14152"/>
    <cellStyle name="Normal 9 2 4 2 3 3 3" xfId="22593"/>
    <cellStyle name="Normal 9 2 4 2 3 3 4" xfId="31033"/>
    <cellStyle name="Normal 9 2 4 2 3 4" xfId="9934"/>
    <cellStyle name="Normal 9 2 4 2 3 5" xfId="18376"/>
    <cellStyle name="Normal 9 2 4 2 3 6" xfId="26816"/>
    <cellStyle name="Normal 9 2 4 2 4" xfId="1821"/>
    <cellStyle name="Normal 9 2 4 2 4 2" xfId="4051"/>
    <cellStyle name="Normal 9 2 4 2 4 2 2" xfId="8274"/>
    <cellStyle name="Normal 9 2 4 2 4 2 2 2" xfId="16710"/>
    <cellStyle name="Normal 9 2 4 2 4 2 2 3" xfId="25151"/>
    <cellStyle name="Normal 9 2 4 2 4 2 2 4" xfId="33591"/>
    <cellStyle name="Normal 9 2 4 2 4 2 3" xfId="12492"/>
    <cellStyle name="Normal 9 2 4 2 4 2 4" xfId="20934"/>
    <cellStyle name="Normal 9 2 4 2 4 2 5" xfId="29374"/>
    <cellStyle name="Normal 9 2 4 2 4 3" xfId="6129"/>
    <cellStyle name="Normal 9 2 4 2 4 3 2" xfId="14565"/>
    <cellStyle name="Normal 9 2 4 2 4 3 3" xfId="23006"/>
    <cellStyle name="Normal 9 2 4 2 4 3 4" xfId="31446"/>
    <cellStyle name="Normal 9 2 4 2 4 4" xfId="10347"/>
    <cellStyle name="Normal 9 2 4 2 4 5" xfId="18789"/>
    <cellStyle name="Normal 9 2 4 2 4 6" xfId="27229"/>
    <cellStyle name="Normal 9 2 4 2 5" xfId="2235"/>
    <cellStyle name="Normal 9 2 4 2 5 2" xfId="4464"/>
    <cellStyle name="Normal 9 2 4 2 5 2 2" xfId="8687"/>
    <cellStyle name="Normal 9 2 4 2 5 2 2 2" xfId="17123"/>
    <cellStyle name="Normal 9 2 4 2 5 2 2 3" xfId="25564"/>
    <cellStyle name="Normal 9 2 4 2 5 2 2 4" xfId="34004"/>
    <cellStyle name="Normal 9 2 4 2 5 2 3" xfId="12905"/>
    <cellStyle name="Normal 9 2 4 2 5 2 4" xfId="21347"/>
    <cellStyle name="Normal 9 2 4 2 5 2 5" xfId="29787"/>
    <cellStyle name="Normal 9 2 4 2 5 3" xfId="6542"/>
    <cellStyle name="Normal 9 2 4 2 5 3 2" xfId="14978"/>
    <cellStyle name="Normal 9 2 4 2 5 3 3" xfId="23419"/>
    <cellStyle name="Normal 9 2 4 2 5 3 4" xfId="31859"/>
    <cellStyle name="Normal 9 2 4 2 5 4" xfId="10760"/>
    <cellStyle name="Normal 9 2 4 2 5 5" xfId="19202"/>
    <cellStyle name="Normal 9 2 4 2 5 6" xfId="27642"/>
    <cellStyle name="Normal 9 2 4 2 6" xfId="2671"/>
    <cellStyle name="Normal 9 2 4 2 6 2" xfId="6955"/>
    <cellStyle name="Normal 9 2 4 2 6 2 2" xfId="15391"/>
    <cellStyle name="Normal 9 2 4 2 6 2 3" xfId="23832"/>
    <cellStyle name="Normal 9 2 4 2 6 2 4" xfId="32272"/>
    <cellStyle name="Normal 9 2 4 2 6 3" xfId="11173"/>
    <cellStyle name="Normal 9 2 4 2 6 4" xfId="19615"/>
    <cellStyle name="Normal 9 2 4 2 6 5" xfId="28055"/>
    <cellStyle name="Normal 9 2 4 2 7" xfId="4890"/>
    <cellStyle name="Normal 9 2 4 2 7 2" xfId="13326"/>
    <cellStyle name="Normal 9 2 4 2 7 3" xfId="21767"/>
    <cellStyle name="Normal 9 2 4 2 7 4" xfId="30207"/>
    <cellStyle name="Normal 9 2 4 2 8" xfId="9108"/>
    <cellStyle name="Normal 9 2 4 2 9" xfId="17550"/>
    <cellStyle name="Normal 9 2 4 3" xfId="991"/>
    <cellStyle name="Normal 9 2 4 3 2" xfId="3224"/>
    <cellStyle name="Normal 9 2 4 3 2 2" xfId="7447"/>
    <cellStyle name="Normal 9 2 4 3 2 2 2" xfId="15883"/>
    <cellStyle name="Normal 9 2 4 3 2 2 3" xfId="24324"/>
    <cellStyle name="Normal 9 2 4 3 2 2 4" xfId="32764"/>
    <cellStyle name="Normal 9 2 4 3 2 3" xfId="11665"/>
    <cellStyle name="Normal 9 2 4 3 2 4" xfId="20107"/>
    <cellStyle name="Normal 9 2 4 3 2 5" xfId="28547"/>
    <cellStyle name="Normal 9 2 4 3 3" xfId="5302"/>
    <cellStyle name="Normal 9 2 4 3 3 2" xfId="13738"/>
    <cellStyle name="Normal 9 2 4 3 3 3" xfId="22179"/>
    <cellStyle name="Normal 9 2 4 3 3 4" xfId="30619"/>
    <cellStyle name="Normal 9 2 4 3 4" xfId="9520"/>
    <cellStyle name="Normal 9 2 4 3 5" xfId="17962"/>
    <cellStyle name="Normal 9 2 4 3 6" xfId="26402"/>
    <cellStyle name="Normal 9 2 4 4" xfId="1407"/>
    <cellStyle name="Normal 9 2 4 4 2" xfId="3637"/>
    <cellStyle name="Normal 9 2 4 4 2 2" xfId="7860"/>
    <cellStyle name="Normal 9 2 4 4 2 2 2" xfId="16296"/>
    <cellStyle name="Normal 9 2 4 4 2 2 3" xfId="24737"/>
    <cellStyle name="Normal 9 2 4 4 2 2 4" xfId="33177"/>
    <cellStyle name="Normal 9 2 4 4 2 3" xfId="12078"/>
    <cellStyle name="Normal 9 2 4 4 2 4" xfId="20520"/>
    <cellStyle name="Normal 9 2 4 4 2 5" xfId="28960"/>
    <cellStyle name="Normal 9 2 4 4 3" xfId="5715"/>
    <cellStyle name="Normal 9 2 4 4 3 2" xfId="14151"/>
    <cellStyle name="Normal 9 2 4 4 3 3" xfId="22592"/>
    <cellStyle name="Normal 9 2 4 4 3 4" xfId="31032"/>
    <cellStyle name="Normal 9 2 4 4 4" xfId="9933"/>
    <cellStyle name="Normal 9 2 4 4 5" xfId="18375"/>
    <cellStyle name="Normal 9 2 4 4 6" xfId="26815"/>
    <cellStyle name="Normal 9 2 4 5" xfId="1820"/>
    <cellStyle name="Normal 9 2 4 5 2" xfId="4050"/>
    <cellStyle name="Normal 9 2 4 5 2 2" xfId="8273"/>
    <cellStyle name="Normal 9 2 4 5 2 2 2" xfId="16709"/>
    <cellStyle name="Normal 9 2 4 5 2 2 3" xfId="25150"/>
    <cellStyle name="Normal 9 2 4 5 2 2 4" xfId="33590"/>
    <cellStyle name="Normal 9 2 4 5 2 3" xfId="12491"/>
    <cellStyle name="Normal 9 2 4 5 2 4" xfId="20933"/>
    <cellStyle name="Normal 9 2 4 5 2 5" xfId="29373"/>
    <cellStyle name="Normal 9 2 4 5 3" xfId="6128"/>
    <cellStyle name="Normal 9 2 4 5 3 2" xfId="14564"/>
    <cellStyle name="Normal 9 2 4 5 3 3" xfId="23005"/>
    <cellStyle name="Normal 9 2 4 5 3 4" xfId="31445"/>
    <cellStyle name="Normal 9 2 4 5 4" xfId="10346"/>
    <cellStyle name="Normal 9 2 4 5 5" xfId="18788"/>
    <cellStyle name="Normal 9 2 4 5 6" xfId="27228"/>
    <cellStyle name="Normal 9 2 4 6" xfId="2234"/>
    <cellStyle name="Normal 9 2 4 6 2" xfId="4463"/>
    <cellStyle name="Normal 9 2 4 6 2 2" xfId="8686"/>
    <cellStyle name="Normal 9 2 4 6 2 2 2" xfId="17122"/>
    <cellStyle name="Normal 9 2 4 6 2 2 3" xfId="25563"/>
    <cellStyle name="Normal 9 2 4 6 2 2 4" xfId="34003"/>
    <cellStyle name="Normal 9 2 4 6 2 3" xfId="12904"/>
    <cellStyle name="Normal 9 2 4 6 2 4" xfId="21346"/>
    <cellStyle name="Normal 9 2 4 6 2 5" xfId="29786"/>
    <cellStyle name="Normal 9 2 4 6 3" xfId="6541"/>
    <cellStyle name="Normal 9 2 4 6 3 2" xfId="14977"/>
    <cellStyle name="Normal 9 2 4 6 3 3" xfId="23418"/>
    <cellStyle name="Normal 9 2 4 6 3 4" xfId="31858"/>
    <cellStyle name="Normal 9 2 4 6 4" xfId="10759"/>
    <cellStyle name="Normal 9 2 4 6 5" xfId="19201"/>
    <cellStyle name="Normal 9 2 4 6 6" xfId="27641"/>
    <cellStyle name="Normal 9 2 4 7" xfId="2670"/>
    <cellStyle name="Normal 9 2 4 7 2" xfId="6954"/>
    <cellStyle name="Normal 9 2 4 7 2 2" xfId="15390"/>
    <cellStyle name="Normal 9 2 4 7 2 3" xfId="23831"/>
    <cellStyle name="Normal 9 2 4 7 2 4" xfId="32271"/>
    <cellStyle name="Normal 9 2 4 7 3" xfId="11172"/>
    <cellStyle name="Normal 9 2 4 7 4" xfId="19614"/>
    <cellStyle name="Normal 9 2 4 7 5" xfId="28054"/>
    <cellStyle name="Normal 9 2 4 8" xfId="4889"/>
    <cellStyle name="Normal 9 2 4 8 2" xfId="13325"/>
    <cellStyle name="Normal 9 2 4 8 3" xfId="21766"/>
    <cellStyle name="Normal 9 2 4 8 4" xfId="30206"/>
    <cellStyle name="Normal 9 2 4 9" xfId="9107"/>
    <cellStyle name="Normal 9 2 5" xfId="526"/>
    <cellStyle name="Normal 9 2 5 10" xfId="25991"/>
    <cellStyle name="Normal 9 2 5 2" xfId="993"/>
    <cellStyle name="Normal 9 2 5 2 2" xfId="3226"/>
    <cellStyle name="Normal 9 2 5 2 2 2" xfId="7449"/>
    <cellStyle name="Normal 9 2 5 2 2 2 2" xfId="15885"/>
    <cellStyle name="Normal 9 2 5 2 2 2 3" xfId="24326"/>
    <cellStyle name="Normal 9 2 5 2 2 2 4" xfId="32766"/>
    <cellStyle name="Normal 9 2 5 2 2 3" xfId="11667"/>
    <cellStyle name="Normal 9 2 5 2 2 4" xfId="20109"/>
    <cellStyle name="Normal 9 2 5 2 2 5" xfId="28549"/>
    <cellStyle name="Normal 9 2 5 2 3" xfId="5304"/>
    <cellStyle name="Normal 9 2 5 2 3 2" xfId="13740"/>
    <cellStyle name="Normal 9 2 5 2 3 3" xfId="22181"/>
    <cellStyle name="Normal 9 2 5 2 3 4" xfId="30621"/>
    <cellStyle name="Normal 9 2 5 2 4" xfId="9522"/>
    <cellStyle name="Normal 9 2 5 2 5" xfId="17964"/>
    <cellStyle name="Normal 9 2 5 2 6" xfId="26404"/>
    <cellStyle name="Normal 9 2 5 3" xfId="1409"/>
    <cellStyle name="Normal 9 2 5 3 2" xfId="3639"/>
    <cellStyle name="Normal 9 2 5 3 2 2" xfId="7862"/>
    <cellStyle name="Normal 9 2 5 3 2 2 2" xfId="16298"/>
    <cellStyle name="Normal 9 2 5 3 2 2 3" xfId="24739"/>
    <cellStyle name="Normal 9 2 5 3 2 2 4" xfId="33179"/>
    <cellStyle name="Normal 9 2 5 3 2 3" xfId="12080"/>
    <cellStyle name="Normal 9 2 5 3 2 4" xfId="20522"/>
    <cellStyle name="Normal 9 2 5 3 2 5" xfId="28962"/>
    <cellStyle name="Normal 9 2 5 3 3" xfId="5717"/>
    <cellStyle name="Normal 9 2 5 3 3 2" xfId="14153"/>
    <cellStyle name="Normal 9 2 5 3 3 3" xfId="22594"/>
    <cellStyle name="Normal 9 2 5 3 3 4" xfId="31034"/>
    <cellStyle name="Normal 9 2 5 3 4" xfId="9935"/>
    <cellStyle name="Normal 9 2 5 3 5" xfId="18377"/>
    <cellStyle name="Normal 9 2 5 3 6" xfId="26817"/>
    <cellStyle name="Normal 9 2 5 4" xfId="1822"/>
    <cellStyle name="Normal 9 2 5 4 2" xfId="4052"/>
    <cellStyle name="Normal 9 2 5 4 2 2" xfId="8275"/>
    <cellStyle name="Normal 9 2 5 4 2 2 2" xfId="16711"/>
    <cellStyle name="Normal 9 2 5 4 2 2 3" xfId="25152"/>
    <cellStyle name="Normal 9 2 5 4 2 2 4" xfId="33592"/>
    <cellStyle name="Normal 9 2 5 4 2 3" xfId="12493"/>
    <cellStyle name="Normal 9 2 5 4 2 4" xfId="20935"/>
    <cellStyle name="Normal 9 2 5 4 2 5" xfId="29375"/>
    <cellStyle name="Normal 9 2 5 4 3" xfId="6130"/>
    <cellStyle name="Normal 9 2 5 4 3 2" xfId="14566"/>
    <cellStyle name="Normal 9 2 5 4 3 3" xfId="23007"/>
    <cellStyle name="Normal 9 2 5 4 3 4" xfId="31447"/>
    <cellStyle name="Normal 9 2 5 4 4" xfId="10348"/>
    <cellStyle name="Normal 9 2 5 4 5" xfId="18790"/>
    <cellStyle name="Normal 9 2 5 4 6" xfId="27230"/>
    <cellStyle name="Normal 9 2 5 5" xfId="2236"/>
    <cellStyle name="Normal 9 2 5 5 2" xfId="4465"/>
    <cellStyle name="Normal 9 2 5 5 2 2" xfId="8688"/>
    <cellStyle name="Normal 9 2 5 5 2 2 2" xfId="17124"/>
    <cellStyle name="Normal 9 2 5 5 2 2 3" xfId="25565"/>
    <cellStyle name="Normal 9 2 5 5 2 2 4" xfId="34005"/>
    <cellStyle name="Normal 9 2 5 5 2 3" xfId="12906"/>
    <cellStyle name="Normal 9 2 5 5 2 4" xfId="21348"/>
    <cellStyle name="Normal 9 2 5 5 2 5" xfId="29788"/>
    <cellStyle name="Normal 9 2 5 5 3" xfId="6543"/>
    <cellStyle name="Normal 9 2 5 5 3 2" xfId="14979"/>
    <cellStyle name="Normal 9 2 5 5 3 3" xfId="23420"/>
    <cellStyle name="Normal 9 2 5 5 3 4" xfId="31860"/>
    <cellStyle name="Normal 9 2 5 5 4" xfId="10761"/>
    <cellStyle name="Normal 9 2 5 5 5" xfId="19203"/>
    <cellStyle name="Normal 9 2 5 5 6" xfId="27643"/>
    <cellStyle name="Normal 9 2 5 6" xfId="2672"/>
    <cellStyle name="Normal 9 2 5 6 2" xfId="6956"/>
    <cellStyle name="Normal 9 2 5 6 2 2" xfId="15392"/>
    <cellStyle name="Normal 9 2 5 6 2 3" xfId="23833"/>
    <cellStyle name="Normal 9 2 5 6 2 4" xfId="32273"/>
    <cellStyle name="Normal 9 2 5 6 3" xfId="11174"/>
    <cellStyle name="Normal 9 2 5 6 4" xfId="19616"/>
    <cellStyle name="Normal 9 2 5 6 5" xfId="28056"/>
    <cellStyle name="Normal 9 2 5 7" xfId="4891"/>
    <cellStyle name="Normal 9 2 5 7 2" xfId="13327"/>
    <cellStyle name="Normal 9 2 5 7 3" xfId="21768"/>
    <cellStyle name="Normal 9 2 5 7 4" xfId="30208"/>
    <cellStyle name="Normal 9 2 5 8" xfId="9109"/>
    <cellStyle name="Normal 9 2 5 9" xfId="17551"/>
    <cellStyle name="Normal 9 2 6" xfId="978"/>
    <cellStyle name="Normal 9 2 6 2" xfId="3211"/>
    <cellStyle name="Normal 9 2 6 2 2" xfId="7434"/>
    <cellStyle name="Normal 9 2 6 2 2 2" xfId="15870"/>
    <cellStyle name="Normal 9 2 6 2 2 3" xfId="24311"/>
    <cellStyle name="Normal 9 2 6 2 2 4" xfId="32751"/>
    <cellStyle name="Normal 9 2 6 2 3" xfId="11652"/>
    <cellStyle name="Normal 9 2 6 2 4" xfId="20094"/>
    <cellStyle name="Normal 9 2 6 2 5" xfId="28534"/>
    <cellStyle name="Normal 9 2 6 3" xfId="5289"/>
    <cellStyle name="Normal 9 2 6 3 2" xfId="13725"/>
    <cellStyle name="Normal 9 2 6 3 3" xfId="22166"/>
    <cellStyle name="Normal 9 2 6 3 4" xfId="30606"/>
    <cellStyle name="Normal 9 2 6 4" xfId="9507"/>
    <cellStyle name="Normal 9 2 6 5" xfId="17949"/>
    <cellStyle name="Normal 9 2 6 6" xfId="26389"/>
    <cellStyle name="Normal 9 2 7" xfId="1394"/>
    <cellStyle name="Normal 9 2 7 2" xfId="3624"/>
    <cellStyle name="Normal 9 2 7 2 2" xfId="7847"/>
    <cellStyle name="Normal 9 2 7 2 2 2" xfId="16283"/>
    <cellStyle name="Normal 9 2 7 2 2 3" xfId="24724"/>
    <cellStyle name="Normal 9 2 7 2 2 4" xfId="33164"/>
    <cellStyle name="Normal 9 2 7 2 3" xfId="12065"/>
    <cellStyle name="Normal 9 2 7 2 4" xfId="20507"/>
    <cellStyle name="Normal 9 2 7 2 5" xfId="28947"/>
    <cellStyle name="Normal 9 2 7 3" xfId="5702"/>
    <cellStyle name="Normal 9 2 7 3 2" xfId="14138"/>
    <cellStyle name="Normal 9 2 7 3 3" xfId="22579"/>
    <cellStyle name="Normal 9 2 7 3 4" xfId="31019"/>
    <cellStyle name="Normal 9 2 7 4" xfId="9920"/>
    <cellStyle name="Normal 9 2 7 5" xfId="18362"/>
    <cellStyle name="Normal 9 2 7 6" xfId="26802"/>
    <cellStyle name="Normal 9 2 8" xfId="1807"/>
    <cellStyle name="Normal 9 2 8 2" xfId="4037"/>
    <cellStyle name="Normal 9 2 8 2 2" xfId="8260"/>
    <cellStyle name="Normal 9 2 8 2 2 2" xfId="16696"/>
    <cellStyle name="Normal 9 2 8 2 2 3" xfId="25137"/>
    <cellStyle name="Normal 9 2 8 2 2 4" xfId="33577"/>
    <cellStyle name="Normal 9 2 8 2 3" xfId="12478"/>
    <cellStyle name="Normal 9 2 8 2 4" xfId="20920"/>
    <cellStyle name="Normal 9 2 8 2 5" xfId="29360"/>
    <cellStyle name="Normal 9 2 8 3" xfId="6115"/>
    <cellStyle name="Normal 9 2 8 3 2" xfId="14551"/>
    <cellStyle name="Normal 9 2 8 3 3" xfId="22992"/>
    <cellStyle name="Normal 9 2 8 3 4" xfId="31432"/>
    <cellStyle name="Normal 9 2 8 4" xfId="10333"/>
    <cellStyle name="Normal 9 2 8 5" xfId="18775"/>
    <cellStyle name="Normal 9 2 8 6" xfId="27215"/>
    <cellStyle name="Normal 9 2 9" xfId="2221"/>
    <cellStyle name="Normal 9 2 9 2" xfId="4450"/>
    <cellStyle name="Normal 9 2 9 2 2" xfId="8673"/>
    <cellStyle name="Normal 9 2 9 2 2 2" xfId="17109"/>
    <cellStyle name="Normal 9 2 9 2 2 3" xfId="25550"/>
    <cellStyle name="Normal 9 2 9 2 2 4" xfId="33990"/>
    <cellStyle name="Normal 9 2 9 2 3" xfId="12891"/>
    <cellStyle name="Normal 9 2 9 2 4" xfId="21333"/>
    <cellStyle name="Normal 9 2 9 2 5" xfId="29773"/>
    <cellStyle name="Normal 9 2 9 3" xfId="6528"/>
    <cellStyle name="Normal 9 2 9 3 2" xfId="14964"/>
    <cellStyle name="Normal 9 2 9 3 3" xfId="23405"/>
    <cellStyle name="Normal 9 2 9 3 4" xfId="31845"/>
    <cellStyle name="Normal 9 2 9 4" xfId="10746"/>
    <cellStyle name="Normal 9 2 9 5" xfId="19188"/>
    <cellStyle name="Normal 9 2 9 6" xfId="27628"/>
    <cellStyle name="Normal 9 3" xfId="527"/>
    <cellStyle name="Normal 9 3 10" xfId="4892"/>
    <cellStyle name="Normal 9 3 10 2" xfId="13328"/>
    <cellStyle name="Normal 9 3 10 3" xfId="21769"/>
    <cellStyle name="Normal 9 3 10 4" xfId="30209"/>
    <cellStyle name="Normal 9 3 11" xfId="9110"/>
    <cellStyle name="Normal 9 3 12" xfId="17552"/>
    <cellStyle name="Normal 9 3 13" xfId="25992"/>
    <cellStyle name="Normal 9 3 2" xfId="528"/>
    <cellStyle name="Normal 9 3 2 10" xfId="9111"/>
    <cellStyle name="Normal 9 3 2 11" xfId="17553"/>
    <cellStyle name="Normal 9 3 2 12" xfId="25993"/>
    <cellStyle name="Normal 9 3 2 2" xfId="529"/>
    <cellStyle name="Normal 9 3 2 2 10" xfId="17554"/>
    <cellStyle name="Normal 9 3 2 2 11" xfId="25994"/>
    <cellStyle name="Normal 9 3 2 2 2" xfId="530"/>
    <cellStyle name="Normal 9 3 2 2 2 10" xfId="25995"/>
    <cellStyle name="Normal 9 3 2 2 2 2" xfId="997"/>
    <cellStyle name="Normal 9 3 2 2 2 2 2" xfId="3230"/>
    <cellStyle name="Normal 9 3 2 2 2 2 2 2" xfId="7453"/>
    <cellStyle name="Normal 9 3 2 2 2 2 2 2 2" xfId="15889"/>
    <cellStyle name="Normal 9 3 2 2 2 2 2 2 3" xfId="24330"/>
    <cellStyle name="Normal 9 3 2 2 2 2 2 2 4" xfId="32770"/>
    <cellStyle name="Normal 9 3 2 2 2 2 2 3" xfId="11671"/>
    <cellStyle name="Normal 9 3 2 2 2 2 2 4" xfId="20113"/>
    <cellStyle name="Normal 9 3 2 2 2 2 2 5" xfId="28553"/>
    <cellStyle name="Normal 9 3 2 2 2 2 3" xfId="5308"/>
    <cellStyle name="Normal 9 3 2 2 2 2 3 2" xfId="13744"/>
    <cellStyle name="Normal 9 3 2 2 2 2 3 3" xfId="22185"/>
    <cellStyle name="Normal 9 3 2 2 2 2 3 4" xfId="30625"/>
    <cellStyle name="Normal 9 3 2 2 2 2 4" xfId="9526"/>
    <cellStyle name="Normal 9 3 2 2 2 2 5" xfId="17968"/>
    <cellStyle name="Normal 9 3 2 2 2 2 6" xfId="26408"/>
    <cellStyle name="Normal 9 3 2 2 2 3" xfId="1413"/>
    <cellStyle name="Normal 9 3 2 2 2 3 2" xfId="3643"/>
    <cellStyle name="Normal 9 3 2 2 2 3 2 2" xfId="7866"/>
    <cellStyle name="Normal 9 3 2 2 2 3 2 2 2" xfId="16302"/>
    <cellStyle name="Normal 9 3 2 2 2 3 2 2 3" xfId="24743"/>
    <cellStyle name="Normal 9 3 2 2 2 3 2 2 4" xfId="33183"/>
    <cellStyle name="Normal 9 3 2 2 2 3 2 3" xfId="12084"/>
    <cellStyle name="Normal 9 3 2 2 2 3 2 4" xfId="20526"/>
    <cellStyle name="Normal 9 3 2 2 2 3 2 5" xfId="28966"/>
    <cellStyle name="Normal 9 3 2 2 2 3 3" xfId="5721"/>
    <cellStyle name="Normal 9 3 2 2 2 3 3 2" xfId="14157"/>
    <cellStyle name="Normal 9 3 2 2 2 3 3 3" xfId="22598"/>
    <cellStyle name="Normal 9 3 2 2 2 3 3 4" xfId="31038"/>
    <cellStyle name="Normal 9 3 2 2 2 3 4" xfId="9939"/>
    <cellStyle name="Normal 9 3 2 2 2 3 5" xfId="18381"/>
    <cellStyle name="Normal 9 3 2 2 2 3 6" xfId="26821"/>
    <cellStyle name="Normal 9 3 2 2 2 4" xfId="1826"/>
    <cellStyle name="Normal 9 3 2 2 2 4 2" xfId="4056"/>
    <cellStyle name="Normal 9 3 2 2 2 4 2 2" xfId="8279"/>
    <cellStyle name="Normal 9 3 2 2 2 4 2 2 2" xfId="16715"/>
    <cellStyle name="Normal 9 3 2 2 2 4 2 2 3" xfId="25156"/>
    <cellStyle name="Normal 9 3 2 2 2 4 2 2 4" xfId="33596"/>
    <cellStyle name="Normal 9 3 2 2 2 4 2 3" xfId="12497"/>
    <cellStyle name="Normal 9 3 2 2 2 4 2 4" xfId="20939"/>
    <cellStyle name="Normal 9 3 2 2 2 4 2 5" xfId="29379"/>
    <cellStyle name="Normal 9 3 2 2 2 4 3" xfId="6134"/>
    <cellStyle name="Normal 9 3 2 2 2 4 3 2" xfId="14570"/>
    <cellStyle name="Normal 9 3 2 2 2 4 3 3" xfId="23011"/>
    <cellStyle name="Normal 9 3 2 2 2 4 3 4" xfId="31451"/>
    <cellStyle name="Normal 9 3 2 2 2 4 4" xfId="10352"/>
    <cellStyle name="Normal 9 3 2 2 2 4 5" xfId="18794"/>
    <cellStyle name="Normal 9 3 2 2 2 4 6" xfId="27234"/>
    <cellStyle name="Normal 9 3 2 2 2 5" xfId="2240"/>
    <cellStyle name="Normal 9 3 2 2 2 5 2" xfId="4469"/>
    <cellStyle name="Normal 9 3 2 2 2 5 2 2" xfId="8692"/>
    <cellStyle name="Normal 9 3 2 2 2 5 2 2 2" xfId="17128"/>
    <cellStyle name="Normal 9 3 2 2 2 5 2 2 3" xfId="25569"/>
    <cellStyle name="Normal 9 3 2 2 2 5 2 2 4" xfId="34009"/>
    <cellStyle name="Normal 9 3 2 2 2 5 2 3" xfId="12910"/>
    <cellStyle name="Normal 9 3 2 2 2 5 2 4" xfId="21352"/>
    <cellStyle name="Normal 9 3 2 2 2 5 2 5" xfId="29792"/>
    <cellStyle name="Normal 9 3 2 2 2 5 3" xfId="6547"/>
    <cellStyle name="Normal 9 3 2 2 2 5 3 2" xfId="14983"/>
    <cellStyle name="Normal 9 3 2 2 2 5 3 3" xfId="23424"/>
    <cellStyle name="Normal 9 3 2 2 2 5 3 4" xfId="31864"/>
    <cellStyle name="Normal 9 3 2 2 2 5 4" xfId="10765"/>
    <cellStyle name="Normal 9 3 2 2 2 5 5" xfId="19207"/>
    <cellStyle name="Normal 9 3 2 2 2 5 6" xfId="27647"/>
    <cellStyle name="Normal 9 3 2 2 2 6" xfId="2676"/>
    <cellStyle name="Normal 9 3 2 2 2 6 2" xfId="6960"/>
    <cellStyle name="Normal 9 3 2 2 2 6 2 2" xfId="15396"/>
    <cellStyle name="Normal 9 3 2 2 2 6 2 3" xfId="23837"/>
    <cellStyle name="Normal 9 3 2 2 2 6 2 4" xfId="32277"/>
    <cellStyle name="Normal 9 3 2 2 2 6 3" xfId="11178"/>
    <cellStyle name="Normal 9 3 2 2 2 6 4" xfId="19620"/>
    <cellStyle name="Normal 9 3 2 2 2 6 5" xfId="28060"/>
    <cellStyle name="Normal 9 3 2 2 2 7" xfId="4895"/>
    <cellStyle name="Normal 9 3 2 2 2 7 2" xfId="13331"/>
    <cellStyle name="Normal 9 3 2 2 2 7 3" xfId="21772"/>
    <cellStyle name="Normal 9 3 2 2 2 7 4" xfId="30212"/>
    <cellStyle name="Normal 9 3 2 2 2 8" xfId="9113"/>
    <cellStyle name="Normal 9 3 2 2 2 9" xfId="17555"/>
    <cellStyle name="Normal 9 3 2 2 3" xfId="996"/>
    <cellStyle name="Normal 9 3 2 2 3 2" xfId="3229"/>
    <cellStyle name="Normal 9 3 2 2 3 2 2" xfId="7452"/>
    <cellStyle name="Normal 9 3 2 2 3 2 2 2" xfId="15888"/>
    <cellStyle name="Normal 9 3 2 2 3 2 2 3" xfId="24329"/>
    <cellStyle name="Normal 9 3 2 2 3 2 2 4" xfId="32769"/>
    <cellStyle name="Normal 9 3 2 2 3 2 3" xfId="11670"/>
    <cellStyle name="Normal 9 3 2 2 3 2 4" xfId="20112"/>
    <cellStyle name="Normal 9 3 2 2 3 2 5" xfId="28552"/>
    <cellStyle name="Normal 9 3 2 2 3 3" xfId="5307"/>
    <cellStyle name="Normal 9 3 2 2 3 3 2" xfId="13743"/>
    <cellStyle name="Normal 9 3 2 2 3 3 3" xfId="22184"/>
    <cellStyle name="Normal 9 3 2 2 3 3 4" xfId="30624"/>
    <cellStyle name="Normal 9 3 2 2 3 4" xfId="9525"/>
    <cellStyle name="Normal 9 3 2 2 3 5" xfId="17967"/>
    <cellStyle name="Normal 9 3 2 2 3 6" xfId="26407"/>
    <cellStyle name="Normal 9 3 2 2 4" xfId="1412"/>
    <cellStyle name="Normal 9 3 2 2 4 2" xfId="3642"/>
    <cellStyle name="Normal 9 3 2 2 4 2 2" xfId="7865"/>
    <cellStyle name="Normal 9 3 2 2 4 2 2 2" xfId="16301"/>
    <cellStyle name="Normal 9 3 2 2 4 2 2 3" xfId="24742"/>
    <cellStyle name="Normal 9 3 2 2 4 2 2 4" xfId="33182"/>
    <cellStyle name="Normal 9 3 2 2 4 2 3" xfId="12083"/>
    <cellStyle name="Normal 9 3 2 2 4 2 4" xfId="20525"/>
    <cellStyle name="Normal 9 3 2 2 4 2 5" xfId="28965"/>
    <cellStyle name="Normal 9 3 2 2 4 3" xfId="5720"/>
    <cellStyle name="Normal 9 3 2 2 4 3 2" xfId="14156"/>
    <cellStyle name="Normal 9 3 2 2 4 3 3" xfId="22597"/>
    <cellStyle name="Normal 9 3 2 2 4 3 4" xfId="31037"/>
    <cellStyle name="Normal 9 3 2 2 4 4" xfId="9938"/>
    <cellStyle name="Normal 9 3 2 2 4 5" xfId="18380"/>
    <cellStyle name="Normal 9 3 2 2 4 6" xfId="26820"/>
    <cellStyle name="Normal 9 3 2 2 5" xfId="1825"/>
    <cellStyle name="Normal 9 3 2 2 5 2" xfId="4055"/>
    <cellStyle name="Normal 9 3 2 2 5 2 2" xfId="8278"/>
    <cellStyle name="Normal 9 3 2 2 5 2 2 2" xfId="16714"/>
    <cellStyle name="Normal 9 3 2 2 5 2 2 3" xfId="25155"/>
    <cellStyle name="Normal 9 3 2 2 5 2 2 4" xfId="33595"/>
    <cellStyle name="Normal 9 3 2 2 5 2 3" xfId="12496"/>
    <cellStyle name="Normal 9 3 2 2 5 2 4" xfId="20938"/>
    <cellStyle name="Normal 9 3 2 2 5 2 5" xfId="29378"/>
    <cellStyle name="Normal 9 3 2 2 5 3" xfId="6133"/>
    <cellStyle name="Normal 9 3 2 2 5 3 2" xfId="14569"/>
    <cellStyle name="Normal 9 3 2 2 5 3 3" xfId="23010"/>
    <cellStyle name="Normal 9 3 2 2 5 3 4" xfId="31450"/>
    <cellStyle name="Normal 9 3 2 2 5 4" xfId="10351"/>
    <cellStyle name="Normal 9 3 2 2 5 5" xfId="18793"/>
    <cellStyle name="Normal 9 3 2 2 5 6" xfId="27233"/>
    <cellStyle name="Normal 9 3 2 2 6" xfId="2239"/>
    <cellStyle name="Normal 9 3 2 2 6 2" xfId="4468"/>
    <cellStyle name="Normal 9 3 2 2 6 2 2" xfId="8691"/>
    <cellStyle name="Normal 9 3 2 2 6 2 2 2" xfId="17127"/>
    <cellStyle name="Normal 9 3 2 2 6 2 2 3" xfId="25568"/>
    <cellStyle name="Normal 9 3 2 2 6 2 2 4" xfId="34008"/>
    <cellStyle name="Normal 9 3 2 2 6 2 3" xfId="12909"/>
    <cellStyle name="Normal 9 3 2 2 6 2 4" xfId="21351"/>
    <cellStyle name="Normal 9 3 2 2 6 2 5" xfId="29791"/>
    <cellStyle name="Normal 9 3 2 2 6 3" xfId="6546"/>
    <cellStyle name="Normal 9 3 2 2 6 3 2" xfId="14982"/>
    <cellStyle name="Normal 9 3 2 2 6 3 3" xfId="23423"/>
    <cellStyle name="Normal 9 3 2 2 6 3 4" xfId="31863"/>
    <cellStyle name="Normal 9 3 2 2 6 4" xfId="10764"/>
    <cellStyle name="Normal 9 3 2 2 6 5" xfId="19206"/>
    <cellStyle name="Normal 9 3 2 2 6 6" xfId="27646"/>
    <cellStyle name="Normal 9 3 2 2 7" xfId="2675"/>
    <cellStyle name="Normal 9 3 2 2 7 2" xfId="6959"/>
    <cellStyle name="Normal 9 3 2 2 7 2 2" xfId="15395"/>
    <cellStyle name="Normal 9 3 2 2 7 2 3" xfId="23836"/>
    <cellStyle name="Normal 9 3 2 2 7 2 4" xfId="32276"/>
    <cellStyle name="Normal 9 3 2 2 7 3" xfId="11177"/>
    <cellStyle name="Normal 9 3 2 2 7 4" xfId="19619"/>
    <cellStyle name="Normal 9 3 2 2 7 5" xfId="28059"/>
    <cellStyle name="Normal 9 3 2 2 8" xfId="4894"/>
    <cellStyle name="Normal 9 3 2 2 8 2" xfId="13330"/>
    <cellStyle name="Normal 9 3 2 2 8 3" xfId="21771"/>
    <cellStyle name="Normal 9 3 2 2 8 4" xfId="30211"/>
    <cellStyle name="Normal 9 3 2 2 9" xfId="9112"/>
    <cellStyle name="Normal 9 3 2 3" xfId="531"/>
    <cellStyle name="Normal 9 3 2 3 10" xfId="25996"/>
    <cellStyle name="Normal 9 3 2 3 2" xfId="998"/>
    <cellStyle name="Normal 9 3 2 3 2 2" xfId="3231"/>
    <cellStyle name="Normal 9 3 2 3 2 2 2" xfId="7454"/>
    <cellStyle name="Normal 9 3 2 3 2 2 2 2" xfId="15890"/>
    <cellStyle name="Normal 9 3 2 3 2 2 2 3" xfId="24331"/>
    <cellStyle name="Normal 9 3 2 3 2 2 2 4" xfId="32771"/>
    <cellStyle name="Normal 9 3 2 3 2 2 3" xfId="11672"/>
    <cellStyle name="Normal 9 3 2 3 2 2 4" xfId="20114"/>
    <cellStyle name="Normal 9 3 2 3 2 2 5" xfId="28554"/>
    <cellStyle name="Normal 9 3 2 3 2 3" xfId="5309"/>
    <cellStyle name="Normal 9 3 2 3 2 3 2" xfId="13745"/>
    <cellStyle name="Normal 9 3 2 3 2 3 3" xfId="22186"/>
    <cellStyle name="Normal 9 3 2 3 2 3 4" xfId="30626"/>
    <cellStyle name="Normal 9 3 2 3 2 4" xfId="9527"/>
    <cellStyle name="Normal 9 3 2 3 2 5" xfId="17969"/>
    <cellStyle name="Normal 9 3 2 3 2 6" xfId="26409"/>
    <cellStyle name="Normal 9 3 2 3 3" xfId="1414"/>
    <cellStyle name="Normal 9 3 2 3 3 2" xfId="3644"/>
    <cellStyle name="Normal 9 3 2 3 3 2 2" xfId="7867"/>
    <cellStyle name="Normal 9 3 2 3 3 2 2 2" xfId="16303"/>
    <cellStyle name="Normal 9 3 2 3 3 2 2 3" xfId="24744"/>
    <cellStyle name="Normal 9 3 2 3 3 2 2 4" xfId="33184"/>
    <cellStyle name="Normal 9 3 2 3 3 2 3" xfId="12085"/>
    <cellStyle name="Normal 9 3 2 3 3 2 4" xfId="20527"/>
    <cellStyle name="Normal 9 3 2 3 3 2 5" xfId="28967"/>
    <cellStyle name="Normal 9 3 2 3 3 3" xfId="5722"/>
    <cellStyle name="Normal 9 3 2 3 3 3 2" xfId="14158"/>
    <cellStyle name="Normal 9 3 2 3 3 3 3" xfId="22599"/>
    <cellStyle name="Normal 9 3 2 3 3 3 4" xfId="31039"/>
    <cellStyle name="Normal 9 3 2 3 3 4" xfId="9940"/>
    <cellStyle name="Normal 9 3 2 3 3 5" xfId="18382"/>
    <cellStyle name="Normal 9 3 2 3 3 6" xfId="26822"/>
    <cellStyle name="Normal 9 3 2 3 4" xfId="1827"/>
    <cellStyle name="Normal 9 3 2 3 4 2" xfId="4057"/>
    <cellStyle name="Normal 9 3 2 3 4 2 2" xfId="8280"/>
    <cellStyle name="Normal 9 3 2 3 4 2 2 2" xfId="16716"/>
    <cellStyle name="Normal 9 3 2 3 4 2 2 3" xfId="25157"/>
    <cellStyle name="Normal 9 3 2 3 4 2 2 4" xfId="33597"/>
    <cellStyle name="Normal 9 3 2 3 4 2 3" xfId="12498"/>
    <cellStyle name="Normal 9 3 2 3 4 2 4" xfId="20940"/>
    <cellStyle name="Normal 9 3 2 3 4 2 5" xfId="29380"/>
    <cellStyle name="Normal 9 3 2 3 4 3" xfId="6135"/>
    <cellStyle name="Normal 9 3 2 3 4 3 2" xfId="14571"/>
    <cellStyle name="Normal 9 3 2 3 4 3 3" xfId="23012"/>
    <cellStyle name="Normal 9 3 2 3 4 3 4" xfId="31452"/>
    <cellStyle name="Normal 9 3 2 3 4 4" xfId="10353"/>
    <cellStyle name="Normal 9 3 2 3 4 5" xfId="18795"/>
    <cellStyle name="Normal 9 3 2 3 4 6" xfId="27235"/>
    <cellStyle name="Normal 9 3 2 3 5" xfId="2241"/>
    <cellStyle name="Normal 9 3 2 3 5 2" xfId="4470"/>
    <cellStyle name="Normal 9 3 2 3 5 2 2" xfId="8693"/>
    <cellStyle name="Normal 9 3 2 3 5 2 2 2" xfId="17129"/>
    <cellStyle name="Normal 9 3 2 3 5 2 2 3" xfId="25570"/>
    <cellStyle name="Normal 9 3 2 3 5 2 2 4" xfId="34010"/>
    <cellStyle name="Normal 9 3 2 3 5 2 3" xfId="12911"/>
    <cellStyle name="Normal 9 3 2 3 5 2 4" xfId="21353"/>
    <cellStyle name="Normal 9 3 2 3 5 2 5" xfId="29793"/>
    <cellStyle name="Normal 9 3 2 3 5 3" xfId="6548"/>
    <cellStyle name="Normal 9 3 2 3 5 3 2" xfId="14984"/>
    <cellStyle name="Normal 9 3 2 3 5 3 3" xfId="23425"/>
    <cellStyle name="Normal 9 3 2 3 5 3 4" xfId="31865"/>
    <cellStyle name="Normal 9 3 2 3 5 4" xfId="10766"/>
    <cellStyle name="Normal 9 3 2 3 5 5" xfId="19208"/>
    <cellStyle name="Normal 9 3 2 3 5 6" xfId="27648"/>
    <cellStyle name="Normal 9 3 2 3 6" xfId="2677"/>
    <cellStyle name="Normal 9 3 2 3 6 2" xfId="6961"/>
    <cellStyle name="Normal 9 3 2 3 6 2 2" xfId="15397"/>
    <cellStyle name="Normal 9 3 2 3 6 2 3" xfId="23838"/>
    <cellStyle name="Normal 9 3 2 3 6 2 4" xfId="32278"/>
    <cellStyle name="Normal 9 3 2 3 6 3" xfId="11179"/>
    <cellStyle name="Normal 9 3 2 3 6 4" xfId="19621"/>
    <cellStyle name="Normal 9 3 2 3 6 5" xfId="28061"/>
    <cellStyle name="Normal 9 3 2 3 7" xfId="4896"/>
    <cellStyle name="Normal 9 3 2 3 7 2" xfId="13332"/>
    <cellStyle name="Normal 9 3 2 3 7 3" xfId="21773"/>
    <cellStyle name="Normal 9 3 2 3 7 4" xfId="30213"/>
    <cellStyle name="Normal 9 3 2 3 8" xfId="9114"/>
    <cellStyle name="Normal 9 3 2 3 9" xfId="17556"/>
    <cellStyle name="Normal 9 3 2 4" xfId="995"/>
    <cellStyle name="Normal 9 3 2 4 2" xfId="3228"/>
    <cellStyle name="Normal 9 3 2 4 2 2" xfId="7451"/>
    <cellStyle name="Normal 9 3 2 4 2 2 2" xfId="15887"/>
    <cellStyle name="Normal 9 3 2 4 2 2 3" xfId="24328"/>
    <cellStyle name="Normal 9 3 2 4 2 2 4" xfId="32768"/>
    <cellStyle name="Normal 9 3 2 4 2 3" xfId="11669"/>
    <cellStyle name="Normal 9 3 2 4 2 4" xfId="20111"/>
    <cellStyle name="Normal 9 3 2 4 2 5" xfId="28551"/>
    <cellStyle name="Normal 9 3 2 4 3" xfId="5306"/>
    <cellStyle name="Normal 9 3 2 4 3 2" xfId="13742"/>
    <cellStyle name="Normal 9 3 2 4 3 3" xfId="22183"/>
    <cellStyle name="Normal 9 3 2 4 3 4" xfId="30623"/>
    <cellStyle name="Normal 9 3 2 4 4" xfId="9524"/>
    <cellStyle name="Normal 9 3 2 4 5" xfId="17966"/>
    <cellStyle name="Normal 9 3 2 4 6" xfId="26406"/>
    <cellStyle name="Normal 9 3 2 5" xfId="1411"/>
    <cellStyle name="Normal 9 3 2 5 2" xfId="3641"/>
    <cellStyle name="Normal 9 3 2 5 2 2" xfId="7864"/>
    <cellStyle name="Normal 9 3 2 5 2 2 2" xfId="16300"/>
    <cellStyle name="Normal 9 3 2 5 2 2 3" xfId="24741"/>
    <cellStyle name="Normal 9 3 2 5 2 2 4" xfId="33181"/>
    <cellStyle name="Normal 9 3 2 5 2 3" xfId="12082"/>
    <cellStyle name="Normal 9 3 2 5 2 4" xfId="20524"/>
    <cellStyle name="Normal 9 3 2 5 2 5" xfId="28964"/>
    <cellStyle name="Normal 9 3 2 5 3" xfId="5719"/>
    <cellStyle name="Normal 9 3 2 5 3 2" xfId="14155"/>
    <cellStyle name="Normal 9 3 2 5 3 3" xfId="22596"/>
    <cellStyle name="Normal 9 3 2 5 3 4" xfId="31036"/>
    <cellStyle name="Normal 9 3 2 5 4" xfId="9937"/>
    <cellStyle name="Normal 9 3 2 5 5" xfId="18379"/>
    <cellStyle name="Normal 9 3 2 5 6" xfId="26819"/>
    <cellStyle name="Normal 9 3 2 6" xfId="1824"/>
    <cellStyle name="Normal 9 3 2 6 2" xfId="4054"/>
    <cellStyle name="Normal 9 3 2 6 2 2" xfId="8277"/>
    <cellStyle name="Normal 9 3 2 6 2 2 2" xfId="16713"/>
    <cellStyle name="Normal 9 3 2 6 2 2 3" xfId="25154"/>
    <cellStyle name="Normal 9 3 2 6 2 2 4" xfId="33594"/>
    <cellStyle name="Normal 9 3 2 6 2 3" xfId="12495"/>
    <cellStyle name="Normal 9 3 2 6 2 4" xfId="20937"/>
    <cellStyle name="Normal 9 3 2 6 2 5" xfId="29377"/>
    <cellStyle name="Normal 9 3 2 6 3" xfId="6132"/>
    <cellStyle name="Normal 9 3 2 6 3 2" xfId="14568"/>
    <cellStyle name="Normal 9 3 2 6 3 3" xfId="23009"/>
    <cellStyle name="Normal 9 3 2 6 3 4" xfId="31449"/>
    <cellStyle name="Normal 9 3 2 6 4" xfId="10350"/>
    <cellStyle name="Normal 9 3 2 6 5" xfId="18792"/>
    <cellStyle name="Normal 9 3 2 6 6" xfId="27232"/>
    <cellStyle name="Normal 9 3 2 7" xfId="2238"/>
    <cellStyle name="Normal 9 3 2 7 2" xfId="4467"/>
    <cellStyle name="Normal 9 3 2 7 2 2" xfId="8690"/>
    <cellStyle name="Normal 9 3 2 7 2 2 2" xfId="17126"/>
    <cellStyle name="Normal 9 3 2 7 2 2 3" xfId="25567"/>
    <cellStyle name="Normal 9 3 2 7 2 2 4" xfId="34007"/>
    <cellStyle name="Normal 9 3 2 7 2 3" xfId="12908"/>
    <cellStyle name="Normal 9 3 2 7 2 4" xfId="21350"/>
    <cellStyle name="Normal 9 3 2 7 2 5" xfId="29790"/>
    <cellStyle name="Normal 9 3 2 7 3" xfId="6545"/>
    <cellStyle name="Normal 9 3 2 7 3 2" xfId="14981"/>
    <cellStyle name="Normal 9 3 2 7 3 3" xfId="23422"/>
    <cellStyle name="Normal 9 3 2 7 3 4" xfId="31862"/>
    <cellStyle name="Normal 9 3 2 7 4" xfId="10763"/>
    <cellStyle name="Normal 9 3 2 7 5" xfId="19205"/>
    <cellStyle name="Normal 9 3 2 7 6" xfId="27645"/>
    <cellStyle name="Normal 9 3 2 8" xfId="2674"/>
    <cellStyle name="Normal 9 3 2 8 2" xfId="6958"/>
    <cellStyle name="Normal 9 3 2 8 2 2" xfId="15394"/>
    <cellStyle name="Normal 9 3 2 8 2 3" xfId="23835"/>
    <cellStyle name="Normal 9 3 2 8 2 4" xfId="32275"/>
    <cellStyle name="Normal 9 3 2 8 3" xfId="11176"/>
    <cellStyle name="Normal 9 3 2 8 4" xfId="19618"/>
    <cellStyle name="Normal 9 3 2 8 5" xfId="28058"/>
    <cellStyle name="Normal 9 3 2 9" xfId="4893"/>
    <cellStyle name="Normal 9 3 2 9 2" xfId="13329"/>
    <cellStyle name="Normal 9 3 2 9 3" xfId="21770"/>
    <cellStyle name="Normal 9 3 2 9 4" xfId="30210"/>
    <cellStyle name="Normal 9 3 3" xfId="532"/>
    <cellStyle name="Normal 9 3 3 10" xfId="17557"/>
    <cellStyle name="Normal 9 3 3 11" xfId="25997"/>
    <cellStyle name="Normal 9 3 3 2" xfId="533"/>
    <cellStyle name="Normal 9 3 3 2 10" xfId="25998"/>
    <cellStyle name="Normal 9 3 3 2 2" xfId="1000"/>
    <cellStyle name="Normal 9 3 3 2 2 2" xfId="3233"/>
    <cellStyle name="Normal 9 3 3 2 2 2 2" xfId="7456"/>
    <cellStyle name="Normal 9 3 3 2 2 2 2 2" xfId="15892"/>
    <cellStyle name="Normal 9 3 3 2 2 2 2 3" xfId="24333"/>
    <cellStyle name="Normal 9 3 3 2 2 2 2 4" xfId="32773"/>
    <cellStyle name="Normal 9 3 3 2 2 2 3" xfId="11674"/>
    <cellStyle name="Normal 9 3 3 2 2 2 4" xfId="20116"/>
    <cellStyle name="Normal 9 3 3 2 2 2 5" xfId="28556"/>
    <cellStyle name="Normal 9 3 3 2 2 3" xfId="5311"/>
    <cellStyle name="Normal 9 3 3 2 2 3 2" xfId="13747"/>
    <cellStyle name="Normal 9 3 3 2 2 3 3" xfId="22188"/>
    <cellStyle name="Normal 9 3 3 2 2 3 4" xfId="30628"/>
    <cellStyle name="Normal 9 3 3 2 2 4" xfId="9529"/>
    <cellStyle name="Normal 9 3 3 2 2 5" xfId="17971"/>
    <cellStyle name="Normal 9 3 3 2 2 6" xfId="26411"/>
    <cellStyle name="Normal 9 3 3 2 3" xfId="1416"/>
    <cellStyle name="Normal 9 3 3 2 3 2" xfId="3646"/>
    <cellStyle name="Normal 9 3 3 2 3 2 2" xfId="7869"/>
    <cellStyle name="Normal 9 3 3 2 3 2 2 2" xfId="16305"/>
    <cellStyle name="Normal 9 3 3 2 3 2 2 3" xfId="24746"/>
    <cellStyle name="Normal 9 3 3 2 3 2 2 4" xfId="33186"/>
    <cellStyle name="Normal 9 3 3 2 3 2 3" xfId="12087"/>
    <cellStyle name="Normal 9 3 3 2 3 2 4" xfId="20529"/>
    <cellStyle name="Normal 9 3 3 2 3 2 5" xfId="28969"/>
    <cellStyle name="Normal 9 3 3 2 3 3" xfId="5724"/>
    <cellStyle name="Normal 9 3 3 2 3 3 2" xfId="14160"/>
    <cellStyle name="Normal 9 3 3 2 3 3 3" xfId="22601"/>
    <cellStyle name="Normal 9 3 3 2 3 3 4" xfId="31041"/>
    <cellStyle name="Normal 9 3 3 2 3 4" xfId="9942"/>
    <cellStyle name="Normal 9 3 3 2 3 5" xfId="18384"/>
    <cellStyle name="Normal 9 3 3 2 3 6" xfId="26824"/>
    <cellStyle name="Normal 9 3 3 2 4" xfId="1829"/>
    <cellStyle name="Normal 9 3 3 2 4 2" xfId="4059"/>
    <cellStyle name="Normal 9 3 3 2 4 2 2" xfId="8282"/>
    <cellStyle name="Normal 9 3 3 2 4 2 2 2" xfId="16718"/>
    <cellStyle name="Normal 9 3 3 2 4 2 2 3" xfId="25159"/>
    <cellStyle name="Normal 9 3 3 2 4 2 2 4" xfId="33599"/>
    <cellStyle name="Normal 9 3 3 2 4 2 3" xfId="12500"/>
    <cellStyle name="Normal 9 3 3 2 4 2 4" xfId="20942"/>
    <cellStyle name="Normal 9 3 3 2 4 2 5" xfId="29382"/>
    <cellStyle name="Normal 9 3 3 2 4 3" xfId="6137"/>
    <cellStyle name="Normal 9 3 3 2 4 3 2" xfId="14573"/>
    <cellStyle name="Normal 9 3 3 2 4 3 3" xfId="23014"/>
    <cellStyle name="Normal 9 3 3 2 4 3 4" xfId="31454"/>
    <cellStyle name="Normal 9 3 3 2 4 4" xfId="10355"/>
    <cellStyle name="Normal 9 3 3 2 4 5" xfId="18797"/>
    <cellStyle name="Normal 9 3 3 2 4 6" xfId="27237"/>
    <cellStyle name="Normal 9 3 3 2 5" xfId="2243"/>
    <cellStyle name="Normal 9 3 3 2 5 2" xfId="4472"/>
    <cellStyle name="Normal 9 3 3 2 5 2 2" xfId="8695"/>
    <cellStyle name="Normal 9 3 3 2 5 2 2 2" xfId="17131"/>
    <cellStyle name="Normal 9 3 3 2 5 2 2 3" xfId="25572"/>
    <cellStyle name="Normal 9 3 3 2 5 2 2 4" xfId="34012"/>
    <cellStyle name="Normal 9 3 3 2 5 2 3" xfId="12913"/>
    <cellStyle name="Normal 9 3 3 2 5 2 4" xfId="21355"/>
    <cellStyle name="Normal 9 3 3 2 5 2 5" xfId="29795"/>
    <cellStyle name="Normal 9 3 3 2 5 3" xfId="6550"/>
    <cellStyle name="Normal 9 3 3 2 5 3 2" xfId="14986"/>
    <cellStyle name="Normal 9 3 3 2 5 3 3" xfId="23427"/>
    <cellStyle name="Normal 9 3 3 2 5 3 4" xfId="31867"/>
    <cellStyle name="Normal 9 3 3 2 5 4" xfId="10768"/>
    <cellStyle name="Normal 9 3 3 2 5 5" xfId="19210"/>
    <cellStyle name="Normal 9 3 3 2 5 6" xfId="27650"/>
    <cellStyle name="Normal 9 3 3 2 6" xfId="2679"/>
    <cellStyle name="Normal 9 3 3 2 6 2" xfId="6963"/>
    <cellStyle name="Normal 9 3 3 2 6 2 2" xfId="15399"/>
    <cellStyle name="Normal 9 3 3 2 6 2 3" xfId="23840"/>
    <cellStyle name="Normal 9 3 3 2 6 2 4" xfId="32280"/>
    <cellStyle name="Normal 9 3 3 2 6 3" xfId="11181"/>
    <cellStyle name="Normal 9 3 3 2 6 4" xfId="19623"/>
    <cellStyle name="Normal 9 3 3 2 6 5" xfId="28063"/>
    <cellStyle name="Normal 9 3 3 2 7" xfId="4898"/>
    <cellStyle name="Normal 9 3 3 2 7 2" xfId="13334"/>
    <cellStyle name="Normal 9 3 3 2 7 3" xfId="21775"/>
    <cellStyle name="Normal 9 3 3 2 7 4" xfId="30215"/>
    <cellStyle name="Normal 9 3 3 2 8" xfId="9116"/>
    <cellStyle name="Normal 9 3 3 2 9" xfId="17558"/>
    <cellStyle name="Normal 9 3 3 3" xfId="999"/>
    <cellStyle name="Normal 9 3 3 3 2" xfId="3232"/>
    <cellStyle name="Normal 9 3 3 3 2 2" xfId="7455"/>
    <cellStyle name="Normal 9 3 3 3 2 2 2" xfId="15891"/>
    <cellStyle name="Normal 9 3 3 3 2 2 3" xfId="24332"/>
    <cellStyle name="Normal 9 3 3 3 2 2 4" xfId="32772"/>
    <cellStyle name="Normal 9 3 3 3 2 3" xfId="11673"/>
    <cellStyle name="Normal 9 3 3 3 2 4" xfId="20115"/>
    <cellStyle name="Normal 9 3 3 3 2 5" xfId="28555"/>
    <cellStyle name="Normal 9 3 3 3 3" xfId="5310"/>
    <cellStyle name="Normal 9 3 3 3 3 2" xfId="13746"/>
    <cellStyle name="Normal 9 3 3 3 3 3" xfId="22187"/>
    <cellStyle name="Normal 9 3 3 3 3 4" xfId="30627"/>
    <cellStyle name="Normal 9 3 3 3 4" xfId="9528"/>
    <cellStyle name="Normal 9 3 3 3 5" xfId="17970"/>
    <cellStyle name="Normal 9 3 3 3 6" xfId="26410"/>
    <cellStyle name="Normal 9 3 3 4" xfId="1415"/>
    <cellStyle name="Normal 9 3 3 4 2" xfId="3645"/>
    <cellStyle name="Normal 9 3 3 4 2 2" xfId="7868"/>
    <cellStyle name="Normal 9 3 3 4 2 2 2" xfId="16304"/>
    <cellStyle name="Normal 9 3 3 4 2 2 3" xfId="24745"/>
    <cellStyle name="Normal 9 3 3 4 2 2 4" xfId="33185"/>
    <cellStyle name="Normal 9 3 3 4 2 3" xfId="12086"/>
    <cellStyle name="Normal 9 3 3 4 2 4" xfId="20528"/>
    <cellStyle name="Normal 9 3 3 4 2 5" xfId="28968"/>
    <cellStyle name="Normal 9 3 3 4 3" xfId="5723"/>
    <cellStyle name="Normal 9 3 3 4 3 2" xfId="14159"/>
    <cellStyle name="Normal 9 3 3 4 3 3" xfId="22600"/>
    <cellStyle name="Normal 9 3 3 4 3 4" xfId="31040"/>
    <cellStyle name="Normal 9 3 3 4 4" xfId="9941"/>
    <cellStyle name="Normal 9 3 3 4 5" xfId="18383"/>
    <cellStyle name="Normal 9 3 3 4 6" xfId="26823"/>
    <cellStyle name="Normal 9 3 3 5" xfId="1828"/>
    <cellStyle name="Normal 9 3 3 5 2" xfId="4058"/>
    <cellStyle name="Normal 9 3 3 5 2 2" xfId="8281"/>
    <cellStyle name="Normal 9 3 3 5 2 2 2" xfId="16717"/>
    <cellStyle name="Normal 9 3 3 5 2 2 3" xfId="25158"/>
    <cellStyle name="Normal 9 3 3 5 2 2 4" xfId="33598"/>
    <cellStyle name="Normal 9 3 3 5 2 3" xfId="12499"/>
    <cellStyle name="Normal 9 3 3 5 2 4" xfId="20941"/>
    <cellStyle name="Normal 9 3 3 5 2 5" xfId="29381"/>
    <cellStyle name="Normal 9 3 3 5 3" xfId="6136"/>
    <cellStyle name="Normal 9 3 3 5 3 2" xfId="14572"/>
    <cellStyle name="Normal 9 3 3 5 3 3" xfId="23013"/>
    <cellStyle name="Normal 9 3 3 5 3 4" xfId="31453"/>
    <cellStyle name="Normal 9 3 3 5 4" xfId="10354"/>
    <cellStyle name="Normal 9 3 3 5 5" xfId="18796"/>
    <cellStyle name="Normal 9 3 3 5 6" xfId="27236"/>
    <cellStyle name="Normal 9 3 3 6" xfId="2242"/>
    <cellStyle name="Normal 9 3 3 6 2" xfId="4471"/>
    <cellStyle name="Normal 9 3 3 6 2 2" xfId="8694"/>
    <cellStyle name="Normal 9 3 3 6 2 2 2" xfId="17130"/>
    <cellStyle name="Normal 9 3 3 6 2 2 3" xfId="25571"/>
    <cellStyle name="Normal 9 3 3 6 2 2 4" xfId="34011"/>
    <cellStyle name="Normal 9 3 3 6 2 3" xfId="12912"/>
    <cellStyle name="Normal 9 3 3 6 2 4" xfId="21354"/>
    <cellStyle name="Normal 9 3 3 6 2 5" xfId="29794"/>
    <cellStyle name="Normal 9 3 3 6 3" xfId="6549"/>
    <cellStyle name="Normal 9 3 3 6 3 2" xfId="14985"/>
    <cellStyle name="Normal 9 3 3 6 3 3" xfId="23426"/>
    <cellStyle name="Normal 9 3 3 6 3 4" xfId="31866"/>
    <cellStyle name="Normal 9 3 3 6 4" xfId="10767"/>
    <cellStyle name="Normal 9 3 3 6 5" xfId="19209"/>
    <cellStyle name="Normal 9 3 3 6 6" xfId="27649"/>
    <cellStyle name="Normal 9 3 3 7" xfId="2678"/>
    <cellStyle name="Normal 9 3 3 7 2" xfId="6962"/>
    <cellStyle name="Normal 9 3 3 7 2 2" xfId="15398"/>
    <cellStyle name="Normal 9 3 3 7 2 3" xfId="23839"/>
    <cellStyle name="Normal 9 3 3 7 2 4" xfId="32279"/>
    <cellStyle name="Normal 9 3 3 7 3" xfId="11180"/>
    <cellStyle name="Normal 9 3 3 7 4" xfId="19622"/>
    <cellStyle name="Normal 9 3 3 7 5" xfId="28062"/>
    <cellStyle name="Normal 9 3 3 8" xfId="4897"/>
    <cellStyle name="Normal 9 3 3 8 2" xfId="13333"/>
    <cellStyle name="Normal 9 3 3 8 3" xfId="21774"/>
    <cellStyle name="Normal 9 3 3 8 4" xfId="30214"/>
    <cellStyle name="Normal 9 3 3 9" xfId="9115"/>
    <cellStyle name="Normal 9 3 4" xfId="534"/>
    <cellStyle name="Normal 9 3 4 10" xfId="25999"/>
    <cellStyle name="Normal 9 3 4 2" xfId="1001"/>
    <cellStyle name="Normal 9 3 4 2 2" xfId="3234"/>
    <cellStyle name="Normal 9 3 4 2 2 2" xfId="7457"/>
    <cellStyle name="Normal 9 3 4 2 2 2 2" xfId="15893"/>
    <cellStyle name="Normal 9 3 4 2 2 2 3" xfId="24334"/>
    <cellStyle name="Normal 9 3 4 2 2 2 4" xfId="32774"/>
    <cellStyle name="Normal 9 3 4 2 2 3" xfId="11675"/>
    <cellStyle name="Normal 9 3 4 2 2 4" xfId="20117"/>
    <cellStyle name="Normal 9 3 4 2 2 5" xfId="28557"/>
    <cellStyle name="Normal 9 3 4 2 3" xfId="5312"/>
    <cellStyle name="Normal 9 3 4 2 3 2" xfId="13748"/>
    <cellStyle name="Normal 9 3 4 2 3 3" xfId="22189"/>
    <cellStyle name="Normal 9 3 4 2 3 4" xfId="30629"/>
    <cellStyle name="Normal 9 3 4 2 4" xfId="9530"/>
    <cellStyle name="Normal 9 3 4 2 5" xfId="17972"/>
    <cellStyle name="Normal 9 3 4 2 6" xfId="26412"/>
    <cellStyle name="Normal 9 3 4 3" xfId="1417"/>
    <cellStyle name="Normal 9 3 4 3 2" xfId="3647"/>
    <cellStyle name="Normal 9 3 4 3 2 2" xfId="7870"/>
    <cellStyle name="Normal 9 3 4 3 2 2 2" xfId="16306"/>
    <cellStyle name="Normal 9 3 4 3 2 2 3" xfId="24747"/>
    <cellStyle name="Normal 9 3 4 3 2 2 4" xfId="33187"/>
    <cellStyle name="Normal 9 3 4 3 2 3" xfId="12088"/>
    <cellStyle name="Normal 9 3 4 3 2 4" xfId="20530"/>
    <cellStyle name="Normal 9 3 4 3 2 5" xfId="28970"/>
    <cellStyle name="Normal 9 3 4 3 3" xfId="5725"/>
    <cellStyle name="Normal 9 3 4 3 3 2" xfId="14161"/>
    <cellStyle name="Normal 9 3 4 3 3 3" xfId="22602"/>
    <cellStyle name="Normal 9 3 4 3 3 4" xfId="31042"/>
    <cellStyle name="Normal 9 3 4 3 4" xfId="9943"/>
    <cellStyle name="Normal 9 3 4 3 5" xfId="18385"/>
    <cellStyle name="Normal 9 3 4 3 6" xfId="26825"/>
    <cellStyle name="Normal 9 3 4 4" xfId="1830"/>
    <cellStyle name="Normal 9 3 4 4 2" xfId="4060"/>
    <cellStyle name="Normal 9 3 4 4 2 2" xfId="8283"/>
    <cellStyle name="Normal 9 3 4 4 2 2 2" xfId="16719"/>
    <cellStyle name="Normal 9 3 4 4 2 2 3" xfId="25160"/>
    <cellStyle name="Normal 9 3 4 4 2 2 4" xfId="33600"/>
    <cellStyle name="Normal 9 3 4 4 2 3" xfId="12501"/>
    <cellStyle name="Normal 9 3 4 4 2 4" xfId="20943"/>
    <cellStyle name="Normal 9 3 4 4 2 5" xfId="29383"/>
    <cellStyle name="Normal 9 3 4 4 3" xfId="6138"/>
    <cellStyle name="Normal 9 3 4 4 3 2" xfId="14574"/>
    <cellStyle name="Normal 9 3 4 4 3 3" xfId="23015"/>
    <cellStyle name="Normal 9 3 4 4 3 4" xfId="31455"/>
    <cellStyle name="Normal 9 3 4 4 4" xfId="10356"/>
    <cellStyle name="Normal 9 3 4 4 5" xfId="18798"/>
    <cellStyle name="Normal 9 3 4 4 6" xfId="27238"/>
    <cellStyle name="Normal 9 3 4 5" xfId="2244"/>
    <cellStyle name="Normal 9 3 4 5 2" xfId="4473"/>
    <cellStyle name="Normal 9 3 4 5 2 2" xfId="8696"/>
    <cellStyle name="Normal 9 3 4 5 2 2 2" xfId="17132"/>
    <cellStyle name="Normal 9 3 4 5 2 2 3" xfId="25573"/>
    <cellStyle name="Normal 9 3 4 5 2 2 4" xfId="34013"/>
    <cellStyle name="Normal 9 3 4 5 2 3" xfId="12914"/>
    <cellStyle name="Normal 9 3 4 5 2 4" xfId="21356"/>
    <cellStyle name="Normal 9 3 4 5 2 5" xfId="29796"/>
    <cellStyle name="Normal 9 3 4 5 3" xfId="6551"/>
    <cellStyle name="Normal 9 3 4 5 3 2" xfId="14987"/>
    <cellStyle name="Normal 9 3 4 5 3 3" xfId="23428"/>
    <cellStyle name="Normal 9 3 4 5 3 4" xfId="31868"/>
    <cellStyle name="Normal 9 3 4 5 4" xfId="10769"/>
    <cellStyle name="Normal 9 3 4 5 5" xfId="19211"/>
    <cellStyle name="Normal 9 3 4 5 6" xfId="27651"/>
    <cellStyle name="Normal 9 3 4 6" xfId="2680"/>
    <cellStyle name="Normal 9 3 4 6 2" xfId="6964"/>
    <cellStyle name="Normal 9 3 4 6 2 2" xfId="15400"/>
    <cellStyle name="Normal 9 3 4 6 2 3" xfId="23841"/>
    <cellStyle name="Normal 9 3 4 6 2 4" xfId="32281"/>
    <cellStyle name="Normal 9 3 4 6 3" xfId="11182"/>
    <cellStyle name="Normal 9 3 4 6 4" xfId="19624"/>
    <cellStyle name="Normal 9 3 4 6 5" xfId="28064"/>
    <cellStyle name="Normal 9 3 4 7" xfId="4899"/>
    <cellStyle name="Normal 9 3 4 7 2" xfId="13335"/>
    <cellStyle name="Normal 9 3 4 7 3" xfId="21776"/>
    <cellStyle name="Normal 9 3 4 7 4" xfId="30216"/>
    <cellStyle name="Normal 9 3 4 8" xfId="9117"/>
    <cellStyle name="Normal 9 3 4 9" xfId="17559"/>
    <cellStyle name="Normal 9 3 5" xfId="994"/>
    <cellStyle name="Normal 9 3 5 2" xfId="3227"/>
    <cellStyle name="Normal 9 3 5 2 2" xfId="7450"/>
    <cellStyle name="Normal 9 3 5 2 2 2" xfId="15886"/>
    <cellStyle name="Normal 9 3 5 2 2 3" xfId="24327"/>
    <cellStyle name="Normal 9 3 5 2 2 4" xfId="32767"/>
    <cellStyle name="Normal 9 3 5 2 3" xfId="11668"/>
    <cellStyle name="Normal 9 3 5 2 4" xfId="20110"/>
    <cellStyle name="Normal 9 3 5 2 5" xfId="28550"/>
    <cellStyle name="Normal 9 3 5 3" xfId="5305"/>
    <cellStyle name="Normal 9 3 5 3 2" xfId="13741"/>
    <cellStyle name="Normal 9 3 5 3 3" xfId="22182"/>
    <cellStyle name="Normal 9 3 5 3 4" xfId="30622"/>
    <cellStyle name="Normal 9 3 5 4" xfId="9523"/>
    <cellStyle name="Normal 9 3 5 5" xfId="17965"/>
    <cellStyle name="Normal 9 3 5 6" xfId="26405"/>
    <cellStyle name="Normal 9 3 6" xfId="1410"/>
    <cellStyle name="Normal 9 3 6 2" xfId="3640"/>
    <cellStyle name="Normal 9 3 6 2 2" xfId="7863"/>
    <cellStyle name="Normal 9 3 6 2 2 2" xfId="16299"/>
    <cellStyle name="Normal 9 3 6 2 2 3" xfId="24740"/>
    <cellStyle name="Normal 9 3 6 2 2 4" xfId="33180"/>
    <cellStyle name="Normal 9 3 6 2 3" xfId="12081"/>
    <cellStyle name="Normal 9 3 6 2 4" xfId="20523"/>
    <cellStyle name="Normal 9 3 6 2 5" xfId="28963"/>
    <cellStyle name="Normal 9 3 6 3" xfId="5718"/>
    <cellStyle name="Normal 9 3 6 3 2" xfId="14154"/>
    <cellStyle name="Normal 9 3 6 3 3" xfId="22595"/>
    <cellStyle name="Normal 9 3 6 3 4" xfId="31035"/>
    <cellStyle name="Normal 9 3 6 4" xfId="9936"/>
    <cellStyle name="Normal 9 3 6 5" xfId="18378"/>
    <cellStyle name="Normal 9 3 6 6" xfId="26818"/>
    <cellStyle name="Normal 9 3 7" xfId="1823"/>
    <cellStyle name="Normal 9 3 7 2" xfId="4053"/>
    <cellStyle name="Normal 9 3 7 2 2" xfId="8276"/>
    <cellStyle name="Normal 9 3 7 2 2 2" xfId="16712"/>
    <cellStyle name="Normal 9 3 7 2 2 3" xfId="25153"/>
    <cellStyle name="Normal 9 3 7 2 2 4" xfId="33593"/>
    <cellStyle name="Normal 9 3 7 2 3" xfId="12494"/>
    <cellStyle name="Normal 9 3 7 2 4" xfId="20936"/>
    <cellStyle name="Normal 9 3 7 2 5" xfId="29376"/>
    <cellStyle name="Normal 9 3 7 3" xfId="6131"/>
    <cellStyle name="Normal 9 3 7 3 2" xfId="14567"/>
    <cellStyle name="Normal 9 3 7 3 3" xfId="23008"/>
    <cellStyle name="Normal 9 3 7 3 4" xfId="31448"/>
    <cellStyle name="Normal 9 3 7 4" xfId="10349"/>
    <cellStyle name="Normal 9 3 7 5" xfId="18791"/>
    <cellStyle name="Normal 9 3 7 6" xfId="27231"/>
    <cellStyle name="Normal 9 3 8" xfId="2237"/>
    <cellStyle name="Normal 9 3 8 2" xfId="4466"/>
    <cellStyle name="Normal 9 3 8 2 2" xfId="8689"/>
    <cellStyle name="Normal 9 3 8 2 2 2" xfId="17125"/>
    <cellStyle name="Normal 9 3 8 2 2 3" xfId="25566"/>
    <cellStyle name="Normal 9 3 8 2 2 4" xfId="34006"/>
    <cellStyle name="Normal 9 3 8 2 3" xfId="12907"/>
    <cellStyle name="Normal 9 3 8 2 4" xfId="21349"/>
    <cellStyle name="Normal 9 3 8 2 5" xfId="29789"/>
    <cellStyle name="Normal 9 3 8 3" xfId="6544"/>
    <cellStyle name="Normal 9 3 8 3 2" xfId="14980"/>
    <cellStyle name="Normal 9 3 8 3 3" xfId="23421"/>
    <cellStyle name="Normal 9 3 8 3 4" xfId="31861"/>
    <cellStyle name="Normal 9 3 8 4" xfId="10762"/>
    <cellStyle name="Normal 9 3 8 5" xfId="19204"/>
    <cellStyle name="Normal 9 3 8 6" xfId="27644"/>
    <cellStyle name="Normal 9 3 9" xfId="2673"/>
    <cellStyle name="Normal 9 3 9 2" xfId="6957"/>
    <cellStyle name="Normal 9 3 9 2 2" xfId="15393"/>
    <cellStyle name="Normal 9 3 9 2 3" xfId="23834"/>
    <cellStyle name="Normal 9 3 9 2 4" xfId="32274"/>
    <cellStyle name="Normal 9 3 9 3" xfId="11175"/>
    <cellStyle name="Normal 9 3 9 4" xfId="19617"/>
    <cellStyle name="Normal 9 3 9 5" xfId="28057"/>
    <cellStyle name="Normal 9 4" xfId="535"/>
    <cellStyle name="Normal 9 4 2" xfId="1002"/>
    <cellStyle name="Normal 9 5" xfId="536"/>
    <cellStyle name="Normal 9 5 10" xfId="17560"/>
    <cellStyle name="Normal 9 5 11" xfId="26000"/>
    <cellStyle name="Normal 9 5 2" xfId="537"/>
    <cellStyle name="Normal 9 5 2 10" xfId="26001"/>
    <cellStyle name="Normal 9 5 2 2" xfId="1004"/>
    <cellStyle name="Normal 9 5 2 2 2" xfId="3236"/>
    <cellStyle name="Normal 9 5 2 2 2 2" xfId="7459"/>
    <cellStyle name="Normal 9 5 2 2 2 2 2" xfId="15895"/>
    <cellStyle name="Normal 9 5 2 2 2 2 3" xfId="24336"/>
    <cellStyle name="Normal 9 5 2 2 2 2 4" xfId="32776"/>
    <cellStyle name="Normal 9 5 2 2 2 3" xfId="11677"/>
    <cellStyle name="Normal 9 5 2 2 2 4" xfId="20119"/>
    <cellStyle name="Normal 9 5 2 2 2 5" xfId="28559"/>
    <cellStyle name="Normal 9 5 2 2 3" xfId="5314"/>
    <cellStyle name="Normal 9 5 2 2 3 2" xfId="13750"/>
    <cellStyle name="Normal 9 5 2 2 3 3" xfId="22191"/>
    <cellStyle name="Normal 9 5 2 2 3 4" xfId="30631"/>
    <cellStyle name="Normal 9 5 2 2 4" xfId="9532"/>
    <cellStyle name="Normal 9 5 2 2 5" xfId="17974"/>
    <cellStyle name="Normal 9 5 2 2 6" xfId="26414"/>
    <cellStyle name="Normal 9 5 2 3" xfId="1419"/>
    <cellStyle name="Normal 9 5 2 3 2" xfId="3649"/>
    <cellStyle name="Normal 9 5 2 3 2 2" xfId="7872"/>
    <cellStyle name="Normal 9 5 2 3 2 2 2" xfId="16308"/>
    <cellStyle name="Normal 9 5 2 3 2 2 3" xfId="24749"/>
    <cellStyle name="Normal 9 5 2 3 2 2 4" xfId="33189"/>
    <cellStyle name="Normal 9 5 2 3 2 3" xfId="12090"/>
    <cellStyle name="Normal 9 5 2 3 2 4" xfId="20532"/>
    <cellStyle name="Normal 9 5 2 3 2 5" xfId="28972"/>
    <cellStyle name="Normal 9 5 2 3 3" xfId="5727"/>
    <cellStyle name="Normal 9 5 2 3 3 2" xfId="14163"/>
    <cellStyle name="Normal 9 5 2 3 3 3" xfId="22604"/>
    <cellStyle name="Normal 9 5 2 3 3 4" xfId="31044"/>
    <cellStyle name="Normal 9 5 2 3 4" xfId="9945"/>
    <cellStyle name="Normal 9 5 2 3 5" xfId="18387"/>
    <cellStyle name="Normal 9 5 2 3 6" xfId="26827"/>
    <cellStyle name="Normal 9 5 2 4" xfId="1832"/>
    <cellStyle name="Normal 9 5 2 4 2" xfId="4062"/>
    <cellStyle name="Normal 9 5 2 4 2 2" xfId="8285"/>
    <cellStyle name="Normal 9 5 2 4 2 2 2" xfId="16721"/>
    <cellStyle name="Normal 9 5 2 4 2 2 3" xfId="25162"/>
    <cellStyle name="Normal 9 5 2 4 2 2 4" xfId="33602"/>
    <cellStyle name="Normal 9 5 2 4 2 3" xfId="12503"/>
    <cellStyle name="Normal 9 5 2 4 2 4" xfId="20945"/>
    <cellStyle name="Normal 9 5 2 4 2 5" xfId="29385"/>
    <cellStyle name="Normal 9 5 2 4 3" xfId="6140"/>
    <cellStyle name="Normal 9 5 2 4 3 2" xfId="14576"/>
    <cellStyle name="Normal 9 5 2 4 3 3" xfId="23017"/>
    <cellStyle name="Normal 9 5 2 4 3 4" xfId="31457"/>
    <cellStyle name="Normal 9 5 2 4 4" xfId="10358"/>
    <cellStyle name="Normal 9 5 2 4 5" xfId="18800"/>
    <cellStyle name="Normal 9 5 2 4 6" xfId="27240"/>
    <cellStyle name="Normal 9 5 2 5" xfId="2246"/>
    <cellStyle name="Normal 9 5 2 5 2" xfId="4475"/>
    <cellStyle name="Normal 9 5 2 5 2 2" xfId="8698"/>
    <cellStyle name="Normal 9 5 2 5 2 2 2" xfId="17134"/>
    <cellStyle name="Normal 9 5 2 5 2 2 3" xfId="25575"/>
    <cellStyle name="Normal 9 5 2 5 2 2 4" xfId="34015"/>
    <cellStyle name="Normal 9 5 2 5 2 3" xfId="12916"/>
    <cellStyle name="Normal 9 5 2 5 2 4" xfId="21358"/>
    <cellStyle name="Normal 9 5 2 5 2 5" xfId="29798"/>
    <cellStyle name="Normal 9 5 2 5 3" xfId="6553"/>
    <cellStyle name="Normal 9 5 2 5 3 2" xfId="14989"/>
    <cellStyle name="Normal 9 5 2 5 3 3" xfId="23430"/>
    <cellStyle name="Normal 9 5 2 5 3 4" xfId="31870"/>
    <cellStyle name="Normal 9 5 2 5 4" xfId="10771"/>
    <cellStyle name="Normal 9 5 2 5 5" xfId="19213"/>
    <cellStyle name="Normal 9 5 2 5 6" xfId="27653"/>
    <cellStyle name="Normal 9 5 2 6" xfId="2682"/>
    <cellStyle name="Normal 9 5 2 6 2" xfId="6966"/>
    <cellStyle name="Normal 9 5 2 6 2 2" xfId="15402"/>
    <cellStyle name="Normal 9 5 2 6 2 3" xfId="23843"/>
    <cellStyle name="Normal 9 5 2 6 2 4" xfId="32283"/>
    <cellStyle name="Normal 9 5 2 6 3" xfId="11184"/>
    <cellStyle name="Normal 9 5 2 6 4" xfId="19626"/>
    <cellStyle name="Normal 9 5 2 6 5" xfId="28066"/>
    <cellStyle name="Normal 9 5 2 7" xfId="4901"/>
    <cellStyle name="Normal 9 5 2 7 2" xfId="13337"/>
    <cellStyle name="Normal 9 5 2 7 3" xfId="21778"/>
    <cellStyle name="Normal 9 5 2 7 4" xfId="30218"/>
    <cellStyle name="Normal 9 5 2 8" xfId="9119"/>
    <cellStyle name="Normal 9 5 2 9" xfId="17561"/>
    <cellStyle name="Normal 9 5 3" xfId="1003"/>
    <cellStyle name="Normal 9 5 3 2" xfId="3235"/>
    <cellStyle name="Normal 9 5 3 2 2" xfId="7458"/>
    <cellStyle name="Normal 9 5 3 2 2 2" xfId="15894"/>
    <cellStyle name="Normal 9 5 3 2 2 3" xfId="24335"/>
    <cellStyle name="Normal 9 5 3 2 2 4" xfId="32775"/>
    <cellStyle name="Normal 9 5 3 2 3" xfId="11676"/>
    <cellStyle name="Normal 9 5 3 2 4" xfId="20118"/>
    <cellStyle name="Normal 9 5 3 2 5" xfId="28558"/>
    <cellStyle name="Normal 9 5 3 3" xfId="5313"/>
    <cellStyle name="Normal 9 5 3 3 2" xfId="13749"/>
    <cellStyle name="Normal 9 5 3 3 3" xfId="22190"/>
    <cellStyle name="Normal 9 5 3 3 4" xfId="30630"/>
    <cellStyle name="Normal 9 5 3 4" xfId="9531"/>
    <cellStyle name="Normal 9 5 3 5" xfId="17973"/>
    <cellStyle name="Normal 9 5 3 6" xfId="26413"/>
    <cellStyle name="Normal 9 5 4" xfId="1418"/>
    <cellStyle name="Normal 9 5 4 2" xfId="3648"/>
    <cellStyle name="Normal 9 5 4 2 2" xfId="7871"/>
    <cellStyle name="Normal 9 5 4 2 2 2" xfId="16307"/>
    <cellStyle name="Normal 9 5 4 2 2 3" xfId="24748"/>
    <cellStyle name="Normal 9 5 4 2 2 4" xfId="33188"/>
    <cellStyle name="Normal 9 5 4 2 3" xfId="12089"/>
    <cellStyle name="Normal 9 5 4 2 4" xfId="20531"/>
    <cellStyle name="Normal 9 5 4 2 5" xfId="28971"/>
    <cellStyle name="Normal 9 5 4 3" xfId="5726"/>
    <cellStyle name="Normal 9 5 4 3 2" xfId="14162"/>
    <cellStyle name="Normal 9 5 4 3 3" xfId="22603"/>
    <cellStyle name="Normal 9 5 4 3 4" xfId="31043"/>
    <cellStyle name="Normal 9 5 4 4" xfId="9944"/>
    <cellStyle name="Normal 9 5 4 5" xfId="18386"/>
    <cellStyle name="Normal 9 5 4 6" xfId="26826"/>
    <cellStyle name="Normal 9 5 5" xfId="1831"/>
    <cellStyle name="Normal 9 5 5 2" xfId="4061"/>
    <cellStyle name="Normal 9 5 5 2 2" xfId="8284"/>
    <cellStyle name="Normal 9 5 5 2 2 2" xfId="16720"/>
    <cellStyle name="Normal 9 5 5 2 2 3" xfId="25161"/>
    <cellStyle name="Normal 9 5 5 2 2 4" xfId="33601"/>
    <cellStyle name="Normal 9 5 5 2 3" xfId="12502"/>
    <cellStyle name="Normal 9 5 5 2 4" xfId="20944"/>
    <cellStyle name="Normal 9 5 5 2 5" xfId="29384"/>
    <cellStyle name="Normal 9 5 5 3" xfId="6139"/>
    <cellStyle name="Normal 9 5 5 3 2" xfId="14575"/>
    <cellStyle name="Normal 9 5 5 3 3" xfId="23016"/>
    <cellStyle name="Normal 9 5 5 3 4" xfId="31456"/>
    <cellStyle name="Normal 9 5 5 4" xfId="10357"/>
    <cellStyle name="Normal 9 5 5 5" xfId="18799"/>
    <cellStyle name="Normal 9 5 5 6" xfId="27239"/>
    <cellStyle name="Normal 9 5 6" xfId="2245"/>
    <cellStyle name="Normal 9 5 6 2" xfId="4474"/>
    <cellStyle name="Normal 9 5 6 2 2" xfId="8697"/>
    <cellStyle name="Normal 9 5 6 2 2 2" xfId="17133"/>
    <cellStyle name="Normal 9 5 6 2 2 3" xfId="25574"/>
    <cellStyle name="Normal 9 5 6 2 2 4" xfId="34014"/>
    <cellStyle name="Normal 9 5 6 2 3" xfId="12915"/>
    <cellStyle name="Normal 9 5 6 2 4" xfId="21357"/>
    <cellStyle name="Normal 9 5 6 2 5" xfId="29797"/>
    <cellStyle name="Normal 9 5 6 3" xfId="6552"/>
    <cellStyle name="Normal 9 5 6 3 2" xfId="14988"/>
    <cellStyle name="Normal 9 5 6 3 3" xfId="23429"/>
    <cellStyle name="Normal 9 5 6 3 4" xfId="31869"/>
    <cellStyle name="Normal 9 5 6 4" xfId="10770"/>
    <cellStyle name="Normal 9 5 6 5" xfId="19212"/>
    <cellStyle name="Normal 9 5 6 6" xfId="27652"/>
    <cellStyle name="Normal 9 5 7" xfId="2681"/>
    <cellStyle name="Normal 9 5 7 2" xfId="6965"/>
    <cellStyle name="Normal 9 5 7 2 2" xfId="15401"/>
    <cellStyle name="Normal 9 5 7 2 3" xfId="23842"/>
    <cellStyle name="Normal 9 5 7 2 4" xfId="32282"/>
    <cellStyle name="Normal 9 5 7 3" xfId="11183"/>
    <cellStyle name="Normal 9 5 7 4" xfId="19625"/>
    <cellStyle name="Normal 9 5 7 5" xfId="28065"/>
    <cellStyle name="Normal 9 5 8" xfId="4900"/>
    <cellStyle name="Normal 9 5 8 2" xfId="13336"/>
    <cellStyle name="Normal 9 5 8 3" xfId="21777"/>
    <cellStyle name="Normal 9 5 8 4" xfId="30217"/>
    <cellStyle name="Normal 9 5 9" xfId="9118"/>
    <cellStyle name="Normal 9 6" xfId="538"/>
    <cellStyle name="Normal 9 6 10" xfId="26002"/>
    <cellStyle name="Normal 9 6 2" xfId="1005"/>
    <cellStyle name="Normal 9 6 2 2" xfId="3237"/>
    <cellStyle name="Normal 9 6 2 2 2" xfId="7460"/>
    <cellStyle name="Normal 9 6 2 2 2 2" xfId="15896"/>
    <cellStyle name="Normal 9 6 2 2 2 3" xfId="24337"/>
    <cellStyle name="Normal 9 6 2 2 2 4" xfId="32777"/>
    <cellStyle name="Normal 9 6 2 2 3" xfId="11678"/>
    <cellStyle name="Normal 9 6 2 2 4" xfId="20120"/>
    <cellStyle name="Normal 9 6 2 2 5" xfId="28560"/>
    <cellStyle name="Normal 9 6 2 3" xfId="5315"/>
    <cellStyle name="Normal 9 6 2 3 2" xfId="13751"/>
    <cellStyle name="Normal 9 6 2 3 3" xfId="22192"/>
    <cellStyle name="Normal 9 6 2 3 4" xfId="30632"/>
    <cellStyle name="Normal 9 6 2 4" xfId="9533"/>
    <cellStyle name="Normal 9 6 2 5" xfId="17975"/>
    <cellStyle name="Normal 9 6 2 6" xfId="26415"/>
    <cellStyle name="Normal 9 6 3" xfId="1420"/>
    <cellStyle name="Normal 9 6 3 2" xfId="3650"/>
    <cellStyle name="Normal 9 6 3 2 2" xfId="7873"/>
    <cellStyle name="Normal 9 6 3 2 2 2" xfId="16309"/>
    <cellStyle name="Normal 9 6 3 2 2 3" xfId="24750"/>
    <cellStyle name="Normal 9 6 3 2 2 4" xfId="33190"/>
    <cellStyle name="Normal 9 6 3 2 3" xfId="12091"/>
    <cellStyle name="Normal 9 6 3 2 4" xfId="20533"/>
    <cellStyle name="Normal 9 6 3 2 5" xfId="28973"/>
    <cellStyle name="Normal 9 6 3 3" xfId="5728"/>
    <cellStyle name="Normal 9 6 3 3 2" xfId="14164"/>
    <cellStyle name="Normal 9 6 3 3 3" xfId="22605"/>
    <cellStyle name="Normal 9 6 3 3 4" xfId="31045"/>
    <cellStyle name="Normal 9 6 3 4" xfId="9946"/>
    <cellStyle name="Normal 9 6 3 5" xfId="18388"/>
    <cellStyle name="Normal 9 6 3 6" xfId="26828"/>
    <cellStyle name="Normal 9 6 4" xfId="1833"/>
    <cellStyle name="Normal 9 6 4 2" xfId="4063"/>
    <cellStyle name="Normal 9 6 4 2 2" xfId="8286"/>
    <cellStyle name="Normal 9 6 4 2 2 2" xfId="16722"/>
    <cellStyle name="Normal 9 6 4 2 2 3" xfId="25163"/>
    <cellStyle name="Normal 9 6 4 2 2 4" xfId="33603"/>
    <cellStyle name="Normal 9 6 4 2 3" xfId="12504"/>
    <cellStyle name="Normal 9 6 4 2 4" xfId="20946"/>
    <cellStyle name="Normal 9 6 4 2 5" xfId="29386"/>
    <cellStyle name="Normal 9 6 4 3" xfId="6141"/>
    <cellStyle name="Normal 9 6 4 3 2" xfId="14577"/>
    <cellStyle name="Normal 9 6 4 3 3" xfId="23018"/>
    <cellStyle name="Normal 9 6 4 3 4" xfId="31458"/>
    <cellStyle name="Normal 9 6 4 4" xfId="10359"/>
    <cellStyle name="Normal 9 6 4 5" xfId="18801"/>
    <cellStyle name="Normal 9 6 4 6" xfId="27241"/>
    <cellStyle name="Normal 9 6 5" xfId="2247"/>
    <cellStyle name="Normal 9 6 5 2" xfId="4476"/>
    <cellStyle name="Normal 9 6 5 2 2" xfId="8699"/>
    <cellStyle name="Normal 9 6 5 2 2 2" xfId="17135"/>
    <cellStyle name="Normal 9 6 5 2 2 3" xfId="25576"/>
    <cellStyle name="Normal 9 6 5 2 2 4" xfId="34016"/>
    <cellStyle name="Normal 9 6 5 2 3" xfId="12917"/>
    <cellStyle name="Normal 9 6 5 2 4" xfId="21359"/>
    <cellStyle name="Normal 9 6 5 2 5" xfId="29799"/>
    <cellStyle name="Normal 9 6 5 3" xfId="6554"/>
    <cellStyle name="Normal 9 6 5 3 2" xfId="14990"/>
    <cellStyle name="Normal 9 6 5 3 3" xfId="23431"/>
    <cellStyle name="Normal 9 6 5 3 4" xfId="31871"/>
    <cellStyle name="Normal 9 6 5 4" xfId="10772"/>
    <cellStyle name="Normal 9 6 5 5" xfId="19214"/>
    <cellStyle name="Normal 9 6 5 6" xfId="27654"/>
    <cellStyle name="Normal 9 6 6" xfId="2683"/>
    <cellStyle name="Normal 9 6 6 2" xfId="6967"/>
    <cellStyle name="Normal 9 6 6 2 2" xfId="15403"/>
    <cellStyle name="Normal 9 6 6 2 3" xfId="23844"/>
    <cellStyle name="Normal 9 6 6 2 4" xfId="32284"/>
    <cellStyle name="Normal 9 6 6 3" xfId="11185"/>
    <cellStyle name="Normal 9 6 6 4" xfId="19627"/>
    <cellStyle name="Normal 9 6 6 5" xfId="28067"/>
    <cellStyle name="Normal 9 6 7" xfId="4902"/>
    <cellStyle name="Normal 9 6 7 2" xfId="13338"/>
    <cellStyle name="Normal 9 6 7 3" xfId="21779"/>
    <cellStyle name="Normal 9 6 7 4" xfId="30219"/>
    <cellStyle name="Normal 9 6 8" xfId="9120"/>
    <cellStyle name="Normal 9 6 9" xfId="1756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0 2 2" xfId="15484"/>
    <cellStyle name="Note 2 2 10 2 3" xfId="23925"/>
    <cellStyle name="Note 2 2 10 2 4" xfId="32365"/>
    <cellStyle name="Note 2 2 10 3" xfId="11266"/>
    <cellStyle name="Note 2 2 10 4" xfId="19708"/>
    <cellStyle name="Note 2 2 10 5" xfId="28148"/>
    <cellStyle name="Note 2 2 11" xfId="4903"/>
    <cellStyle name="Note 2 2 11 2" xfId="13339"/>
    <cellStyle name="Note 2 2 11 3" xfId="21780"/>
    <cellStyle name="Note 2 2 11 4" xfId="30220"/>
    <cellStyle name="Note 2 2 12" xfId="9121"/>
    <cellStyle name="Note 2 2 13" xfId="17563"/>
    <cellStyle name="Note 2 2 14" xfId="26003"/>
    <cellStyle name="Note 2 2 2" xfId="546"/>
    <cellStyle name="Note 2 2 2 10" xfId="4904"/>
    <cellStyle name="Note 2 2 2 10 2" xfId="13340"/>
    <cellStyle name="Note 2 2 2 10 3" xfId="21781"/>
    <cellStyle name="Note 2 2 2 10 4" xfId="30221"/>
    <cellStyle name="Note 2 2 2 11" xfId="9122"/>
    <cellStyle name="Note 2 2 2 12" xfId="17564"/>
    <cellStyle name="Note 2 2 2 13" xfId="26004"/>
    <cellStyle name="Note 2 2 2 2" xfId="547"/>
    <cellStyle name="Note 2 2 2 2 10" xfId="9123"/>
    <cellStyle name="Note 2 2 2 2 11" xfId="17565"/>
    <cellStyle name="Note 2 2 2 2 12" xfId="26005"/>
    <cellStyle name="Note 2 2 2 2 2" xfId="1008"/>
    <cellStyle name="Note 2 2 2 2 2 2" xfId="3240"/>
    <cellStyle name="Note 2 2 2 2 2 2 2" xfId="7463"/>
    <cellStyle name="Note 2 2 2 2 2 2 2 2" xfId="15899"/>
    <cellStyle name="Note 2 2 2 2 2 2 2 3" xfId="24340"/>
    <cellStyle name="Note 2 2 2 2 2 2 2 4" xfId="32780"/>
    <cellStyle name="Note 2 2 2 2 2 2 3" xfId="11681"/>
    <cellStyle name="Note 2 2 2 2 2 2 4" xfId="20123"/>
    <cellStyle name="Note 2 2 2 2 2 2 5" xfId="28563"/>
    <cellStyle name="Note 2 2 2 2 2 3" xfId="5318"/>
    <cellStyle name="Note 2 2 2 2 2 3 2" xfId="13754"/>
    <cellStyle name="Note 2 2 2 2 2 3 3" xfId="22195"/>
    <cellStyle name="Note 2 2 2 2 2 3 4" xfId="30635"/>
    <cellStyle name="Note 2 2 2 2 2 4" xfId="9536"/>
    <cellStyle name="Note 2 2 2 2 2 5" xfId="17978"/>
    <cellStyle name="Note 2 2 2 2 2 6" xfId="26418"/>
    <cellStyle name="Note 2 2 2 2 3" xfId="1423"/>
    <cellStyle name="Note 2 2 2 2 3 2" xfId="3653"/>
    <cellStyle name="Note 2 2 2 2 3 2 2" xfId="7876"/>
    <cellStyle name="Note 2 2 2 2 3 2 2 2" xfId="16312"/>
    <cellStyle name="Note 2 2 2 2 3 2 2 3" xfId="24753"/>
    <cellStyle name="Note 2 2 2 2 3 2 2 4" xfId="33193"/>
    <cellStyle name="Note 2 2 2 2 3 2 3" xfId="12094"/>
    <cellStyle name="Note 2 2 2 2 3 2 4" xfId="20536"/>
    <cellStyle name="Note 2 2 2 2 3 2 5" xfId="28976"/>
    <cellStyle name="Note 2 2 2 2 3 3" xfId="5731"/>
    <cellStyle name="Note 2 2 2 2 3 3 2" xfId="14167"/>
    <cellStyle name="Note 2 2 2 2 3 3 3" xfId="22608"/>
    <cellStyle name="Note 2 2 2 2 3 3 4" xfId="31048"/>
    <cellStyle name="Note 2 2 2 2 3 4" xfId="9949"/>
    <cellStyle name="Note 2 2 2 2 3 5" xfId="18391"/>
    <cellStyle name="Note 2 2 2 2 3 6" xfId="26831"/>
    <cellStyle name="Note 2 2 2 2 4" xfId="1837"/>
    <cellStyle name="Note 2 2 2 2 4 2" xfId="4066"/>
    <cellStyle name="Note 2 2 2 2 4 2 2" xfId="8289"/>
    <cellStyle name="Note 2 2 2 2 4 2 2 2" xfId="16725"/>
    <cellStyle name="Note 2 2 2 2 4 2 2 3" xfId="25166"/>
    <cellStyle name="Note 2 2 2 2 4 2 2 4" xfId="33606"/>
    <cellStyle name="Note 2 2 2 2 4 2 3" xfId="12507"/>
    <cellStyle name="Note 2 2 2 2 4 2 4" xfId="20949"/>
    <cellStyle name="Note 2 2 2 2 4 2 5" xfId="29389"/>
    <cellStyle name="Note 2 2 2 2 4 3" xfId="6144"/>
    <cellStyle name="Note 2 2 2 2 4 3 2" xfId="14580"/>
    <cellStyle name="Note 2 2 2 2 4 3 3" xfId="23021"/>
    <cellStyle name="Note 2 2 2 2 4 3 4" xfId="31461"/>
    <cellStyle name="Note 2 2 2 2 4 4" xfId="10362"/>
    <cellStyle name="Note 2 2 2 2 4 5" xfId="18804"/>
    <cellStyle name="Note 2 2 2 2 4 6" xfId="27244"/>
    <cellStyle name="Note 2 2 2 2 5" xfId="2250"/>
    <cellStyle name="Note 2 2 2 2 5 2" xfId="4479"/>
    <cellStyle name="Note 2 2 2 2 5 2 2" xfId="8702"/>
    <cellStyle name="Note 2 2 2 2 5 2 2 2" xfId="17138"/>
    <cellStyle name="Note 2 2 2 2 5 2 2 3" xfId="25579"/>
    <cellStyle name="Note 2 2 2 2 5 2 2 4" xfId="34019"/>
    <cellStyle name="Note 2 2 2 2 5 2 3" xfId="12920"/>
    <cellStyle name="Note 2 2 2 2 5 2 4" xfId="21362"/>
    <cellStyle name="Note 2 2 2 2 5 2 5" xfId="29802"/>
    <cellStyle name="Note 2 2 2 2 5 3" xfId="6557"/>
    <cellStyle name="Note 2 2 2 2 5 3 2" xfId="14993"/>
    <cellStyle name="Note 2 2 2 2 5 3 3" xfId="23434"/>
    <cellStyle name="Note 2 2 2 2 5 3 4" xfId="31874"/>
    <cellStyle name="Note 2 2 2 2 5 4" xfId="10775"/>
    <cellStyle name="Note 2 2 2 2 5 5" xfId="19217"/>
    <cellStyle name="Note 2 2 2 2 5 6" xfId="27657"/>
    <cellStyle name="Note 2 2 2 2 6" xfId="2686"/>
    <cellStyle name="Note 2 2 2 2 6 2" xfId="6970"/>
    <cellStyle name="Note 2 2 2 2 6 2 2" xfId="15406"/>
    <cellStyle name="Note 2 2 2 2 6 2 3" xfId="23847"/>
    <cellStyle name="Note 2 2 2 2 6 2 4" xfId="32287"/>
    <cellStyle name="Note 2 2 2 2 6 3" xfId="11188"/>
    <cellStyle name="Note 2 2 2 2 6 4" xfId="19630"/>
    <cellStyle name="Note 2 2 2 2 6 5" xfId="28070"/>
    <cellStyle name="Note 2 2 2 2 7" xfId="2745"/>
    <cellStyle name="Note 2 2 2 2 8" xfId="2826"/>
    <cellStyle name="Note 2 2 2 2 8 2" xfId="7050"/>
    <cellStyle name="Note 2 2 2 2 8 2 2" xfId="15486"/>
    <cellStyle name="Note 2 2 2 2 8 2 3" xfId="23927"/>
    <cellStyle name="Note 2 2 2 2 8 2 4" xfId="32367"/>
    <cellStyle name="Note 2 2 2 2 8 3" xfId="11268"/>
    <cellStyle name="Note 2 2 2 2 8 4" xfId="19710"/>
    <cellStyle name="Note 2 2 2 2 8 5" xfId="28150"/>
    <cellStyle name="Note 2 2 2 2 9" xfId="4905"/>
    <cellStyle name="Note 2 2 2 2 9 2" xfId="13341"/>
    <cellStyle name="Note 2 2 2 2 9 3" xfId="21782"/>
    <cellStyle name="Note 2 2 2 2 9 4" xfId="30222"/>
    <cellStyle name="Note 2 2 2 3" xfId="1007"/>
    <cellStyle name="Note 2 2 2 3 2" xfId="3239"/>
    <cellStyle name="Note 2 2 2 3 2 2" xfId="7462"/>
    <cellStyle name="Note 2 2 2 3 2 2 2" xfId="15898"/>
    <cellStyle name="Note 2 2 2 3 2 2 3" xfId="24339"/>
    <cellStyle name="Note 2 2 2 3 2 2 4" xfId="32779"/>
    <cellStyle name="Note 2 2 2 3 2 3" xfId="11680"/>
    <cellStyle name="Note 2 2 2 3 2 4" xfId="20122"/>
    <cellStyle name="Note 2 2 2 3 2 5" xfId="28562"/>
    <cellStyle name="Note 2 2 2 3 3" xfId="5317"/>
    <cellStyle name="Note 2 2 2 3 3 2" xfId="13753"/>
    <cellStyle name="Note 2 2 2 3 3 3" xfId="22194"/>
    <cellStyle name="Note 2 2 2 3 3 4" xfId="30634"/>
    <cellStyle name="Note 2 2 2 3 4" xfId="9535"/>
    <cellStyle name="Note 2 2 2 3 5" xfId="17977"/>
    <cellStyle name="Note 2 2 2 3 6" xfId="26417"/>
    <cellStyle name="Note 2 2 2 4" xfId="1422"/>
    <cellStyle name="Note 2 2 2 4 2" xfId="3652"/>
    <cellStyle name="Note 2 2 2 4 2 2" xfId="7875"/>
    <cellStyle name="Note 2 2 2 4 2 2 2" xfId="16311"/>
    <cellStyle name="Note 2 2 2 4 2 2 3" xfId="24752"/>
    <cellStyle name="Note 2 2 2 4 2 2 4" xfId="33192"/>
    <cellStyle name="Note 2 2 2 4 2 3" xfId="12093"/>
    <cellStyle name="Note 2 2 2 4 2 4" xfId="20535"/>
    <cellStyle name="Note 2 2 2 4 2 5" xfId="28975"/>
    <cellStyle name="Note 2 2 2 4 3" xfId="5730"/>
    <cellStyle name="Note 2 2 2 4 3 2" xfId="14166"/>
    <cellStyle name="Note 2 2 2 4 3 3" xfId="22607"/>
    <cellStyle name="Note 2 2 2 4 3 4" xfId="31047"/>
    <cellStyle name="Note 2 2 2 4 4" xfId="9948"/>
    <cellStyle name="Note 2 2 2 4 5" xfId="18390"/>
    <cellStyle name="Note 2 2 2 4 6" xfId="26830"/>
    <cellStyle name="Note 2 2 2 5" xfId="1836"/>
    <cellStyle name="Note 2 2 2 5 2" xfId="4065"/>
    <cellStyle name="Note 2 2 2 5 2 2" xfId="8288"/>
    <cellStyle name="Note 2 2 2 5 2 2 2" xfId="16724"/>
    <cellStyle name="Note 2 2 2 5 2 2 3" xfId="25165"/>
    <cellStyle name="Note 2 2 2 5 2 2 4" xfId="33605"/>
    <cellStyle name="Note 2 2 2 5 2 3" xfId="12506"/>
    <cellStyle name="Note 2 2 2 5 2 4" xfId="20948"/>
    <cellStyle name="Note 2 2 2 5 2 5" xfId="29388"/>
    <cellStyle name="Note 2 2 2 5 3" xfId="6143"/>
    <cellStyle name="Note 2 2 2 5 3 2" xfId="14579"/>
    <cellStyle name="Note 2 2 2 5 3 3" xfId="23020"/>
    <cellStyle name="Note 2 2 2 5 3 4" xfId="31460"/>
    <cellStyle name="Note 2 2 2 5 4" xfId="10361"/>
    <cellStyle name="Note 2 2 2 5 5" xfId="18803"/>
    <cellStyle name="Note 2 2 2 5 6" xfId="27243"/>
    <cellStyle name="Note 2 2 2 6" xfId="2249"/>
    <cellStyle name="Note 2 2 2 6 2" xfId="4478"/>
    <cellStyle name="Note 2 2 2 6 2 2" xfId="8701"/>
    <cellStyle name="Note 2 2 2 6 2 2 2" xfId="17137"/>
    <cellStyle name="Note 2 2 2 6 2 2 3" xfId="25578"/>
    <cellStyle name="Note 2 2 2 6 2 2 4" xfId="34018"/>
    <cellStyle name="Note 2 2 2 6 2 3" xfId="12919"/>
    <cellStyle name="Note 2 2 2 6 2 4" xfId="21361"/>
    <cellStyle name="Note 2 2 2 6 2 5" xfId="29801"/>
    <cellStyle name="Note 2 2 2 6 3" xfId="6556"/>
    <cellStyle name="Note 2 2 2 6 3 2" xfId="14992"/>
    <cellStyle name="Note 2 2 2 6 3 3" xfId="23433"/>
    <cellStyle name="Note 2 2 2 6 3 4" xfId="31873"/>
    <cellStyle name="Note 2 2 2 6 4" xfId="10774"/>
    <cellStyle name="Note 2 2 2 6 5" xfId="19216"/>
    <cellStyle name="Note 2 2 2 6 6" xfId="27656"/>
    <cellStyle name="Note 2 2 2 7" xfId="2685"/>
    <cellStyle name="Note 2 2 2 7 2" xfId="6969"/>
    <cellStyle name="Note 2 2 2 7 2 2" xfId="15405"/>
    <cellStyle name="Note 2 2 2 7 2 3" xfId="23846"/>
    <cellStyle name="Note 2 2 2 7 2 4" xfId="32286"/>
    <cellStyle name="Note 2 2 2 7 3" xfId="11187"/>
    <cellStyle name="Note 2 2 2 7 4" xfId="19629"/>
    <cellStyle name="Note 2 2 2 7 5" xfId="28069"/>
    <cellStyle name="Note 2 2 2 8" xfId="2744"/>
    <cellStyle name="Note 2 2 2 9" xfId="2825"/>
    <cellStyle name="Note 2 2 2 9 2" xfId="7049"/>
    <cellStyle name="Note 2 2 2 9 2 2" xfId="15485"/>
    <cellStyle name="Note 2 2 2 9 2 3" xfId="23926"/>
    <cellStyle name="Note 2 2 2 9 2 4" xfId="32366"/>
    <cellStyle name="Note 2 2 2 9 3" xfId="11267"/>
    <cellStyle name="Note 2 2 2 9 4" xfId="19709"/>
    <cellStyle name="Note 2 2 2 9 5" xfId="28149"/>
    <cellStyle name="Note 2 2 3" xfId="548"/>
    <cellStyle name="Note 2 2 3 10" xfId="9124"/>
    <cellStyle name="Note 2 2 3 11" xfId="17566"/>
    <cellStyle name="Note 2 2 3 12" xfId="26006"/>
    <cellStyle name="Note 2 2 3 2" xfId="1009"/>
    <cellStyle name="Note 2 2 3 2 2" xfId="3241"/>
    <cellStyle name="Note 2 2 3 2 2 2" xfId="7464"/>
    <cellStyle name="Note 2 2 3 2 2 2 2" xfId="15900"/>
    <cellStyle name="Note 2 2 3 2 2 2 3" xfId="24341"/>
    <cellStyle name="Note 2 2 3 2 2 2 4" xfId="32781"/>
    <cellStyle name="Note 2 2 3 2 2 3" xfId="11682"/>
    <cellStyle name="Note 2 2 3 2 2 4" xfId="20124"/>
    <cellStyle name="Note 2 2 3 2 2 5" xfId="28564"/>
    <cellStyle name="Note 2 2 3 2 3" xfId="5319"/>
    <cellStyle name="Note 2 2 3 2 3 2" xfId="13755"/>
    <cellStyle name="Note 2 2 3 2 3 3" xfId="22196"/>
    <cellStyle name="Note 2 2 3 2 3 4" xfId="30636"/>
    <cellStyle name="Note 2 2 3 2 4" xfId="9537"/>
    <cellStyle name="Note 2 2 3 2 5" xfId="17979"/>
    <cellStyle name="Note 2 2 3 2 6" xfId="26419"/>
    <cellStyle name="Note 2 2 3 3" xfId="1424"/>
    <cellStyle name="Note 2 2 3 3 2" xfId="3654"/>
    <cellStyle name="Note 2 2 3 3 2 2" xfId="7877"/>
    <cellStyle name="Note 2 2 3 3 2 2 2" xfId="16313"/>
    <cellStyle name="Note 2 2 3 3 2 2 3" xfId="24754"/>
    <cellStyle name="Note 2 2 3 3 2 2 4" xfId="33194"/>
    <cellStyle name="Note 2 2 3 3 2 3" xfId="12095"/>
    <cellStyle name="Note 2 2 3 3 2 4" xfId="20537"/>
    <cellStyle name="Note 2 2 3 3 2 5" xfId="28977"/>
    <cellStyle name="Note 2 2 3 3 3" xfId="5732"/>
    <cellStyle name="Note 2 2 3 3 3 2" xfId="14168"/>
    <cellStyle name="Note 2 2 3 3 3 3" xfId="22609"/>
    <cellStyle name="Note 2 2 3 3 3 4" xfId="31049"/>
    <cellStyle name="Note 2 2 3 3 4" xfId="9950"/>
    <cellStyle name="Note 2 2 3 3 5" xfId="18392"/>
    <cellStyle name="Note 2 2 3 3 6" xfId="26832"/>
    <cellStyle name="Note 2 2 3 4" xfId="1838"/>
    <cellStyle name="Note 2 2 3 4 2" xfId="4067"/>
    <cellStyle name="Note 2 2 3 4 2 2" xfId="8290"/>
    <cellStyle name="Note 2 2 3 4 2 2 2" xfId="16726"/>
    <cellStyle name="Note 2 2 3 4 2 2 3" xfId="25167"/>
    <cellStyle name="Note 2 2 3 4 2 2 4" xfId="33607"/>
    <cellStyle name="Note 2 2 3 4 2 3" xfId="12508"/>
    <cellStyle name="Note 2 2 3 4 2 4" xfId="20950"/>
    <cellStyle name="Note 2 2 3 4 2 5" xfId="29390"/>
    <cellStyle name="Note 2 2 3 4 3" xfId="6145"/>
    <cellStyle name="Note 2 2 3 4 3 2" xfId="14581"/>
    <cellStyle name="Note 2 2 3 4 3 3" xfId="23022"/>
    <cellStyle name="Note 2 2 3 4 3 4" xfId="31462"/>
    <cellStyle name="Note 2 2 3 4 4" xfId="10363"/>
    <cellStyle name="Note 2 2 3 4 5" xfId="18805"/>
    <cellStyle name="Note 2 2 3 4 6" xfId="27245"/>
    <cellStyle name="Note 2 2 3 5" xfId="2251"/>
    <cellStyle name="Note 2 2 3 5 2" xfId="4480"/>
    <cellStyle name="Note 2 2 3 5 2 2" xfId="8703"/>
    <cellStyle name="Note 2 2 3 5 2 2 2" xfId="17139"/>
    <cellStyle name="Note 2 2 3 5 2 2 3" xfId="25580"/>
    <cellStyle name="Note 2 2 3 5 2 2 4" xfId="34020"/>
    <cellStyle name="Note 2 2 3 5 2 3" xfId="12921"/>
    <cellStyle name="Note 2 2 3 5 2 4" xfId="21363"/>
    <cellStyle name="Note 2 2 3 5 2 5" xfId="29803"/>
    <cellStyle name="Note 2 2 3 5 3" xfId="6558"/>
    <cellStyle name="Note 2 2 3 5 3 2" xfId="14994"/>
    <cellStyle name="Note 2 2 3 5 3 3" xfId="23435"/>
    <cellStyle name="Note 2 2 3 5 3 4" xfId="31875"/>
    <cellStyle name="Note 2 2 3 5 4" xfId="10776"/>
    <cellStyle name="Note 2 2 3 5 5" xfId="19218"/>
    <cellStyle name="Note 2 2 3 5 6" xfId="27658"/>
    <cellStyle name="Note 2 2 3 6" xfId="2687"/>
    <cellStyle name="Note 2 2 3 6 2" xfId="6971"/>
    <cellStyle name="Note 2 2 3 6 2 2" xfId="15407"/>
    <cellStyle name="Note 2 2 3 6 2 3" xfId="23848"/>
    <cellStyle name="Note 2 2 3 6 2 4" xfId="32288"/>
    <cellStyle name="Note 2 2 3 6 3" xfId="11189"/>
    <cellStyle name="Note 2 2 3 6 4" xfId="19631"/>
    <cellStyle name="Note 2 2 3 6 5" xfId="28071"/>
    <cellStyle name="Note 2 2 3 7" xfId="2746"/>
    <cellStyle name="Note 2 2 3 8" xfId="2827"/>
    <cellStyle name="Note 2 2 3 8 2" xfId="7051"/>
    <cellStyle name="Note 2 2 3 8 2 2" xfId="15487"/>
    <cellStyle name="Note 2 2 3 8 2 3" xfId="23928"/>
    <cellStyle name="Note 2 2 3 8 2 4" xfId="32368"/>
    <cellStyle name="Note 2 2 3 8 3" xfId="11269"/>
    <cellStyle name="Note 2 2 3 8 4" xfId="19711"/>
    <cellStyle name="Note 2 2 3 8 5" xfId="28151"/>
    <cellStyle name="Note 2 2 3 9" xfId="4906"/>
    <cellStyle name="Note 2 2 3 9 2" xfId="13342"/>
    <cellStyle name="Note 2 2 3 9 3" xfId="21783"/>
    <cellStyle name="Note 2 2 3 9 4" xfId="30223"/>
    <cellStyle name="Note 2 2 4" xfId="1006"/>
    <cellStyle name="Note 2 2 4 2" xfId="3238"/>
    <cellStyle name="Note 2 2 4 2 2" xfId="7461"/>
    <cellStyle name="Note 2 2 4 2 2 2" xfId="15897"/>
    <cellStyle name="Note 2 2 4 2 2 3" xfId="24338"/>
    <cellStyle name="Note 2 2 4 2 2 4" xfId="32778"/>
    <cellStyle name="Note 2 2 4 2 3" xfId="11679"/>
    <cellStyle name="Note 2 2 4 2 4" xfId="20121"/>
    <cellStyle name="Note 2 2 4 2 5" xfId="28561"/>
    <cellStyle name="Note 2 2 4 3" xfId="5316"/>
    <cellStyle name="Note 2 2 4 3 2" xfId="13752"/>
    <cellStyle name="Note 2 2 4 3 3" xfId="22193"/>
    <cellStyle name="Note 2 2 4 3 4" xfId="30633"/>
    <cellStyle name="Note 2 2 4 4" xfId="9534"/>
    <cellStyle name="Note 2 2 4 5" xfId="17976"/>
    <cellStyle name="Note 2 2 4 6" xfId="26416"/>
    <cellStyle name="Note 2 2 5" xfId="1421"/>
    <cellStyle name="Note 2 2 5 2" xfId="3651"/>
    <cellStyle name="Note 2 2 5 2 2" xfId="7874"/>
    <cellStyle name="Note 2 2 5 2 2 2" xfId="16310"/>
    <cellStyle name="Note 2 2 5 2 2 3" xfId="24751"/>
    <cellStyle name="Note 2 2 5 2 2 4" xfId="33191"/>
    <cellStyle name="Note 2 2 5 2 3" xfId="12092"/>
    <cellStyle name="Note 2 2 5 2 4" xfId="20534"/>
    <cellStyle name="Note 2 2 5 2 5" xfId="28974"/>
    <cellStyle name="Note 2 2 5 3" xfId="5729"/>
    <cellStyle name="Note 2 2 5 3 2" xfId="14165"/>
    <cellStyle name="Note 2 2 5 3 3" xfId="22606"/>
    <cellStyle name="Note 2 2 5 3 4" xfId="31046"/>
    <cellStyle name="Note 2 2 5 4" xfId="9947"/>
    <cellStyle name="Note 2 2 5 5" xfId="18389"/>
    <cellStyle name="Note 2 2 5 6" xfId="26829"/>
    <cellStyle name="Note 2 2 6" xfId="1835"/>
    <cellStyle name="Note 2 2 6 2" xfId="4064"/>
    <cellStyle name="Note 2 2 6 2 2" xfId="8287"/>
    <cellStyle name="Note 2 2 6 2 2 2" xfId="16723"/>
    <cellStyle name="Note 2 2 6 2 2 3" xfId="25164"/>
    <cellStyle name="Note 2 2 6 2 2 4" xfId="33604"/>
    <cellStyle name="Note 2 2 6 2 3" xfId="12505"/>
    <cellStyle name="Note 2 2 6 2 4" xfId="20947"/>
    <cellStyle name="Note 2 2 6 2 5" xfId="29387"/>
    <cellStyle name="Note 2 2 6 3" xfId="6142"/>
    <cellStyle name="Note 2 2 6 3 2" xfId="14578"/>
    <cellStyle name="Note 2 2 6 3 3" xfId="23019"/>
    <cellStyle name="Note 2 2 6 3 4" xfId="31459"/>
    <cellStyle name="Note 2 2 6 4" xfId="10360"/>
    <cellStyle name="Note 2 2 6 5" xfId="18802"/>
    <cellStyle name="Note 2 2 6 6" xfId="27242"/>
    <cellStyle name="Note 2 2 7" xfId="2248"/>
    <cellStyle name="Note 2 2 7 2" xfId="4477"/>
    <cellStyle name="Note 2 2 7 2 2" xfId="8700"/>
    <cellStyle name="Note 2 2 7 2 2 2" xfId="17136"/>
    <cellStyle name="Note 2 2 7 2 2 3" xfId="25577"/>
    <cellStyle name="Note 2 2 7 2 2 4" xfId="34017"/>
    <cellStyle name="Note 2 2 7 2 3" xfId="12918"/>
    <cellStyle name="Note 2 2 7 2 4" xfId="21360"/>
    <cellStyle name="Note 2 2 7 2 5" xfId="29800"/>
    <cellStyle name="Note 2 2 7 3" xfId="6555"/>
    <cellStyle name="Note 2 2 7 3 2" xfId="14991"/>
    <cellStyle name="Note 2 2 7 3 3" xfId="23432"/>
    <cellStyle name="Note 2 2 7 3 4" xfId="31872"/>
    <cellStyle name="Note 2 2 7 4" xfId="10773"/>
    <cellStyle name="Note 2 2 7 5" xfId="19215"/>
    <cellStyle name="Note 2 2 7 6" xfId="27655"/>
    <cellStyle name="Note 2 2 8" xfId="2684"/>
    <cellStyle name="Note 2 2 8 2" xfId="6968"/>
    <cellStyle name="Note 2 2 8 2 2" xfId="15404"/>
    <cellStyle name="Note 2 2 8 2 3" xfId="23845"/>
    <cellStyle name="Note 2 2 8 2 4" xfId="32285"/>
    <cellStyle name="Note 2 2 8 3" xfId="11186"/>
    <cellStyle name="Note 2 2 8 4" xfId="19628"/>
    <cellStyle name="Note 2 2 8 5" xfId="28068"/>
    <cellStyle name="Note 2 2 9" xfId="2743"/>
    <cellStyle name="Note 2 3" xfId="549"/>
    <cellStyle name="Note 2 3 10" xfId="4907"/>
    <cellStyle name="Note 2 3 10 2" xfId="13343"/>
    <cellStyle name="Note 2 3 10 3" xfId="21784"/>
    <cellStyle name="Note 2 3 10 4" xfId="30224"/>
    <cellStyle name="Note 2 3 11" xfId="9125"/>
    <cellStyle name="Note 2 3 12" xfId="17567"/>
    <cellStyle name="Note 2 3 13" xfId="26007"/>
    <cellStyle name="Note 2 3 2" xfId="550"/>
    <cellStyle name="Note 2 3 2 10" xfId="9126"/>
    <cellStyle name="Note 2 3 2 11" xfId="17568"/>
    <cellStyle name="Note 2 3 2 12" xfId="26008"/>
    <cellStyle name="Note 2 3 2 2" xfId="1011"/>
    <cellStyle name="Note 2 3 2 2 2" xfId="3243"/>
    <cellStyle name="Note 2 3 2 2 2 2" xfId="7466"/>
    <cellStyle name="Note 2 3 2 2 2 2 2" xfId="15902"/>
    <cellStyle name="Note 2 3 2 2 2 2 3" xfId="24343"/>
    <cellStyle name="Note 2 3 2 2 2 2 4" xfId="32783"/>
    <cellStyle name="Note 2 3 2 2 2 3" xfId="11684"/>
    <cellStyle name="Note 2 3 2 2 2 4" xfId="20126"/>
    <cellStyle name="Note 2 3 2 2 2 5" xfId="28566"/>
    <cellStyle name="Note 2 3 2 2 3" xfId="5321"/>
    <cellStyle name="Note 2 3 2 2 3 2" xfId="13757"/>
    <cellStyle name="Note 2 3 2 2 3 3" xfId="22198"/>
    <cellStyle name="Note 2 3 2 2 3 4" xfId="30638"/>
    <cellStyle name="Note 2 3 2 2 4" xfId="9539"/>
    <cellStyle name="Note 2 3 2 2 5" xfId="17981"/>
    <cellStyle name="Note 2 3 2 2 6" xfId="26421"/>
    <cellStyle name="Note 2 3 2 3" xfId="1426"/>
    <cellStyle name="Note 2 3 2 3 2" xfId="3656"/>
    <cellStyle name="Note 2 3 2 3 2 2" xfId="7879"/>
    <cellStyle name="Note 2 3 2 3 2 2 2" xfId="16315"/>
    <cellStyle name="Note 2 3 2 3 2 2 3" xfId="24756"/>
    <cellStyle name="Note 2 3 2 3 2 2 4" xfId="33196"/>
    <cellStyle name="Note 2 3 2 3 2 3" xfId="12097"/>
    <cellStyle name="Note 2 3 2 3 2 4" xfId="20539"/>
    <cellStyle name="Note 2 3 2 3 2 5" xfId="28979"/>
    <cellStyle name="Note 2 3 2 3 3" xfId="5734"/>
    <cellStyle name="Note 2 3 2 3 3 2" xfId="14170"/>
    <cellStyle name="Note 2 3 2 3 3 3" xfId="22611"/>
    <cellStyle name="Note 2 3 2 3 3 4" xfId="31051"/>
    <cellStyle name="Note 2 3 2 3 4" xfId="9952"/>
    <cellStyle name="Note 2 3 2 3 5" xfId="18394"/>
    <cellStyle name="Note 2 3 2 3 6" xfId="26834"/>
    <cellStyle name="Note 2 3 2 4" xfId="1840"/>
    <cellStyle name="Note 2 3 2 4 2" xfId="4069"/>
    <cellStyle name="Note 2 3 2 4 2 2" xfId="8292"/>
    <cellStyle name="Note 2 3 2 4 2 2 2" xfId="16728"/>
    <cellStyle name="Note 2 3 2 4 2 2 3" xfId="25169"/>
    <cellStyle name="Note 2 3 2 4 2 2 4" xfId="33609"/>
    <cellStyle name="Note 2 3 2 4 2 3" xfId="12510"/>
    <cellStyle name="Note 2 3 2 4 2 4" xfId="20952"/>
    <cellStyle name="Note 2 3 2 4 2 5" xfId="29392"/>
    <cellStyle name="Note 2 3 2 4 3" xfId="6147"/>
    <cellStyle name="Note 2 3 2 4 3 2" xfId="14583"/>
    <cellStyle name="Note 2 3 2 4 3 3" xfId="23024"/>
    <cellStyle name="Note 2 3 2 4 3 4" xfId="31464"/>
    <cellStyle name="Note 2 3 2 4 4" xfId="10365"/>
    <cellStyle name="Note 2 3 2 4 5" xfId="18807"/>
    <cellStyle name="Note 2 3 2 4 6" xfId="27247"/>
    <cellStyle name="Note 2 3 2 5" xfId="2253"/>
    <cellStyle name="Note 2 3 2 5 2" xfId="4482"/>
    <cellStyle name="Note 2 3 2 5 2 2" xfId="8705"/>
    <cellStyle name="Note 2 3 2 5 2 2 2" xfId="17141"/>
    <cellStyle name="Note 2 3 2 5 2 2 3" xfId="25582"/>
    <cellStyle name="Note 2 3 2 5 2 2 4" xfId="34022"/>
    <cellStyle name="Note 2 3 2 5 2 3" xfId="12923"/>
    <cellStyle name="Note 2 3 2 5 2 4" xfId="21365"/>
    <cellStyle name="Note 2 3 2 5 2 5" xfId="29805"/>
    <cellStyle name="Note 2 3 2 5 3" xfId="6560"/>
    <cellStyle name="Note 2 3 2 5 3 2" xfId="14996"/>
    <cellStyle name="Note 2 3 2 5 3 3" xfId="23437"/>
    <cellStyle name="Note 2 3 2 5 3 4" xfId="31877"/>
    <cellStyle name="Note 2 3 2 5 4" xfId="10778"/>
    <cellStyle name="Note 2 3 2 5 5" xfId="19220"/>
    <cellStyle name="Note 2 3 2 5 6" xfId="27660"/>
    <cellStyle name="Note 2 3 2 6" xfId="2689"/>
    <cellStyle name="Note 2 3 2 6 2" xfId="6973"/>
    <cellStyle name="Note 2 3 2 6 2 2" xfId="15409"/>
    <cellStyle name="Note 2 3 2 6 2 3" xfId="23850"/>
    <cellStyle name="Note 2 3 2 6 2 4" xfId="32290"/>
    <cellStyle name="Note 2 3 2 6 3" xfId="11191"/>
    <cellStyle name="Note 2 3 2 6 4" xfId="19633"/>
    <cellStyle name="Note 2 3 2 6 5" xfId="28073"/>
    <cellStyle name="Note 2 3 2 7" xfId="2748"/>
    <cellStyle name="Note 2 3 2 8" xfId="2829"/>
    <cellStyle name="Note 2 3 2 8 2" xfId="7053"/>
    <cellStyle name="Note 2 3 2 8 2 2" xfId="15489"/>
    <cellStyle name="Note 2 3 2 8 2 3" xfId="23930"/>
    <cellStyle name="Note 2 3 2 8 2 4" xfId="32370"/>
    <cellStyle name="Note 2 3 2 8 3" xfId="11271"/>
    <cellStyle name="Note 2 3 2 8 4" xfId="19713"/>
    <cellStyle name="Note 2 3 2 8 5" xfId="28153"/>
    <cellStyle name="Note 2 3 2 9" xfId="4908"/>
    <cellStyle name="Note 2 3 2 9 2" xfId="13344"/>
    <cellStyle name="Note 2 3 2 9 3" xfId="21785"/>
    <cellStyle name="Note 2 3 2 9 4" xfId="30225"/>
    <cellStyle name="Note 2 3 3" xfId="1010"/>
    <cellStyle name="Note 2 3 3 2" xfId="3242"/>
    <cellStyle name="Note 2 3 3 2 2" xfId="7465"/>
    <cellStyle name="Note 2 3 3 2 2 2" xfId="15901"/>
    <cellStyle name="Note 2 3 3 2 2 3" xfId="24342"/>
    <cellStyle name="Note 2 3 3 2 2 4" xfId="32782"/>
    <cellStyle name="Note 2 3 3 2 3" xfId="11683"/>
    <cellStyle name="Note 2 3 3 2 4" xfId="20125"/>
    <cellStyle name="Note 2 3 3 2 5" xfId="28565"/>
    <cellStyle name="Note 2 3 3 3" xfId="5320"/>
    <cellStyle name="Note 2 3 3 3 2" xfId="13756"/>
    <cellStyle name="Note 2 3 3 3 3" xfId="22197"/>
    <cellStyle name="Note 2 3 3 3 4" xfId="30637"/>
    <cellStyle name="Note 2 3 3 4" xfId="9538"/>
    <cellStyle name="Note 2 3 3 5" xfId="17980"/>
    <cellStyle name="Note 2 3 3 6" xfId="26420"/>
    <cellStyle name="Note 2 3 4" xfId="1425"/>
    <cellStyle name="Note 2 3 4 2" xfId="3655"/>
    <cellStyle name="Note 2 3 4 2 2" xfId="7878"/>
    <cellStyle name="Note 2 3 4 2 2 2" xfId="16314"/>
    <cellStyle name="Note 2 3 4 2 2 3" xfId="24755"/>
    <cellStyle name="Note 2 3 4 2 2 4" xfId="33195"/>
    <cellStyle name="Note 2 3 4 2 3" xfId="12096"/>
    <cellStyle name="Note 2 3 4 2 4" xfId="20538"/>
    <cellStyle name="Note 2 3 4 2 5" xfId="28978"/>
    <cellStyle name="Note 2 3 4 3" xfId="5733"/>
    <cellStyle name="Note 2 3 4 3 2" xfId="14169"/>
    <cellStyle name="Note 2 3 4 3 3" xfId="22610"/>
    <cellStyle name="Note 2 3 4 3 4" xfId="31050"/>
    <cellStyle name="Note 2 3 4 4" xfId="9951"/>
    <cellStyle name="Note 2 3 4 5" xfId="18393"/>
    <cellStyle name="Note 2 3 4 6" xfId="26833"/>
    <cellStyle name="Note 2 3 5" xfId="1839"/>
    <cellStyle name="Note 2 3 5 2" xfId="4068"/>
    <cellStyle name="Note 2 3 5 2 2" xfId="8291"/>
    <cellStyle name="Note 2 3 5 2 2 2" xfId="16727"/>
    <cellStyle name="Note 2 3 5 2 2 3" xfId="25168"/>
    <cellStyle name="Note 2 3 5 2 2 4" xfId="33608"/>
    <cellStyle name="Note 2 3 5 2 3" xfId="12509"/>
    <cellStyle name="Note 2 3 5 2 4" xfId="20951"/>
    <cellStyle name="Note 2 3 5 2 5" xfId="29391"/>
    <cellStyle name="Note 2 3 5 3" xfId="6146"/>
    <cellStyle name="Note 2 3 5 3 2" xfId="14582"/>
    <cellStyle name="Note 2 3 5 3 3" xfId="23023"/>
    <cellStyle name="Note 2 3 5 3 4" xfId="31463"/>
    <cellStyle name="Note 2 3 5 4" xfId="10364"/>
    <cellStyle name="Note 2 3 5 5" xfId="18806"/>
    <cellStyle name="Note 2 3 5 6" xfId="27246"/>
    <cellStyle name="Note 2 3 6" xfId="2252"/>
    <cellStyle name="Note 2 3 6 2" xfId="4481"/>
    <cellStyle name="Note 2 3 6 2 2" xfId="8704"/>
    <cellStyle name="Note 2 3 6 2 2 2" xfId="17140"/>
    <cellStyle name="Note 2 3 6 2 2 3" xfId="25581"/>
    <cellStyle name="Note 2 3 6 2 2 4" xfId="34021"/>
    <cellStyle name="Note 2 3 6 2 3" xfId="12922"/>
    <cellStyle name="Note 2 3 6 2 4" xfId="21364"/>
    <cellStyle name="Note 2 3 6 2 5" xfId="29804"/>
    <cellStyle name="Note 2 3 6 3" xfId="6559"/>
    <cellStyle name="Note 2 3 6 3 2" xfId="14995"/>
    <cellStyle name="Note 2 3 6 3 3" xfId="23436"/>
    <cellStyle name="Note 2 3 6 3 4" xfId="31876"/>
    <cellStyle name="Note 2 3 6 4" xfId="10777"/>
    <cellStyle name="Note 2 3 6 5" xfId="19219"/>
    <cellStyle name="Note 2 3 6 6" xfId="27659"/>
    <cellStyle name="Note 2 3 7" xfId="2688"/>
    <cellStyle name="Note 2 3 7 2" xfId="6972"/>
    <cellStyle name="Note 2 3 7 2 2" xfId="15408"/>
    <cellStyle name="Note 2 3 7 2 3" xfId="23849"/>
    <cellStyle name="Note 2 3 7 2 4" xfId="32289"/>
    <cellStyle name="Note 2 3 7 3" xfId="11190"/>
    <cellStyle name="Note 2 3 7 4" xfId="19632"/>
    <cellStyle name="Note 2 3 7 5" xfId="28072"/>
    <cellStyle name="Note 2 3 8" xfId="2747"/>
    <cellStyle name="Note 2 3 9" xfId="2828"/>
    <cellStyle name="Note 2 3 9 2" xfId="7052"/>
    <cellStyle name="Note 2 3 9 2 2" xfId="15488"/>
    <cellStyle name="Note 2 3 9 2 3" xfId="23929"/>
    <cellStyle name="Note 2 3 9 2 4" xfId="32369"/>
    <cellStyle name="Note 2 3 9 3" xfId="11270"/>
    <cellStyle name="Note 2 3 9 4" xfId="19712"/>
    <cellStyle name="Note 2 3 9 5" xfId="28152"/>
    <cellStyle name="Note 2 4" xfId="551"/>
    <cellStyle name="Note 2 4 10" xfId="9127"/>
    <cellStyle name="Note 2 4 11" xfId="17569"/>
    <cellStyle name="Note 2 4 12" xfId="26009"/>
    <cellStyle name="Note 2 4 2" xfId="1012"/>
    <cellStyle name="Note 2 4 2 2" xfId="3244"/>
    <cellStyle name="Note 2 4 2 2 2" xfId="7467"/>
    <cellStyle name="Note 2 4 2 2 2 2" xfId="15903"/>
    <cellStyle name="Note 2 4 2 2 2 3" xfId="24344"/>
    <cellStyle name="Note 2 4 2 2 2 4" xfId="32784"/>
    <cellStyle name="Note 2 4 2 2 3" xfId="11685"/>
    <cellStyle name="Note 2 4 2 2 4" xfId="20127"/>
    <cellStyle name="Note 2 4 2 2 5" xfId="28567"/>
    <cellStyle name="Note 2 4 2 3" xfId="5322"/>
    <cellStyle name="Note 2 4 2 3 2" xfId="13758"/>
    <cellStyle name="Note 2 4 2 3 3" xfId="22199"/>
    <cellStyle name="Note 2 4 2 3 4" xfId="30639"/>
    <cellStyle name="Note 2 4 2 4" xfId="9540"/>
    <cellStyle name="Note 2 4 2 5" xfId="17982"/>
    <cellStyle name="Note 2 4 2 6" xfId="26422"/>
    <cellStyle name="Note 2 4 3" xfId="1427"/>
    <cellStyle name="Note 2 4 3 2" xfId="3657"/>
    <cellStyle name="Note 2 4 3 2 2" xfId="7880"/>
    <cellStyle name="Note 2 4 3 2 2 2" xfId="16316"/>
    <cellStyle name="Note 2 4 3 2 2 3" xfId="24757"/>
    <cellStyle name="Note 2 4 3 2 2 4" xfId="33197"/>
    <cellStyle name="Note 2 4 3 2 3" xfId="12098"/>
    <cellStyle name="Note 2 4 3 2 4" xfId="20540"/>
    <cellStyle name="Note 2 4 3 2 5" xfId="28980"/>
    <cellStyle name="Note 2 4 3 3" xfId="5735"/>
    <cellStyle name="Note 2 4 3 3 2" xfId="14171"/>
    <cellStyle name="Note 2 4 3 3 3" xfId="22612"/>
    <cellStyle name="Note 2 4 3 3 4" xfId="31052"/>
    <cellStyle name="Note 2 4 3 4" xfId="9953"/>
    <cellStyle name="Note 2 4 3 5" xfId="18395"/>
    <cellStyle name="Note 2 4 3 6" xfId="26835"/>
    <cellStyle name="Note 2 4 4" xfId="1841"/>
    <cellStyle name="Note 2 4 4 2" xfId="4070"/>
    <cellStyle name="Note 2 4 4 2 2" xfId="8293"/>
    <cellStyle name="Note 2 4 4 2 2 2" xfId="16729"/>
    <cellStyle name="Note 2 4 4 2 2 3" xfId="25170"/>
    <cellStyle name="Note 2 4 4 2 2 4" xfId="33610"/>
    <cellStyle name="Note 2 4 4 2 3" xfId="12511"/>
    <cellStyle name="Note 2 4 4 2 4" xfId="20953"/>
    <cellStyle name="Note 2 4 4 2 5" xfId="29393"/>
    <cellStyle name="Note 2 4 4 3" xfId="6148"/>
    <cellStyle name="Note 2 4 4 3 2" xfId="14584"/>
    <cellStyle name="Note 2 4 4 3 3" xfId="23025"/>
    <cellStyle name="Note 2 4 4 3 4" xfId="31465"/>
    <cellStyle name="Note 2 4 4 4" xfId="10366"/>
    <cellStyle name="Note 2 4 4 5" xfId="18808"/>
    <cellStyle name="Note 2 4 4 6" xfId="27248"/>
    <cellStyle name="Note 2 4 5" xfId="2254"/>
    <cellStyle name="Note 2 4 5 2" xfId="4483"/>
    <cellStyle name="Note 2 4 5 2 2" xfId="8706"/>
    <cellStyle name="Note 2 4 5 2 2 2" xfId="17142"/>
    <cellStyle name="Note 2 4 5 2 2 3" xfId="25583"/>
    <cellStyle name="Note 2 4 5 2 2 4" xfId="34023"/>
    <cellStyle name="Note 2 4 5 2 3" xfId="12924"/>
    <cellStyle name="Note 2 4 5 2 4" xfId="21366"/>
    <cellStyle name="Note 2 4 5 2 5" xfId="29806"/>
    <cellStyle name="Note 2 4 5 3" xfId="6561"/>
    <cellStyle name="Note 2 4 5 3 2" xfId="14997"/>
    <cellStyle name="Note 2 4 5 3 3" xfId="23438"/>
    <cellStyle name="Note 2 4 5 3 4" xfId="31878"/>
    <cellStyle name="Note 2 4 5 4" xfId="10779"/>
    <cellStyle name="Note 2 4 5 5" xfId="19221"/>
    <cellStyle name="Note 2 4 5 6" xfId="27661"/>
    <cellStyle name="Note 2 4 6" xfId="2690"/>
    <cellStyle name="Note 2 4 6 2" xfId="6974"/>
    <cellStyle name="Note 2 4 6 2 2" xfId="15410"/>
    <cellStyle name="Note 2 4 6 2 3" xfId="23851"/>
    <cellStyle name="Note 2 4 6 2 4" xfId="32291"/>
    <cellStyle name="Note 2 4 6 3" xfId="11192"/>
    <cellStyle name="Note 2 4 6 4" xfId="19634"/>
    <cellStyle name="Note 2 4 6 5" xfId="28074"/>
    <cellStyle name="Note 2 4 7" xfId="2749"/>
    <cellStyle name="Note 2 4 8" xfId="2830"/>
    <cellStyle name="Note 2 4 8 2" xfId="7054"/>
    <cellStyle name="Note 2 4 8 2 2" xfId="15490"/>
    <cellStyle name="Note 2 4 8 2 3" xfId="23931"/>
    <cellStyle name="Note 2 4 8 2 4" xfId="32371"/>
    <cellStyle name="Note 2 4 8 3" xfId="11272"/>
    <cellStyle name="Note 2 4 8 4" xfId="19714"/>
    <cellStyle name="Note 2 4 8 5" xfId="28154"/>
    <cellStyle name="Note 2 4 9" xfId="4909"/>
    <cellStyle name="Note 2 4 9 2" xfId="13345"/>
    <cellStyle name="Note 2 4 9 3" xfId="21786"/>
    <cellStyle name="Note 2 4 9 4" xfId="30226"/>
    <cellStyle name="Note 2 5" xfId="552"/>
    <cellStyle name="Note 2 5 10" xfId="9128"/>
    <cellStyle name="Note 2 5 11" xfId="17570"/>
    <cellStyle name="Note 2 5 12" xfId="26010"/>
    <cellStyle name="Note 2 5 2" xfId="1013"/>
    <cellStyle name="Note 2 5 2 2" xfId="3245"/>
    <cellStyle name="Note 2 5 2 2 2" xfId="7468"/>
    <cellStyle name="Note 2 5 2 2 2 2" xfId="15904"/>
    <cellStyle name="Note 2 5 2 2 2 3" xfId="24345"/>
    <cellStyle name="Note 2 5 2 2 2 4" xfId="32785"/>
    <cellStyle name="Note 2 5 2 2 3" xfId="11686"/>
    <cellStyle name="Note 2 5 2 2 4" xfId="20128"/>
    <cellStyle name="Note 2 5 2 2 5" xfId="28568"/>
    <cellStyle name="Note 2 5 2 3" xfId="5323"/>
    <cellStyle name="Note 2 5 2 3 2" xfId="13759"/>
    <cellStyle name="Note 2 5 2 3 3" xfId="22200"/>
    <cellStyle name="Note 2 5 2 3 4" xfId="30640"/>
    <cellStyle name="Note 2 5 2 4" xfId="9541"/>
    <cellStyle name="Note 2 5 2 5" xfId="17983"/>
    <cellStyle name="Note 2 5 2 6" xfId="26423"/>
    <cellStyle name="Note 2 5 3" xfId="1428"/>
    <cellStyle name="Note 2 5 3 2" xfId="3658"/>
    <cellStyle name="Note 2 5 3 2 2" xfId="7881"/>
    <cellStyle name="Note 2 5 3 2 2 2" xfId="16317"/>
    <cellStyle name="Note 2 5 3 2 2 3" xfId="24758"/>
    <cellStyle name="Note 2 5 3 2 2 4" xfId="33198"/>
    <cellStyle name="Note 2 5 3 2 3" xfId="12099"/>
    <cellStyle name="Note 2 5 3 2 4" xfId="20541"/>
    <cellStyle name="Note 2 5 3 2 5" xfId="28981"/>
    <cellStyle name="Note 2 5 3 3" xfId="5736"/>
    <cellStyle name="Note 2 5 3 3 2" xfId="14172"/>
    <cellStyle name="Note 2 5 3 3 3" xfId="22613"/>
    <cellStyle name="Note 2 5 3 3 4" xfId="31053"/>
    <cellStyle name="Note 2 5 3 4" xfId="9954"/>
    <cellStyle name="Note 2 5 3 5" xfId="18396"/>
    <cellStyle name="Note 2 5 3 6" xfId="26836"/>
    <cellStyle name="Note 2 5 4" xfId="1842"/>
    <cellStyle name="Note 2 5 4 2" xfId="4071"/>
    <cellStyle name="Note 2 5 4 2 2" xfId="8294"/>
    <cellStyle name="Note 2 5 4 2 2 2" xfId="16730"/>
    <cellStyle name="Note 2 5 4 2 2 3" xfId="25171"/>
    <cellStyle name="Note 2 5 4 2 2 4" xfId="33611"/>
    <cellStyle name="Note 2 5 4 2 3" xfId="12512"/>
    <cellStyle name="Note 2 5 4 2 4" xfId="20954"/>
    <cellStyle name="Note 2 5 4 2 5" xfId="29394"/>
    <cellStyle name="Note 2 5 4 3" xfId="6149"/>
    <cellStyle name="Note 2 5 4 3 2" xfId="14585"/>
    <cellStyle name="Note 2 5 4 3 3" xfId="23026"/>
    <cellStyle name="Note 2 5 4 3 4" xfId="31466"/>
    <cellStyle name="Note 2 5 4 4" xfId="10367"/>
    <cellStyle name="Note 2 5 4 5" xfId="18809"/>
    <cellStyle name="Note 2 5 4 6" xfId="27249"/>
    <cellStyle name="Note 2 5 5" xfId="2255"/>
    <cellStyle name="Note 2 5 5 2" xfId="4484"/>
    <cellStyle name="Note 2 5 5 2 2" xfId="8707"/>
    <cellStyle name="Note 2 5 5 2 2 2" xfId="17143"/>
    <cellStyle name="Note 2 5 5 2 2 3" xfId="25584"/>
    <cellStyle name="Note 2 5 5 2 2 4" xfId="34024"/>
    <cellStyle name="Note 2 5 5 2 3" xfId="12925"/>
    <cellStyle name="Note 2 5 5 2 4" xfId="21367"/>
    <cellStyle name="Note 2 5 5 2 5" xfId="29807"/>
    <cellStyle name="Note 2 5 5 3" xfId="6562"/>
    <cellStyle name="Note 2 5 5 3 2" xfId="14998"/>
    <cellStyle name="Note 2 5 5 3 3" xfId="23439"/>
    <cellStyle name="Note 2 5 5 3 4" xfId="31879"/>
    <cellStyle name="Note 2 5 5 4" xfId="10780"/>
    <cellStyle name="Note 2 5 5 5" xfId="19222"/>
    <cellStyle name="Note 2 5 5 6" xfId="27662"/>
    <cellStyle name="Note 2 5 6" xfId="2691"/>
    <cellStyle name="Note 2 5 6 2" xfId="6975"/>
    <cellStyle name="Note 2 5 6 2 2" xfId="15411"/>
    <cellStyle name="Note 2 5 6 2 3" xfId="23852"/>
    <cellStyle name="Note 2 5 6 2 4" xfId="32292"/>
    <cellStyle name="Note 2 5 6 3" xfId="11193"/>
    <cellStyle name="Note 2 5 6 4" xfId="19635"/>
    <cellStyle name="Note 2 5 6 5" xfId="28075"/>
    <cellStyle name="Note 2 5 7" xfId="2750"/>
    <cellStyle name="Note 2 5 8" xfId="2831"/>
    <cellStyle name="Note 2 5 8 2" xfId="7055"/>
    <cellStyle name="Note 2 5 8 2 2" xfId="15491"/>
    <cellStyle name="Note 2 5 8 2 3" xfId="23932"/>
    <cellStyle name="Note 2 5 8 2 4" xfId="32372"/>
    <cellStyle name="Note 2 5 8 3" xfId="11273"/>
    <cellStyle name="Note 2 5 8 4" xfId="19715"/>
    <cellStyle name="Note 2 5 8 5" xfId="28155"/>
    <cellStyle name="Note 2 5 9" xfId="4910"/>
    <cellStyle name="Note 2 5 9 2" xfId="13346"/>
    <cellStyle name="Note 2 5 9 3" xfId="21787"/>
    <cellStyle name="Note 2 5 9 4" xfId="30227"/>
    <cellStyle name="Note 3" xfId="553"/>
    <cellStyle name="Note 3 2" xfId="554"/>
    <cellStyle name="Note 3 2 10" xfId="2832"/>
    <cellStyle name="Note 3 2 10 2" xfId="7056"/>
    <cellStyle name="Note 3 2 10 2 2" xfId="15492"/>
    <cellStyle name="Note 3 2 10 2 3" xfId="23933"/>
    <cellStyle name="Note 3 2 10 2 4" xfId="32373"/>
    <cellStyle name="Note 3 2 10 3" xfId="11274"/>
    <cellStyle name="Note 3 2 10 4" xfId="19716"/>
    <cellStyle name="Note 3 2 10 5" xfId="28156"/>
    <cellStyle name="Note 3 2 11" xfId="4911"/>
    <cellStyle name="Note 3 2 11 2" xfId="13347"/>
    <cellStyle name="Note 3 2 11 3" xfId="21788"/>
    <cellStyle name="Note 3 2 11 4" xfId="30228"/>
    <cellStyle name="Note 3 2 12" xfId="9129"/>
    <cellStyle name="Note 3 2 13" xfId="17571"/>
    <cellStyle name="Note 3 2 14" xfId="26011"/>
    <cellStyle name="Note 3 2 2" xfId="555"/>
    <cellStyle name="Note 3 2 2 10" xfId="4912"/>
    <cellStyle name="Note 3 2 2 10 2" xfId="13348"/>
    <cellStyle name="Note 3 2 2 10 3" xfId="21789"/>
    <cellStyle name="Note 3 2 2 10 4" xfId="30229"/>
    <cellStyle name="Note 3 2 2 11" xfId="9130"/>
    <cellStyle name="Note 3 2 2 12" xfId="17572"/>
    <cellStyle name="Note 3 2 2 13" xfId="26012"/>
    <cellStyle name="Note 3 2 2 2" xfId="556"/>
    <cellStyle name="Note 3 2 2 2 10" xfId="9131"/>
    <cellStyle name="Note 3 2 2 2 11" xfId="17573"/>
    <cellStyle name="Note 3 2 2 2 12" xfId="26013"/>
    <cellStyle name="Note 3 2 2 2 2" xfId="1016"/>
    <cellStyle name="Note 3 2 2 2 2 2" xfId="3248"/>
    <cellStyle name="Note 3 2 2 2 2 2 2" xfId="7471"/>
    <cellStyle name="Note 3 2 2 2 2 2 2 2" xfId="15907"/>
    <cellStyle name="Note 3 2 2 2 2 2 2 3" xfId="24348"/>
    <cellStyle name="Note 3 2 2 2 2 2 2 4" xfId="32788"/>
    <cellStyle name="Note 3 2 2 2 2 2 3" xfId="11689"/>
    <cellStyle name="Note 3 2 2 2 2 2 4" xfId="20131"/>
    <cellStyle name="Note 3 2 2 2 2 2 5" xfId="28571"/>
    <cellStyle name="Note 3 2 2 2 2 3" xfId="5326"/>
    <cellStyle name="Note 3 2 2 2 2 3 2" xfId="13762"/>
    <cellStyle name="Note 3 2 2 2 2 3 3" xfId="22203"/>
    <cellStyle name="Note 3 2 2 2 2 3 4" xfId="30643"/>
    <cellStyle name="Note 3 2 2 2 2 4" xfId="9544"/>
    <cellStyle name="Note 3 2 2 2 2 5" xfId="17986"/>
    <cellStyle name="Note 3 2 2 2 2 6" xfId="26426"/>
    <cellStyle name="Note 3 2 2 2 3" xfId="1431"/>
    <cellStyle name="Note 3 2 2 2 3 2" xfId="3661"/>
    <cellStyle name="Note 3 2 2 2 3 2 2" xfId="7884"/>
    <cellStyle name="Note 3 2 2 2 3 2 2 2" xfId="16320"/>
    <cellStyle name="Note 3 2 2 2 3 2 2 3" xfId="24761"/>
    <cellStyle name="Note 3 2 2 2 3 2 2 4" xfId="33201"/>
    <cellStyle name="Note 3 2 2 2 3 2 3" xfId="12102"/>
    <cellStyle name="Note 3 2 2 2 3 2 4" xfId="20544"/>
    <cellStyle name="Note 3 2 2 2 3 2 5" xfId="28984"/>
    <cellStyle name="Note 3 2 2 2 3 3" xfId="5739"/>
    <cellStyle name="Note 3 2 2 2 3 3 2" xfId="14175"/>
    <cellStyle name="Note 3 2 2 2 3 3 3" xfId="22616"/>
    <cellStyle name="Note 3 2 2 2 3 3 4" xfId="31056"/>
    <cellStyle name="Note 3 2 2 2 3 4" xfId="9957"/>
    <cellStyle name="Note 3 2 2 2 3 5" xfId="18399"/>
    <cellStyle name="Note 3 2 2 2 3 6" xfId="26839"/>
    <cellStyle name="Note 3 2 2 2 4" xfId="1845"/>
    <cellStyle name="Note 3 2 2 2 4 2" xfId="4074"/>
    <cellStyle name="Note 3 2 2 2 4 2 2" xfId="8297"/>
    <cellStyle name="Note 3 2 2 2 4 2 2 2" xfId="16733"/>
    <cellStyle name="Note 3 2 2 2 4 2 2 3" xfId="25174"/>
    <cellStyle name="Note 3 2 2 2 4 2 2 4" xfId="33614"/>
    <cellStyle name="Note 3 2 2 2 4 2 3" xfId="12515"/>
    <cellStyle name="Note 3 2 2 2 4 2 4" xfId="20957"/>
    <cellStyle name="Note 3 2 2 2 4 2 5" xfId="29397"/>
    <cellStyle name="Note 3 2 2 2 4 3" xfId="6152"/>
    <cellStyle name="Note 3 2 2 2 4 3 2" xfId="14588"/>
    <cellStyle name="Note 3 2 2 2 4 3 3" xfId="23029"/>
    <cellStyle name="Note 3 2 2 2 4 3 4" xfId="31469"/>
    <cellStyle name="Note 3 2 2 2 4 4" xfId="10370"/>
    <cellStyle name="Note 3 2 2 2 4 5" xfId="18812"/>
    <cellStyle name="Note 3 2 2 2 4 6" xfId="27252"/>
    <cellStyle name="Note 3 2 2 2 5" xfId="2258"/>
    <cellStyle name="Note 3 2 2 2 5 2" xfId="4487"/>
    <cellStyle name="Note 3 2 2 2 5 2 2" xfId="8710"/>
    <cellStyle name="Note 3 2 2 2 5 2 2 2" xfId="17146"/>
    <cellStyle name="Note 3 2 2 2 5 2 2 3" xfId="25587"/>
    <cellStyle name="Note 3 2 2 2 5 2 2 4" xfId="34027"/>
    <cellStyle name="Note 3 2 2 2 5 2 3" xfId="12928"/>
    <cellStyle name="Note 3 2 2 2 5 2 4" xfId="21370"/>
    <cellStyle name="Note 3 2 2 2 5 2 5" xfId="29810"/>
    <cellStyle name="Note 3 2 2 2 5 3" xfId="6565"/>
    <cellStyle name="Note 3 2 2 2 5 3 2" xfId="15001"/>
    <cellStyle name="Note 3 2 2 2 5 3 3" xfId="23442"/>
    <cellStyle name="Note 3 2 2 2 5 3 4" xfId="31882"/>
    <cellStyle name="Note 3 2 2 2 5 4" xfId="10783"/>
    <cellStyle name="Note 3 2 2 2 5 5" xfId="19225"/>
    <cellStyle name="Note 3 2 2 2 5 6" xfId="27665"/>
    <cellStyle name="Note 3 2 2 2 6" xfId="2694"/>
    <cellStyle name="Note 3 2 2 2 6 2" xfId="6978"/>
    <cellStyle name="Note 3 2 2 2 6 2 2" xfId="15414"/>
    <cellStyle name="Note 3 2 2 2 6 2 3" xfId="23855"/>
    <cellStyle name="Note 3 2 2 2 6 2 4" xfId="32295"/>
    <cellStyle name="Note 3 2 2 2 6 3" xfId="11196"/>
    <cellStyle name="Note 3 2 2 2 6 4" xfId="19638"/>
    <cellStyle name="Note 3 2 2 2 6 5" xfId="28078"/>
    <cellStyle name="Note 3 2 2 2 7" xfId="2753"/>
    <cellStyle name="Note 3 2 2 2 8" xfId="2834"/>
    <cellStyle name="Note 3 2 2 2 8 2" xfId="7058"/>
    <cellStyle name="Note 3 2 2 2 8 2 2" xfId="15494"/>
    <cellStyle name="Note 3 2 2 2 8 2 3" xfId="23935"/>
    <cellStyle name="Note 3 2 2 2 8 2 4" xfId="32375"/>
    <cellStyle name="Note 3 2 2 2 8 3" xfId="11276"/>
    <cellStyle name="Note 3 2 2 2 8 4" xfId="19718"/>
    <cellStyle name="Note 3 2 2 2 8 5" xfId="28158"/>
    <cellStyle name="Note 3 2 2 2 9" xfId="4913"/>
    <cellStyle name="Note 3 2 2 2 9 2" xfId="13349"/>
    <cellStyle name="Note 3 2 2 2 9 3" xfId="21790"/>
    <cellStyle name="Note 3 2 2 2 9 4" xfId="30230"/>
    <cellStyle name="Note 3 2 2 3" xfId="1015"/>
    <cellStyle name="Note 3 2 2 3 2" xfId="3247"/>
    <cellStyle name="Note 3 2 2 3 2 2" xfId="7470"/>
    <cellStyle name="Note 3 2 2 3 2 2 2" xfId="15906"/>
    <cellStyle name="Note 3 2 2 3 2 2 3" xfId="24347"/>
    <cellStyle name="Note 3 2 2 3 2 2 4" xfId="32787"/>
    <cellStyle name="Note 3 2 2 3 2 3" xfId="11688"/>
    <cellStyle name="Note 3 2 2 3 2 4" xfId="20130"/>
    <cellStyle name="Note 3 2 2 3 2 5" xfId="28570"/>
    <cellStyle name="Note 3 2 2 3 3" xfId="5325"/>
    <cellStyle name="Note 3 2 2 3 3 2" xfId="13761"/>
    <cellStyle name="Note 3 2 2 3 3 3" xfId="22202"/>
    <cellStyle name="Note 3 2 2 3 3 4" xfId="30642"/>
    <cellStyle name="Note 3 2 2 3 4" xfId="9543"/>
    <cellStyle name="Note 3 2 2 3 5" xfId="17985"/>
    <cellStyle name="Note 3 2 2 3 6" xfId="26425"/>
    <cellStyle name="Note 3 2 2 4" xfId="1430"/>
    <cellStyle name="Note 3 2 2 4 2" xfId="3660"/>
    <cellStyle name="Note 3 2 2 4 2 2" xfId="7883"/>
    <cellStyle name="Note 3 2 2 4 2 2 2" xfId="16319"/>
    <cellStyle name="Note 3 2 2 4 2 2 3" xfId="24760"/>
    <cellStyle name="Note 3 2 2 4 2 2 4" xfId="33200"/>
    <cellStyle name="Note 3 2 2 4 2 3" xfId="12101"/>
    <cellStyle name="Note 3 2 2 4 2 4" xfId="20543"/>
    <cellStyle name="Note 3 2 2 4 2 5" xfId="28983"/>
    <cellStyle name="Note 3 2 2 4 3" xfId="5738"/>
    <cellStyle name="Note 3 2 2 4 3 2" xfId="14174"/>
    <cellStyle name="Note 3 2 2 4 3 3" xfId="22615"/>
    <cellStyle name="Note 3 2 2 4 3 4" xfId="31055"/>
    <cellStyle name="Note 3 2 2 4 4" xfId="9956"/>
    <cellStyle name="Note 3 2 2 4 5" xfId="18398"/>
    <cellStyle name="Note 3 2 2 4 6" xfId="26838"/>
    <cellStyle name="Note 3 2 2 5" xfId="1844"/>
    <cellStyle name="Note 3 2 2 5 2" xfId="4073"/>
    <cellStyle name="Note 3 2 2 5 2 2" xfId="8296"/>
    <cellStyle name="Note 3 2 2 5 2 2 2" xfId="16732"/>
    <cellStyle name="Note 3 2 2 5 2 2 3" xfId="25173"/>
    <cellStyle name="Note 3 2 2 5 2 2 4" xfId="33613"/>
    <cellStyle name="Note 3 2 2 5 2 3" xfId="12514"/>
    <cellStyle name="Note 3 2 2 5 2 4" xfId="20956"/>
    <cellStyle name="Note 3 2 2 5 2 5" xfId="29396"/>
    <cellStyle name="Note 3 2 2 5 3" xfId="6151"/>
    <cellStyle name="Note 3 2 2 5 3 2" xfId="14587"/>
    <cellStyle name="Note 3 2 2 5 3 3" xfId="23028"/>
    <cellStyle name="Note 3 2 2 5 3 4" xfId="31468"/>
    <cellStyle name="Note 3 2 2 5 4" xfId="10369"/>
    <cellStyle name="Note 3 2 2 5 5" xfId="18811"/>
    <cellStyle name="Note 3 2 2 5 6" xfId="27251"/>
    <cellStyle name="Note 3 2 2 6" xfId="2257"/>
    <cellStyle name="Note 3 2 2 6 2" xfId="4486"/>
    <cellStyle name="Note 3 2 2 6 2 2" xfId="8709"/>
    <cellStyle name="Note 3 2 2 6 2 2 2" xfId="17145"/>
    <cellStyle name="Note 3 2 2 6 2 2 3" xfId="25586"/>
    <cellStyle name="Note 3 2 2 6 2 2 4" xfId="34026"/>
    <cellStyle name="Note 3 2 2 6 2 3" xfId="12927"/>
    <cellStyle name="Note 3 2 2 6 2 4" xfId="21369"/>
    <cellStyle name="Note 3 2 2 6 2 5" xfId="29809"/>
    <cellStyle name="Note 3 2 2 6 3" xfId="6564"/>
    <cellStyle name="Note 3 2 2 6 3 2" xfId="15000"/>
    <cellStyle name="Note 3 2 2 6 3 3" xfId="23441"/>
    <cellStyle name="Note 3 2 2 6 3 4" xfId="31881"/>
    <cellStyle name="Note 3 2 2 6 4" xfId="10782"/>
    <cellStyle name="Note 3 2 2 6 5" xfId="19224"/>
    <cellStyle name="Note 3 2 2 6 6" xfId="27664"/>
    <cellStyle name="Note 3 2 2 7" xfId="2693"/>
    <cellStyle name="Note 3 2 2 7 2" xfId="6977"/>
    <cellStyle name="Note 3 2 2 7 2 2" xfId="15413"/>
    <cellStyle name="Note 3 2 2 7 2 3" xfId="23854"/>
    <cellStyle name="Note 3 2 2 7 2 4" xfId="32294"/>
    <cellStyle name="Note 3 2 2 7 3" xfId="11195"/>
    <cellStyle name="Note 3 2 2 7 4" xfId="19637"/>
    <cellStyle name="Note 3 2 2 7 5" xfId="28077"/>
    <cellStyle name="Note 3 2 2 8" xfId="2752"/>
    <cellStyle name="Note 3 2 2 9" xfId="2833"/>
    <cellStyle name="Note 3 2 2 9 2" xfId="7057"/>
    <cellStyle name="Note 3 2 2 9 2 2" xfId="15493"/>
    <cellStyle name="Note 3 2 2 9 2 3" xfId="23934"/>
    <cellStyle name="Note 3 2 2 9 2 4" xfId="32374"/>
    <cellStyle name="Note 3 2 2 9 3" xfId="11275"/>
    <cellStyle name="Note 3 2 2 9 4" xfId="19717"/>
    <cellStyle name="Note 3 2 2 9 5" xfId="28157"/>
    <cellStyle name="Note 3 2 3" xfId="557"/>
    <cellStyle name="Note 3 2 3 10" xfId="9132"/>
    <cellStyle name="Note 3 2 3 11" xfId="17574"/>
    <cellStyle name="Note 3 2 3 12" xfId="26014"/>
    <cellStyle name="Note 3 2 3 2" xfId="1017"/>
    <cellStyle name="Note 3 2 3 2 2" xfId="3249"/>
    <cellStyle name="Note 3 2 3 2 2 2" xfId="7472"/>
    <cellStyle name="Note 3 2 3 2 2 2 2" xfId="15908"/>
    <cellStyle name="Note 3 2 3 2 2 2 3" xfId="24349"/>
    <cellStyle name="Note 3 2 3 2 2 2 4" xfId="32789"/>
    <cellStyle name="Note 3 2 3 2 2 3" xfId="11690"/>
    <cellStyle name="Note 3 2 3 2 2 4" xfId="20132"/>
    <cellStyle name="Note 3 2 3 2 2 5" xfId="28572"/>
    <cellStyle name="Note 3 2 3 2 3" xfId="5327"/>
    <cellStyle name="Note 3 2 3 2 3 2" xfId="13763"/>
    <cellStyle name="Note 3 2 3 2 3 3" xfId="22204"/>
    <cellStyle name="Note 3 2 3 2 3 4" xfId="30644"/>
    <cellStyle name="Note 3 2 3 2 4" xfId="9545"/>
    <cellStyle name="Note 3 2 3 2 5" xfId="17987"/>
    <cellStyle name="Note 3 2 3 2 6" xfId="26427"/>
    <cellStyle name="Note 3 2 3 3" xfId="1432"/>
    <cellStyle name="Note 3 2 3 3 2" xfId="3662"/>
    <cellStyle name="Note 3 2 3 3 2 2" xfId="7885"/>
    <cellStyle name="Note 3 2 3 3 2 2 2" xfId="16321"/>
    <cellStyle name="Note 3 2 3 3 2 2 3" xfId="24762"/>
    <cellStyle name="Note 3 2 3 3 2 2 4" xfId="33202"/>
    <cellStyle name="Note 3 2 3 3 2 3" xfId="12103"/>
    <cellStyle name="Note 3 2 3 3 2 4" xfId="20545"/>
    <cellStyle name="Note 3 2 3 3 2 5" xfId="28985"/>
    <cellStyle name="Note 3 2 3 3 3" xfId="5740"/>
    <cellStyle name="Note 3 2 3 3 3 2" xfId="14176"/>
    <cellStyle name="Note 3 2 3 3 3 3" xfId="22617"/>
    <cellStyle name="Note 3 2 3 3 3 4" xfId="31057"/>
    <cellStyle name="Note 3 2 3 3 4" xfId="9958"/>
    <cellStyle name="Note 3 2 3 3 5" xfId="18400"/>
    <cellStyle name="Note 3 2 3 3 6" xfId="26840"/>
    <cellStyle name="Note 3 2 3 4" xfId="1846"/>
    <cellStyle name="Note 3 2 3 4 2" xfId="4075"/>
    <cellStyle name="Note 3 2 3 4 2 2" xfId="8298"/>
    <cellStyle name="Note 3 2 3 4 2 2 2" xfId="16734"/>
    <cellStyle name="Note 3 2 3 4 2 2 3" xfId="25175"/>
    <cellStyle name="Note 3 2 3 4 2 2 4" xfId="33615"/>
    <cellStyle name="Note 3 2 3 4 2 3" xfId="12516"/>
    <cellStyle name="Note 3 2 3 4 2 4" xfId="20958"/>
    <cellStyle name="Note 3 2 3 4 2 5" xfId="29398"/>
    <cellStyle name="Note 3 2 3 4 3" xfId="6153"/>
    <cellStyle name="Note 3 2 3 4 3 2" xfId="14589"/>
    <cellStyle name="Note 3 2 3 4 3 3" xfId="23030"/>
    <cellStyle name="Note 3 2 3 4 3 4" xfId="31470"/>
    <cellStyle name="Note 3 2 3 4 4" xfId="10371"/>
    <cellStyle name="Note 3 2 3 4 5" xfId="18813"/>
    <cellStyle name="Note 3 2 3 4 6" xfId="27253"/>
    <cellStyle name="Note 3 2 3 5" xfId="2259"/>
    <cellStyle name="Note 3 2 3 5 2" xfId="4488"/>
    <cellStyle name="Note 3 2 3 5 2 2" xfId="8711"/>
    <cellStyle name="Note 3 2 3 5 2 2 2" xfId="17147"/>
    <cellStyle name="Note 3 2 3 5 2 2 3" xfId="25588"/>
    <cellStyle name="Note 3 2 3 5 2 2 4" xfId="34028"/>
    <cellStyle name="Note 3 2 3 5 2 3" xfId="12929"/>
    <cellStyle name="Note 3 2 3 5 2 4" xfId="21371"/>
    <cellStyle name="Note 3 2 3 5 2 5" xfId="29811"/>
    <cellStyle name="Note 3 2 3 5 3" xfId="6566"/>
    <cellStyle name="Note 3 2 3 5 3 2" xfId="15002"/>
    <cellStyle name="Note 3 2 3 5 3 3" xfId="23443"/>
    <cellStyle name="Note 3 2 3 5 3 4" xfId="31883"/>
    <cellStyle name="Note 3 2 3 5 4" xfId="10784"/>
    <cellStyle name="Note 3 2 3 5 5" xfId="19226"/>
    <cellStyle name="Note 3 2 3 5 6" xfId="27666"/>
    <cellStyle name="Note 3 2 3 6" xfId="2695"/>
    <cellStyle name="Note 3 2 3 6 2" xfId="6979"/>
    <cellStyle name="Note 3 2 3 6 2 2" xfId="15415"/>
    <cellStyle name="Note 3 2 3 6 2 3" xfId="23856"/>
    <cellStyle name="Note 3 2 3 6 2 4" xfId="32296"/>
    <cellStyle name="Note 3 2 3 6 3" xfId="11197"/>
    <cellStyle name="Note 3 2 3 6 4" xfId="19639"/>
    <cellStyle name="Note 3 2 3 6 5" xfId="28079"/>
    <cellStyle name="Note 3 2 3 7" xfId="2754"/>
    <cellStyle name="Note 3 2 3 8" xfId="2835"/>
    <cellStyle name="Note 3 2 3 8 2" xfId="7059"/>
    <cellStyle name="Note 3 2 3 8 2 2" xfId="15495"/>
    <cellStyle name="Note 3 2 3 8 2 3" xfId="23936"/>
    <cellStyle name="Note 3 2 3 8 2 4" xfId="32376"/>
    <cellStyle name="Note 3 2 3 8 3" xfId="11277"/>
    <cellStyle name="Note 3 2 3 8 4" xfId="19719"/>
    <cellStyle name="Note 3 2 3 8 5" xfId="28159"/>
    <cellStyle name="Note 3 2 3 9" xfId="4914"/>
    <cellStyle name="Note 3 2 3 9 2" xfId="13350"/>
    <cellStyle name="Note 3 2 3 9 3" xfId="21791"/>
    <cellStyle name="Note 3 2 3 9 4" xfId="30231"/>
    <cellStyle name="Note 3 2 4" xfId="1014"/>
    <cellStyle name="Note 3 2 4 2" xfId="3246"/>
    <cellStyle name="Note 3 2 4 2 2" xfId="7469"/>
    <cellStyle name="Note 3 2 4 2 2 2" xfId="15905"/>
    <cellStyle name="Note 3 2 4 2 2 3" xfId="24346"/>
    <cellStyle name="Note 3 2 4 2 2 4" xfId="32786"/>
    <cellStyle name="Note 3 2 4 2 3" xfId="11687"/>
    <cellStyle name="Note 3 2 4 2 4" xfId="20129"/>
    <cellStyle name="Note 3 2 4 2 5" xfId="28569"/>
    <cellStyle name="Note 3 2 4 3" xfId="5324"/>
    <cellStyle name="Note 3 2 4 3 2" xfId="13760"/>
    <cellStyle name="Note 3 2 4 3 3" xfId="22201"/>
    <cellStyle name="Note 3 2 4 3 4" xfId="30641"/>
    <cellStyle name="Note 3 2 4 4" xfId="9542"/>
    <cellStyle name="Note 3 2 4 5" xfId="17984"/>
    <cellStyle name="Note 3 2 4 6" xfId="26424"/>
    <cellStyle name="Note 3 2 5" xfId="1429"/>
    <cellStyle name="Note 3 2 5 2" xfId="3659"/>
    <cellStyle name="Note 3 2 5 2 2" xfId="7882"/>
    <cellStyle name="Note 3 2 5 2 2 2" xfId="16318"/>
    <cellStyle name="Note 3 2 5 2 2 3" xfId="24759"/>
    <cellStyle name="Note 3 2 5 2 2 4" xfId="33199"/>
    <cellStyle name="Note 3 2 5 2 3" xfId="12100"/>
    <cellStyle name="Note 3 2 5 2 4" xfId="20542"/>
    <cellStyle name="Note 3 2 5 2 5" xfId="28982"/>
    <cellStyle name="Note 3 2 5 3" xfId="5737"/>
    <cellStyle name="Note 3 2 5 3 2" xfId="14173"/>
    <cellStyle name="Note 3 2 5 3 3" xfId="22614"/>
    <cellStyle name="Note 3 2 5 3 4" xfId="31054"/>
    <cellStyle name="Note 3 2 5 4" xfId="9955"/>
    <cellStyle name="Note 3 2 5 5" xfId="18397"/>
    <cellStyle name="Note 3 2 5 6" xfId="26837"/>
    <cellStyle name="Note 3 2 6" xfId="1843"/>
    <cellStyle name="Note 3 2 6 2" xfId="4072"/>
    <cellStyle name="Note 3 2 6 2 2" xfId="8295"/>
    <cellStyle name="Note 3 2 6 2 2 2" xfId="16731"/>
    <cellStyle name="Note 3 2 6 2 2 3" xfId="25172"/>
    <cellStyle name="Note 3 2 6 2 2 4" xfId="33612"/>
    <cellStyle name="Note 3 2 6 2 3" xfId="12513"/>
    <cellStyle name="Note 3 2 6 2 4" xfId="20955"/>
    <cellStyle name="Note 3 2 6 2 5" xfId="29395"/>
    <cellStyle name="Note 3 2 6 3" xfId="6150"/>
    <cellStyle name="Note 3 2 6 3 2" xfId="14586"/>
    <cellStyle name="Note 3 2 6 3 3" xfId="23027"/>
    <cellStyle name="Note 3 2 6 3 4" xfId="31467"/>
    <cellStyle name="Note 3 2 6 4" xfId="10368"/>
    <cellStyle name="Note 3 2 6 5" xfId="18810"/>
    <cellStyle name="Note 3 2 6 6" xfId="27250"/>
    <cellStyle name="Note 3 2 7" xfId="2256"/>
    <cellStyle name="Note 3 2 7 2" xfId="4485"/>
    <cellStyle name="Note 3 2 7 2 2" xfId="8708"/>
    <cellStyle name="Note 3 2 7 2 2 2" xfId="17144"/>
    <cellStyle name="Note 3 2 7 2 2 3" xfId="25585"/>
    <cellStyle name="Note 3 2 7 2 2 4" xfId="34025"/>
    <cellStyle name="Note 3 2 7 2 3" xfId="12926"/>
    <cellStyle name="Note 3 2 7 2 4" xfId="21368"/>
    <cellStyle name="Note 3 2 7 2 5" xfId="29808"/>
    <cellStyle name="Note 3 2 7 3" xfId="6563"/>
    <cellStyle name="Note 3 2 7 3 2" xfId="14999"/>
    <cellStyle name="Note 3 2 7 3 3" xfId="23440"/>
    <cellStyle name="Note 3 2 7 3 4" xfId="31880"/>
    <cellStyle name="Note 3 2 7 4" xfId="10781"/>
    <cellStyle name="Note 3 2 7 5" xfId="19223"/>
    <cellStyle name="Note 3 2 7 6" xfId="27663"/>
    <cellStyle name="Note 3 2 8" xfId="2692"/>
    <cellStyle name="Note 3 2 8 2" xfId="6976"/>
    <cellStyle name="Note 3 2 8 2 2" xfId="15412"/>
    <cellStyle name="Note 3 2 8 2 3" xfId="23853"/>
    <cellStyle name="Note 3 2 8 2 4" xfId="32293"/>
    <cellStyle name="Note 3 2 8 3" xfId="11194"/>
    <cellStyle name="Note 3 2 8 4" xfId="19636"/>
    <cellStyle name="Note 3 2 8 5" xfId="28076"/>
    <cellStyle name="Note 3 2 9" xfId="2751"/>
    <cellStyle name="Note 3 3" xfId="558"/>
    <cellStyle name="Note 3 3 10" xfId="4915"/>
    <cellStyle name="Note 3 3 10 2" xfId="13351"/>
    <cellStyle name="Note 3 3 10 3" xfId="21792"/>
    <cellStyle name="Note 3 3 10 4" xfId="30232"/>
    <cellStyle name="Note 3 3 11" xfId="9133"/>
    <cellStyle name="Note 3 3 12" xfId="17575"/>
    <cellStyle name="Note 3 3 13" xfId="26015"/>
    <cellStyle name="Note 3 3 2" xfId="559"/>
    <cellStyle name="Note 3 3 2 10" xfId="9134"/>
    <cellStyle name="Note 3 3 2 11" xfId="17576"/>
    <cellStyle name="Note 3 3 2 12" xfId="26016"/>
    <cellStyle name="Note 3 3 2 2" xfId="1019"/>
    <cellStyle name="Note 3 3 2 2 2" xfId="3251"/>
    <cellStyle name="Note 3 3 2 2 2 2" xfId="7474"/>
    <cellStyle name="Note 3 3 2 2 2 2 2" xfId="15910"/>
    <cellStyle name="Note 3 3 2 2 2 2 3" xfId="24351"/>
    <cellStyle name="Note 3 3 2 2 2 2 4" xfId="32791"/>
    <cellStyle name="Note 3 3 2 2 2 3" xfId="11692"/>
    <cellStyle name="Note 3 3 2 2 2 4" xfId="20134"/>
    <cellStyle name="Note 3 3 2 2 2 5" xfId="28574"/>
    <cellStyle name="Note 3 3 2 2 3" xfId="5329"/>
    <cellStyle name="Note 3 3 2 2 3 2" xfId="13765"/>
    <cellStyle name="Note 3 3 2 2 3 3" xfId="22206"/>
    <cellStyle name="Note 3 3 2 2 3 4" xfId="30646"/>
    <cellStyle name="Note 3 3 2 2 4" xfId="9547"/>
    <cellStyle name="Note 3 3 2 2 5" xfId="17989"/>
    <cellStyle name="Note 3 3 2 2 6" xfId="26429"/>
    <cellStyle name="Note 3 3 2 3" xfId="1434"/>
    <cellStyle name="Note 3 3 2 3 2" xfId="3664"/>
    <cellStyle name="Note 3 3 2 3 2 2" xfId="7887"/>
    <cellStyle name="Note 3 3 2 3 2 2 2" xfId="16323"/>
    <cellStyle name="Note 3 3 2 3 2 2 3" xfId="24764"/>
    <cellStyle name="Note 3 3 2 3 2 2 4" xfId="33204"/>
    <cellStyle name="Note 3 3 2 3 2 3" xfId="12105"/>
    <cellStyle name="Note 3 3 2 3 2 4" xfId="20547"/>
    <cellStyle name="Note 3 3 2 3 2 5" xfId="28987"/>
    <cellStyle name="Note 3 3 2 3 3" xfId="5742"/>
    <cellStyle name="Note 3 3 2 3 3 2" xfId="14178"/>
    <cellStyle name="Note 3 3 2 3 3 3" xfId="22619"/>
    <cellStyle name="Note 3 3 2 3 3 4" xfId="31059"/>
    <cellStyle name="Note 3 3 2 3 4" xfId="9960"/>
    <cellStyle name="Note 3 3 2 3 5" xfId="18402"/>
    <cellStyle name="Note 3 3 2 3 6" xfId="26842"/>
    <cellStyle name="Note 3 3 2 4" xfId="1848"/>
    <cellStyle name="Note 3 3 2 4 2" xfId="4077"/>
    <cellStyle name="Note 3 3 2 4 2 2" xfId="8300"/>
    <cellStyle name="Note 3 3 2 4 2 2 2" xfId="16736"/>
    <cellStyle name="Note 3 3 2 4 2 2 3" xfId="25177"/>
    <cellStyle name="Note 3 3 2 4 2 2 4" xfId="33617"/>
    <cellStyle name="Note 3 3 2 4 2 3" xfId="12518"/>
    <cellStyle name="Note 3 3 2 4 2 4" xfId="20960"/>
    <cellStyle name="Note 3 3 2 4 2 5" xfId="29400"/>
    <cellStyle name="Note 3 3 2 4 3" xfId="6155"/>
    <cellStyle name="Note 3 3 2 4 3 2" xfId="14591"/>
    <cellStyle name="Note 3 3 2 4 3 3" xfId="23032"/>
    <cellStyle name="Note 3 3 2 4 3 4" xfId="31472"/>
    <cellStyle name="Note 3 3 2 4 4" xfId="10373"/>
    <cellStyle name="Note 3 3 2 4 5" xfId="18815"/>
    <cellStyle name="Note 3 3 2 4 6" xfId="27255"/>
    <cellStyle name="Note 3 3 2 5" xfId="2261"/>
    <cellStyle name="Note 3 3 2 5 2" xfId="4490"/>
    <cellStyle name="Note 3 3 2 5 2 2" xfId="8713"/>
    <cellStyle name="Note 3 3 2 5 2 2 2" xfId="17149"/>
    <cellStyle name="Note 3 3 2 5 2 2 3" xfId="25590"/>
    <cellStyle name="Note 3 3 2 5 2 2 4" xfId="34030"/>
    <cellStyle name="Note 3 3 2 5 2 3" xfId="12931"/>
    <cellStyle name="Note 3 3 2 5 2 4" xfId="21373"/>
    <cellStyle name="Note 3 3 2 5 2 5" xfId="29813"/>
    <cellStyle name="Note 3 3 2 5 3" xfId="6568"/>
    <cellStyle name="Note 3 3 2 5 3 2" xfId="15004"/>
    <cellStyle name="Note 3 3 2 5 3 3" xfId="23445"/>
    <cellStyle name="Note 3 3 2 5 3 4" xfId="31885"/>
    <cellStyle name="Note 3 3 2 5 4" xfId="10786"/>
    <cellStyle name="Note 3 3 2 5 5" xfId="19228"/>
    <cellStyle name="Note 3 3 2 5 6" xfId="27668"/>
    <cellStyle name="Note 3 3 2 6" xfId="2697"/>
    <cellStyle name="Note 3 3 2 6 2" xfId="6981"/>
    <cellStyle name="Note 3 3 2 6 2 2" xfId="15417"/>
    <cellStyle name="Note 3 3 2 6 2 3" xfId="23858"/>
    <cellStyle name="Note 3 3 2 6 2 4" xfId="32298"/>
    <cellStyle name="Note 3 3 2 6 3" xfId="11199"/>
    <cellStyle name="Note 3 3 2 6 4" xfId="19641"/>
    <cellStyle name="Note 3 3 2 6 5" xfId="28081"/>
    <cellStyle name="Note 3 3 2 7" xfId="2756"/>
    <cellStyle name="Note 3 3 2 8" xfId="2837"/>
    <cellStyle name="Note 3 3 2 8 2" xfId="7061"/>
    <cellStyle name="Note 3 3 2 8 2 2" xfId="15497"/>
    <cellStyle name="Note 3 3 2 8 2 3" xfId="23938"/>
    <cellStyle name="Note 3 3 2 8 2 4" xfId="32378"/>
    <cellStyle name="Note 3 3 2 8 3" xfId="11279"/>
    <cellStyle name="Note 3 3 2 8 4" xfId="19721"/>
    <cellStyle name="Note 3 3 2 8 5" xfId="28161"/>
    <cellStyle name="Note 3 3 2 9" xfId="4916"/>
    <cellStyle name="Note 3 3 2 9 2" xfId="13352"/>
    <cellStyle name="Note 3 3 2 9 3" xfId="21793"/>
    <cellStyle name="Note 3 3 2 9 4" xfId="30233"/>
    <cellStyle name="Note 3 3 3" xfId="1018"/>
    <cellStyle name="Note 3 3 3 2" xfId="3250"/>
    <cellStyle name="Note 3 3 3 2 2" xfId="7473"/>
    <cellStyle name="Note 3 3 3 2 2 2" xfId="15909"/>
    <cellStyle name="Note 3 3 3 2 2 3" xfId="24350"/>
    <cellStyle name="Note 3 3 3 2 2 4" xfId="32790"/>
    <cellStyle name="Note 3 3 3 2 3" xfId="11691"/>
    <cellStyle name="Note 3 3 3 2 4" xfId="20133"/>
    <cellStyle name="Note 3 3 3 2 5" xfId="28573"/>
    <cellStyle name="Note 3 3 3 3" xfId="5328"/>
    <cellStyle name="Note 3 3 3 3 2" xfId="13764"/>
    <cellStyle name="Note 3 3 3 3 3" xfId="22205"/>
    <cellStyle name="Note 3 3 3 3 4" xfId="30645"/>
    <cellStyle name="Note 3 3 3 4" xfId="9546"/>
    <cellStyle name="Note 3 3 3 5" xfId="17988"/>
    <cellStyle name="Note 3 3 3 6" xfId="26428"/>
    <cellStyle name="Note 3 3 4" xfId="1433"/>
    <cellStyle name="Note 3 3 4 2" xfId="3663"/>
    <cellStyle name="Note 3 3 4 2 2" xfId="7886"/>
    <cellStyle name="Note 3 3 4 2 2 2" xfId="16322"/>
    <cellStyle name="Note 3 3 4 2 2 3" xfId="24763"/>
    <cellStyle name="Note 3 3 4 2 2 4" xfId="33203"/>
    <cellStyle name="Note 3 3 4 2 3" xfId="12104"/>
    <cellStyle name="Note 3 3 4 2 4" xfId="20546"/>
    <cellStyle name="Note 3 3 4 2 5" xfId="28986"/>
    <cellStyle name="Note 3 3 4 3" xfId="5741"/>
    <cellStyle name="Note 3 3 4 3 2" xfId="14177"/>
    <cellStyle name="Note 3 3 4 3 3" xfId="22618"/>
    <cellStyle name="Note 3 3 4 3 4" xfId="31058"/>
    <cellStyle name="Note 3 3 4 4" xfId="9959"/>
    <cellStyle name="Note 3 3 4 5" xfId="18401"/>
    <cellStyle name="Note 3 3 4 6" xfId="26841"/>
    <cellStyle name="Note 3 3 5" xfId="1847"/>
    <cellStyle name="Note 3 3 5 2" xfId="4076"/>
    <cellStyle name="Note 3 3 5 2 2" xfId="8299"/>
    <cellStyle name="Note 3 3 5 2 2 2" xfId="16735"/>
    <cellStyle name="Note 3 3 5 2 2 3" xfId="25176"/>
    <cellStyle name="Note 3 3 5 2 2 4" xfId="33616"/>
    <cellStyle name="Note 3 3 5 2 3" xfId="12517"/>
    <cellStyle name="Note 3 3 5 2 4" xfId="20959"/>
    <cellStyle name="Note 3 3 5 2 5" xfId="29399"/>
    <cellStyle name="Note 3 3 5 3" xfId="6154"/>
    <cellStyle name="Note 3 3 5 3 2" xfId="14590"/>
    <cellStyle name="Note 3 3 5 3 3" xfId="23031"/>
    <cellStyle name="Note 3 3 5 3 4" xfId="31471"/>
    <cellStyle name="Note 3 3 5 4" xfId="10372"/>
    <cellStyle name="Note 3 3 5 5" xfId="18814"/>
    <cellStyle name="Note 3 3 5 6" xfId="27254"/>
    <cellStyle name="Note 3 3 6" xfId="2260"/>
    <cellStyle name="Note 3 3 6 2" xfId="4489"/>
    <cellStyle name="Note 3 3 6 2 2" xfId="8712"/>
    <cellStyle name="Note 3 3 6 2 2 2" xfId="17148"/>
    <cellStyle name="Note 3 3 6 2 2 3" xfId="25589"/>
    <cellStyle name="Note 3 3 6 2 2 4" xfId="34029"/>
    <cellStyle name="Note 3 3 6 2 3" xfId="12930"/>
    <cellStyle name="Note 3 3 6 2 4" xfId="21372"/>
    <cellStyle name="Note 3 3 6 2 5" xfId="29812"/>
    <cellStyle name="Note 3 3 6 3" xfId="6567"/>
    <cellStyle name="Note 3 3 6 3 2" xfId="15003"/>
    <cellStyle name="Note 3 3 6 3 3" xfId="23444"/>
    <cellStyle name="Note 3 3 6 3 4" xfId="31884"/>
    <cellStyle name="Note 3 3 6 4" xfId="10785"/>
    <cellStyle name="Note 3 3 6 5" xfId="19227"/>
    <cellStyle name="Note 3 3 6 6" xfId="27667"/>
    <cellStyle name="Note 3 3 7" xfId="2696"/>
    <cellStyle name="Note 3 3 7 2" xfId="6980"/>
    <cellStyle name="Note 3 3 7 2 2" xfId="15416"/>
    <cellStyle name="Note 3 3 7 2 3" xfId="23857"/>
    <cellStyle name="Note 3 3 7 2 4" xfId="32297"/>
    <cellStyle name="Note 3 3 7 3" xfId="11198"/>
    <cellStyle name="Note 3 3 7 4" xfId="19640"/>
    <cellStyle name="Note 3 3 7 5" xfId="28080"/>
    <cellStyle name="Note 3 3 8" xfId="2755"/>
    <cellStyle name="Note 3 3 9" xfId="2836"/>
    <cellStyle name="Note 3 3 9 2" xfId="7060"/>
    <cellStyle name="Note 3 3 9 2 2" xfId="15496"/>
    <cellStyle name="Note 3 3 9 2 3" xfId="23937"/>
    <cellStyle name="Note 3 3 9 2 4" xfId="32377"/>
    <cellStyle name="Note 3 3 9 3" xfId="11278"/>
    <cellStyle name="Note 3 3 9 4" xfId="19720"/>
    <cellStyle name="Note 3 3 9 5" xfId="28160"/>
    <cellStyle name="Note 3 4" xfId="560"/>
    <cellStyle name="Note 3 4 10" xfId="9135"/>
    <cellStyle name="Note 3 4 11" xfId="17577"/>
    <cellStyle name="Note 3 4 12" xfId="26017"/>
    <cellStyle name="Note 3 4 2" xfId="1020"/>
    <cellStyle name="Note 3 4 2 2" xfId="3252"/>
    <cellStyle name="Note 3 4 2 2 2" xfId="7475"/>
    <cellStyle name="Note 3 4 2 2 2 2" xfId="15911"/>
    <cellStyle name="Note 3 4 2 2 2 3" xfId="24352"/>
    <cellStyle name="Note 3 4 2 2 2 4" xfId="32792"/>
    <cellStyle name="Note 3 4 2 2 3" xfId="11693"/>
    <cellStyle name="Note 3 4 2 2 4" xfId="20135"/>
    <cellStyle name="Note 3 4 2 2 5" xfId="28575"/>
    <cellStyle name="Note 3 4 2 3" xfId="5330"/>
    <cellStyle name="Note 3 4 2 3 2" xfId="13766"/>
    <cellStyle name="Note 3 4 2 3 3" xfId="22207"/>
    <cellStyle name="Note 3 4 2 3 4" xfId="30647"/>
    <cellStyle name="Note 3 4 2 4" xfId="9548"/>
    <cellStyle name="Note 3 4 2 5" xfId="17990"/>
    <cellStyle name="Note 3 4 2 6" xfId="26430"/>
    <cellStyle name="Note 3 4 3" xfId="1435"/>
    <cellStyle name="Note 3 4 3 2" xfId="3665"/>
    <cellStyle name="Note 3 4 3 2 2" xfId="7888"/>
    <cellStyle name="Note 3 4 3 2 2 2" xfId="16324"/>
    <cellStyle name="Note 3 4 3 2 2 3" xfId="24765"/>
    <cellStyle name="Note 3 4 3 2 2 4" xfId="33205"/>
    <cellStyle name="Note 3 4 3 2 3" xfId="12106"/>
    <cellStyle name="Note 3 4 3 2 4" xfId="20548"/>
    <cellStyle name="Note 3 4 3 2 5" xfId="28988"/>
    <cellStyle name="Note 3 4 3 3" xfId="5743"/>
    <cellStyle name="Note 3 4 3 3 2" xfId="14179"/>
    <cellStyle name="Note 3 4 3 3 3" xfId="22620"/>
    <cellStyle name="Note 3 4 3 3 4" xfId="31060"/>
    <cellStyle name="Note 3 4 3 4" xfId="9961"/>
    <cellStyle name="Note 3 4 3 5" xfId="18403"/>
    <cellStyle name="Note 3 4 3 6" xfId="26843"/>
    <cellStyle name="Note 3 4 4" xfId="1849"/>
    <cellStyle name="Note 3 4 4 2" xfId="4078"/>
    <cellStyle name="Note 3 4 4 2 2" xfId="8301"/>
    <cellStyle name="Note 3 4 4 2 2 2" xfId="16737"/>
    <cellStyle name="Note 3 4 4 2 2 3" xfId="25178"/>
    <cellStyle name="Note 3 4 4 2 2 4" xfId="33618"/>
    <cellStyle name="Note 3 4 4 2 3" xfId="12519"/>
    <cellStyle name="Note 3 4 4 2 4" xfId="20961"/>
    <cellStyle name="Note 3 4 4 2 5" xfId="29401"/>
    <cellStyle name="Note 3 4 4 3" xfId="6156"/>
    <cellStyle name="Note 3 4 4 3 2" xfId="14592"/>
    <cellStyle name="Note 3 4 4 3 3" xfId="23033"/>
    <cellStyle name="Note 3 4 4 3 4" xfId="31473"/>
    <cellStyle name="Note 3 4 4 4" xfId="10374"/>
    <cellStyle name="Note 3 4 4 5" xfId="18816"/>
    <cellStyle name="Note 3 4 4 6" xfId="27256"/>
    <cellStyle name="Note 3 4 5" xfId="2262"/>
    <cellStyle name="Note 3 4 5 2" xfId="4491"/>
    <cellStyle name="Note 3 4 5 2 2" xfId="8714"/>
    <cellStyle name="Note 3 4 5 2 2 2" xfId="17150"/>
    <cellStyle name="Note 3 4 5 2 2 3" xfId="25591"/>
    <cellStyle name="Note 3 4 5 2 2 4" xfId="34031"/>
    <cellStyle name="Note 3 4 5 2 3" xfId="12932"/>
    <cellStyle name="Note 3 4 5 2 4" xfId="21374"/>
    <cellStyle name="Note 3 4 5 2 5" xfId="29814"/>
    <cellStyle name="Note 3 4 5 3" xfId="6569"/>
    <cellStyle name="Note 3 4 5 3 2" xfId="15005"/>
    <cellStyle name="Note 3 4 5 3 3" xfId="23446"/>
    <cellStyle name="Note 3 4 5 3 4" xfId="31886"/>
    <cellStyle name="Note 3 4 5 4" xfId="10787"/>
    <cellStyle name="Note 3 4 5 5" xfId="19229"/>
    <cellStyle name="Note 3 4 5 6" xfId="27669"/>
    <cellStyle name="Note 3 4 6" xfId="2698"/>
    <cellStyle name="Note 3 4 6 2" xfId="6982"/>
    <cellStyle name="Note 3 4 6 2 2" xfId="15418"/>
    <cellStyle name="Note 3 4 6 2 3" xfId="23859"/>
    <cellStyle name="Note 3 4 6 2 4" xfId="32299"/>
    <cellStyle name="Note 3 4 6 3" xfId="11200"/>
    <cellStyle name="Note 3 4 6 4" xfId="19642"/>
    <cellStyle name="Note 3 4 6 5" xfId="28082"/>
    <cellStyle name="Note 3 4 7" xfId="2757"/>
    <cellStyle name="Note 3 4 8" xfId="2838"/>
    <cellStyle name="Note 3 4 8 2" xfId="7062"/>
    <cellStyle name="Note 3 4 8 2 2" xfId="15498"/>
    <cellStyle name="Note 3 4 8 2 3" xfId="23939"/>
    <cellStyle name="Note 3 4 8 2 4" xfId="32379"/>
    <cellStyle name="Note 3 4 8 3" xfId="11280"/>
    <cellStyle name="Note 3 4 8 4" xfId="19722"/>
    <cellStyle name="Note 3 4 8 5" xfId="28162"/>
    <cellStyle name="Note 3 4 9" xfId="4917"/>
    <cellStyle name="Note 3 4 9 2" xfId="13353"/>
    <cellStyle name="Note 3 4 9 3" xfId="21794"/>
    <cellStyle name="Note 3 4 9 4" xfId="30234"/>
    <cellStyle name="Note 3 5" xfId="561"/>
    <cellStyle name="Note 3 5 10" xfId="9136"/>
    <cellStyle name="Note 3 5 11" xfId="17578"/>
    <cellStyle name="Note 3 5 12" xfId="26018"/>
    <cellStyle name="Note 3 5 2" xfId="1021"/>
    <cellStyle name="Note 3 5 2 2" xfId="3253"/>
    <cellStyle name="Note 3 5 2 2 2" xfId="7476"/>
    <cellStyle name="Note 3 5 2 2 2 2" xfId="15912"/>
    <cellStyle name="Note 3 5 2 2 2 3" xfId="24353"/>
    <cellStyle name="Note 3 5 2 2 2 4" xfId="32793"/>
    <cellStyle name="Note 3 5 2 2 3" xfId="11694"/>
    <cellStyle name="Note 3 5 2 2 4" xfId="20136"/>
    <cellStyle name="Note 3 5 2 2 5" xfId="28576"/>
    <cellStyle name="Note 3 5 2 3" xfId="5331"/>
    <cellStyle name="Note 3 5 2 3 2" xfId="13767"/>
    <cellStyle name="Note 3 5 2 3 3" xfId="22208"/>
    <cellStyle name="Note 3 5 2 3 4" xfId="30648"/>
    <cellStyle name="Note 3 5 2 4" xfId="9549"/>
    <cellStyle name="Note 3 5 2 5" xfId="17991"/>
    <cellStyle name="Note 3 5 2 6" xfId="26431"/>
    <cellStyle name="Note 3 5 3" xfId="1436"/>
    <cellStyle name="Note 3 5 3 2" xfId="3666"/>
    <cellStyle name="Note 3 5 3 2 2" xfId="7889"/>
    <cellStyle name="Note 3 5 3 2 2 2" xfId="16325"/>
    <cellStyle name="Note 3 5 3 2 2 3" xfId="24766"/>
    <cellStyle name="Note 3 5 3 2 2 4" xfId="33206"/>
    <cellStyle name="Note 3 5 3 2 3" xfId="12107"/>
    <cellStyle name="Note 3 5 3 2 4" xfId="20549"/>
    <cellStyle name="Note 3 5 3 2 5" xfId="28989"/>
    <cellStyle name="Note 3 5 3 3" xfId="5744"/>
    <cellStyle name="Note 3 5 3 3 2" xfId="14180"/>
    <cellStyle name="Note 3 5 3 3 3" xfId="22621"/>
    <cellStyle name="Note 3 5 3 3 4" xfId="31061"/>
    <cellStyle name="Note 3 5 3 4" xfId="9962"/>
    <cellStyle name="Note 3 5 3 5" xfId="18404"/>
    <cellStyle name="Note 3 5 3 6" xfId="26844"/>
    <cellStyle name="Note 3 5 4" xfId="1850"/>
    <cellStyle name="Note 3 5 4 2" xfId="4079"/>
    <cellStyle name="Note 3 5 4 2 2" xfId="8302"/>
    <cellStyle name="Note 3 5 4 2 2 2" xfId="16738"/>
    <cellStyle name="Note 3 5 4 2 2 3" xfId="25179"/>
    <cellStyle name="Note 3 5 4 2 2 4" xfId="33619"/>
    <cellStyle name="Note 3 5 4 2 3" xfId="12520"/>
    <cellStyle name="Note 3 5 4 2 4" xfId="20962"/>
    <cellStyle name="Note 3 5 4 2 5" xfId="29402"/>
    <cellStyle name="Note 3 5 4 3" xfId="6157"/>
    <cellStyle name="Note 3 5 4 3 2" xfId="14593"/>
    <cellStyle name="Note 3 5 4 3 3" xfId="23034"/>
    <cellStyle name="Note 3 5 4 3 4" xfId="31474"/>
    <cellStyle name="Note 3 5 4 4" xfId="10375"/>
    <cellStyle name="Note 3 5 4 5" xfId="18817"/>
    <cellStyle name="Note 3 5 4 6" xfId="27257"/>
    <cellStyle name="Note 3 5 5" xfId="2263"/>
    <cellStyle name="Note 3 5 5 2" xfId="4492"/>
    <cellStyle name="Note 3 5 5 2 2" xfId="8715"/>
    <cellStyle name="Note 3 5 5 2 2 2" xfId="17151"/>
    <cellStyle name="Note 3 5 5 2 2 3" xfId="25592"/>
    <cellStyle name="Note 3 5 5 2 2 4" xfId="34032"/>
    <cellStyle name="Note 3 5 5 2 3" xfId="12933"/>
    <cellStyle name="Note 3 5 5 2 4" xfId="21375"/>
    <cellStyle name="Note 3 5 5 2 5" xfId="29815"/>
    <cellStyle name="Note 3 5 5 3" xfId="6570"/>
    <cellStyle name="Note 3 5 5 3 2" xfId="15006"/>
    <cellStyle name="Note 3 5 5 3 3" xfId="23447"/>
    <cellStyle name="Note 3 5 5 3 4" xfId="31887"/>
    <cellStyle name="Note 3 5 5 4" xfId="10788"/>
    <cellStyle name="Note 3 5 5 5" xfId="19230"/>
    <cellStyle name="Note 3 5 5 6" xfId="27670"/>
    <cellStyle name="Note 3 5 6" xfId="2699"/>
    <cellStyle name="Note 3 5 6 2" xfId="6983"/>
    <cellStyle name="Note 3 5 6 2 2" xfId="15419"/>
    <cellStyle name="Note 3 5 6 2 3" xfId="23860"/>
    <cellStyle name="Note 3 5 6 2 4" xfId="32300"/>
    <cellStyle name="Note 3 5 6 3" xfId="11201"/>
    <cellStyle name="Note 3 5 6 4" xfId="19643"/>
    <cellStyle name="Note 3 5 6 5" xfId="28083"/>
    <cellStyle name="Note 3 5 7" xfId="2758"/>
    <cellStyle name="Note 3 5 8" xfId="2839"/>
    <cellStyle name="Note 3 5 8 2" xfId="7063"/>
    <cellStyle name="Note 3 5 8 2 2" xfId="15499"/>
    <cellStyle name="Note 3 5 8 2 3" xfId="23940"/>
    <cellStyle name="Note 3 5 8 2 4" xfId="32380"/>
    <cellStyle name="Note 3 5 8 3" xfId="11281"/>
    <cellStyle name="Note 3 5 8 4" xfId="19723"/>
    <cellStyle name="Note 3 5 8 5" xfId="28163"/>
    <cellStyle name="Note 3 5 9" xfId="4918"/>
    <cellStyle name="Note 3 5 9 2" xfId="13354"/>
    <cellStyle name="Note 3 5 9 3" xfId="21795"/>
    <cellStyle name="Note 3 5 9 4" xfId="30235"/>
    <cellStyle name="Output" xfId="562" builtinId="21" customBuiltin="1"/>
    <cellStyle name="Output 2" xfId="563"/>
    <cellStyle name="Percent" xfId="4494" builtinId="5"/>
    <cellStyle name="Percent 2" xfId="1022"/>
    <cellStyle name="Percent 3" xfId="4499"/>
    <cellStyle name="Percent 3 2" xfId="17161"/>
    <cellStyle name="Percent 3 2 2" xfId="25601"/>
    <cellStyle name="Percent 3 2 3" xfId="34041"/>
    <cellStyle name="Percent 3 3" xfId="17164"/>
    <cellStyle name="Percent 3 3 2" xfId="25604"/>
    <cellStyle name="Percent 3 3 3" xfId="34044"/>
    <cellStyle name="Percent 3 4" xfId="12937"/>
    <cellStyle name="Percent 3 5" xfId="21378"/>
    <cellStyle name="Percent 3 6" xfId="29818"/>
    <cellStyle name="Percent 4" xfId="4502"/>
    <cellStyle name="Percent 4 2" xfId="8718"/>
    <cellStyle name="Percent 4 2 2" xfId="17154"/>
    <cellStyle name="Percent 4 2 3" xfId="25595"/>
    <cellStyle name="Percent 4 2 4" xfId="34035"/>
    <cellStyle name="Percent 4 3" xfId="8721"/>
    <cellStyle name="Percent 4 3 2" xfId="17157"/>
    <cellStyle name="Percent 4 3 3" xfId="25598"/>
    <cellStyle name="Percent 4 3 4" xfId="34038"/>
    <cellStyle name="Percent 4 4" xfId="12940"/>
    <cellStyle name="Percent 4 5" xfId="21381"/>
    <cellStyle name="Percent 4 6" xfId="298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opLeftCell="A46"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1" t="s">
        <v>575</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row>
    <row r="2" spans="1:38" ht="13.5"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3" t="s">
        <v>2502</v>
      </c>
      <c r="E7" s="1903"/>
      <c r="F7" s="1903"/>
      <c r="G7" s="1903"/>
      <c r="H7" s="1903"/>
      <c r="I7" s="1903"/>
      <c r="J7" s="1903"/>
      <c r="K7" s="1903"/>
      <c r="L7" s="1903"/>
      <c r="M7" s="1903"/>
      <c r="N7" s="1903"/>
      <c r="O7" s="1903"/>
      <c r="P7" s="1903"/>
      <c r="Q7" s="1903"/>
      <c r="R7" s="1903"/>
      <c r="S7" s="1903"/>
      <c r="T7" s="1903"/>
      <c r="U7" s="1903"/>
      <c r="V7" s="1903"/>
      <c r="W7" s="1903"/>
      <c r="X7" s="1903"/>
      <c r="Y7" s="1903"/>
      <c r="Z7" s="1903"/>
      <c r="AA7" s="1903"/>
      <c r="AB7" s="1903"/>
      <c r="AC7" s="1903"/>
      <c r="AD7" s="1903"/>
      <c r="AE7" s="1903"/>
      <c r="AF7" s="1903"/>
      <c r="AG7" s="1903"/>
      <c r="AH7" s="1903"/>
      <c r="AI7" s="1903"/>
      <c r="AJ7" s="1903"/>
      <c r="AK7" s="1903"/>
      <c r="AL7" s="738"/>
    </row>
    <row r="8" spans="1:38">
      <c r="A8" s="327"/>
      <c r="B8" s="325"/>
      <c r="C8" s="326"/>
      <c r="D8" s="1903"/>
      <c r="E8" s="1903"/>
      <c r="F8" s="1903"/>
      <c r="G8" s="1903"/>
      <c r="H8" s="1903"/>
      <c r="I8" s="1903"/>
      <c r="J8" s="1903"/>
      <c r="K8" s="1903"/>
      <c r="L8" s="1903"/>
      <c r="M8" s="1903"/>
      <c r="N8" s="1903"/>
      <c r="O8" s="1903"/>
      <c r="P8" s="1903"/>
      <c r="Q8" s="1903"/>
      <c r="R8" s="1903"/>
      <c r="S8" s="1903"/>
      <c r="T8" s="1903"/>
      <c r="U8" s="1903"/>
      <c r="V8" s="1903"/>
      <c r="W8" s="1903"/>
      <c r="X8" s="1903"/>
      <c r="Y8" s="1903"/>
      <c r="Z8" s="1903"/>
      <c r="AA8" s="1903"/>
      <c r="AB8" s="1903"/>
      <c r="AC8" s="1903"/>
      <c r="AD8" s="1903"/>
      <c r="AE8" s="1903"/>
      <c r="AF8" s="1903"/>
      <c r="AG8" s="1903"/>
      <c r="AH8" s="1903"/>
      <c r="AI8" s="1903"/>
      <c r="AJ8" s="1903"/>
      <c r="AK8" s="1903"/>
      <c r="AL8" s="738"/>
    </row>
    <row r="9" spans="1:38">
      <c r="A9" s="327"/>
      <c r="B9" s="325"/>
      <c r="C9" s="326"/>
      <c r="D9" s="1903"/>
      <c r="E9" s="1903"/>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3"/>
      <c r="AJ9" s="1903"/>
      <c r="AK9" s="1903"/>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3" t="s">
        <v>2503</v>
      </c>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738"/>
    </row>
    <row r="12" spans="1:38">
      <c r="A12" s="327"/>
      <c r="B12" s="325"/>
      <c r="C12" s="326"/>
      <c r="D12" s="1903"/>
      <c r="E12" s="1903"/>
      <c r="F12" s="1903"/>
      <c r="G12" s="1903"/>
      <c r="H12" s="1903"/>
      <c r="I12" s="1903"/>
      <c r="J12" s="1903"/>
      <c r="K12" s="1903"/>
      <c r="L12" s="1903"/>
      <c r="M12" s="1903"/>
      <c r="N12" s="1903"/>
      <c r="O12" s="1903"/>
      <c r="P12" s="1903"/>
      <c r="Q12" s="1903"/>
      <c r="R12" s="1903"/>
      <c r="S12" s="1903"/>
      <c r="T12" s="1903"/>
      <c r="U12" s="1903"/>
      <c r="V12" s="1903"/>
      <c r="W12" s="1903"/>
      <c r="X12" s="1903"/>
      <c r="Y12" s="1903"/>
      <c r="Z12" s="1903"/>
      <c r="AA12" s="1903"/>
      <c r="AB12" s="1903"/>
      <c r="AC12" s="1903"/>
      <c r="AD12" s="1903"/>
      <c r="AE12" s="1903"/>
      <c r="AF12" s="1903"/>
      <c r="AG12" s="1903"/>
      <c r="AH12" s="1903"/>
      <c r="AI12" s="1903"/>
      <c r="AJ12" s="1903"/>
      <c r="AK12" s="1903"/>
      <c r="AL12" s="738"/>
    </row>
    <row r="13" spans="1:38" s="709" customFormat="1">
      <c r="A13" s="327"/>
      <c r="B13" s="325"/>
      <c r="C13" s="326"/>
      <c r="D13" s="1903"/>
      <c r="E13" s="1903"/>
      <c r="F13" s="1903"/>
      <c r="G13" s="1903"/>
      <c r="H13" s="1903"/>
      <c r="I13" s="1903"/>
      <c r="J13" s="1903"/>
      <c r="K13" s="1903"/>
      <c r="L13" s="1903"/>
      <c r="M13" s="1903"/>
      <c r="N13" s="1903"/>
      <c r="O13" s="1903"/>
      <c r="P13" s="1903"/>
      <c r="Q13" s="1903"/>
      <c r="R13" s="1903"/>
      <c r="S13" s="1903"/>
      <c r="T13" s="1903"/>
      <c r="U13" s="1903"/>
      <c r="V13" s="1903"/>
      <c r="W13" s="1903"/>
      <c r="X13" s="1903"/>
      <c r="Y13" s="1903"/>
      <c r="Z13" s="1903"/>
      <c r="AA13" s="1903"/>
      <c r="AB13" s="1903"/>
      <c r="AC13" s="1903"/>
      <c r="AD13" s="1903"/>
      <c r="AE13" s="1903"/>
      <c r="AF13" s="1903"/>
      <c r="AG13" s="1903"/>
      <c r="AH13" s="1903"/>
      <c r="AI13" s="1903"/>
      <c r="AJ13" s="1903"/>
      <c r="AK13" s="1903"/>
      <c r="AL13" s="738"/>
    </row>
    <row r="14" spans="1:38" s="709" customFormat="1" ht="13.15" customHeight="1">
      <c r="A14" s="327"/>
      <c r="B14" s="325"/>
      <c r="C14" s="326"/>
      <c r="E14" s="1905" t="s">
        <v>2504</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738"/>
    </row>
    <row r="15" spans="1:38" s="709" customFormat="1" ht="13.15" customHeight="1">
      <c r="A15" s="327"/>
      <c r="B15" s="325"/>
      <c r="C15" s="326"/>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738"/>
    </row>
    <row r="16" spans="1:38" s="709" customFormat="1">
      <c r="A16" s="327"/>
      <c r="B16" s="325"/>
      <c r="C16" s="326"/>
      <c r="D16" s="738"/>
      <c r="E16" s="1905"/>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5" t="s">
        <v>2505</v>
      </c>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325"/>
    </row>
    <row r="19" spans="1:38">
      <c r="A19" s="327"/>
      <c r="B19" s="325"/>
      <c r="C19" s="326"/>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325"/>
    </row>
    <row r="20" spans="1:38" s="709" customFormat="1">
      <c r="A20" s="327"/>
      <c r="B20" s="325"/>
      <c r="C20" s="326"/>
      <c r="D20" s="1905"/>
      <c r="E20" s="1905"/>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5"/>
      <c r="AJ20" s="1905"/>
      <c r="AK20" s="1905"/>
      <c r="AL20" s="325"/>
    </row>
    <row r="21" spans="1:38" s="709" customFormat="1" ht="13.15" customHeight="1">
      <c r="A21" s="327"/>
      <c r="B21" s="325"/>
      <c r="C21" s="326"/>
      <c r="D21" s="1905"/>
      <c r="E21" s="1905"/>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325"/>
    </row>
    <row r="22" spans="1:38" s="709" customFormat="1">
      <c r="A22" s="327"/>
      <c r="B22" s="325"/>
      <c r="C22" s="326"/>
      <c r="D22" s="1905"/>
      <c r="E22" s="1905"/>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325"/>
    </row>
    <row r="23" spans="1:38" s="709" customFormat="1">
      <c r="A23" s="327"/>
      <c r="B23" s="325"/>
      <c r="C23" s="326"/>
      <c r="D23" s="1905"/>
      <c r="E23" s="1905"/>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325"/>
    </row>
    <row r="24" spans="1:38">
      <c r="A24" s="327"/>
      <c r="B24" s="325"/>
      <c r="C24" s="326"/>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325"/>
    </row>
    <row r="25" spans="1:38" s="709" customFormat="1">
      <c r="A25" s="327"/>
      <c r="B25" s="325"/>
      <c r="C25" s="326"/>
      <c r="D25" s="1905"/>
      <c r="E25" s="1905"/>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5"/>
      <c r="AK25" s="1905"/>
      <c r="AL25" s="325"/>
    </row>
    <row r="26" spans="1:38" s="709" customFormat="1">
      <c r="A26" s="327"/>
      <c r="B26" s="325"/>
      <c r="C26" s="326"/>
      <c r="D26" s="1905"/>
      <c r="E26" s="1905"/>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5"/>
      <c r="AJ26" s="1905"/>
      <c r="AK26" s="1905"/>
      <c r="AL26" s="325"/>
    </row>
    <row r="27" spans="1:38" s="709" customFormat="1" ht="11.85" customHeight="1">
      <c r="A27" s="327"/>
      <c r="B27" s="325"/>
      <c r="C27" s="326"/>
      <c r="D27" s="1905"/>
      <c r="E27" s="1905"/>
      <c r="F27" s="1905"/>
      <c r="G27" s="1905"/>
      <c r="H27" s="1905"/>
      <c r="I27" s="1905"/>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5"/>
      <c r="AJ27" s="1905"/>
      <c r="AK27" s="1905"/>
      <c r="AL27" s="325"/>
    </row>
    <row r="28" spans="1:38" s="709" customFormat="1" ht="13.15" customHeight="1">
      <c r="A28" s="327"/>
      <c r="B28" s="325"/>
      <c r="C28" s="326"/>
      <c r="E28" s="1905" t="s">
        <v>2506</v>
      </c>
      <c r="F28" s="1905"/>
      <c r="G28" s="1905"/>
      <c r="H28" s="1905"/>
      <c r="I28" s="1905"/>
      <c r="J28" s="1905"/>
      <c r="K28" s="1905"/>
      <c r="L28" s="1905"/>
      <c r="M28" s="1905"/>
      <c r="N28" s="1905"/>
      <c r="O28" s="1905"/>
      <c r="P28" s="1905"/>
      <c r="Q28" s="1905"/>
      <c r="R28" s="1905"/>
      <c r="S28" s="1905"/>
      <c r="T28" s="1905"/>
      <c r="U28" s="1905"/>
      <c r="V28" s="1905"/>
      <c r="W28" s="1905"/>
      <c r="X28" s="1905"/>
      <c r="Y28" s="1905"/>
      <c r="Z28" s="1905"/>
      <c r="AA28" s="1905"/>
      <c r="AB28" s="1905"/>
      <c r="AC28" s="1905"/>
      <c r="AD28" s="1905"/>
      <c r="AE28" s="1905"/>
      <c r="AF28" s="1905"/>
      <c r="AG28" s="1905"/>
      <c r="AH28" s="1905"/>
      <c r="AI28" s="1905"/>
      <c r="AJ28" s="1905"/>
      <c r="AK28" s="1905"/>
      <c r="AL28" s="325"/>
    </row>
    <row r="29" spans="1:38" s="709" customFormat="1" ht="13.15" customHeight="1">
      <c r="A29" s="327"/>
      <c r="B29" s="325"/>
      <c r="C29" s="326"/>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325"/>
    </row>
    <row r="30" spans="1:38" s="709" customFormat="1">
      <c r="A30" s="327"/>
      <c r="B30" s="325"/>
      <c r="C30" s="326"/>
      <c r="D30" s="738"/>
      <c r="E30" s="1905"/>
      <c r="F30" s="1905"/>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5"/>
      <c r="AK30" s="190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6" t="s">
        <v>2507</v>
      </c>
      <c r="E32" s="1906"/>
      <c r="F32" s="1906"/>
      <c r="G32" s="1906"/>
      <c r="H32" s="1906"/>
      <c r="I32" s="1906"/>
      <c r="J32" s="1906"/>
      <c r="K32" s="1906"/>
      <c r="L32" s="1906"/>
      <c r="M32" s="1906"/>
      <c r="N32" s="1906"/>
      <c r="O32" s="1906"/>
      <c r="P32" s="1906"/>
      <c r="Q32" s="1906"/>
      <c r="R32" s="1906"/>
      <c r="S32" s="1906"/>
      <c r="T32" s="1906"/>
      <c r="U32" s="1906"/>
      <c r="V32" s="1906"/>
      <c r="W32" s="1906"/>
      <c r="X32" s="1906"/>
      <c r="Y32" s="1906"/>
      <c r="Z32" s="1906"/>
      <c r="AA32" s="1906"/>
      <c r="AB32" s="1906"/>
      <c r="AC32" s="1906"/>
      <c r="AD32" s="1906"/>
      <c r="AE32" s="1906"/>
      <c r="AF32" s="1906"/>
      <c r="AG32" s="1906"/>
      <c r="AH32" s="1906"/>
      <c r="AI32" s="1906"/>
      <c r="AJ32" s="1906"/>
      <c r="AK32" s="1906"/>
      <c r="AL32" s="325"/>
    </row>
    <row r="33" spans="1:38" s="709" customFormat="1">
      <c r="A33" s="327"/>
      <c r="B33" s="325"/>
      <c r="C33" s="326"/>
      <c r="D33" s="738"/>
      <c r="E33" s="1912" t="s">
        <v>2514</v>
      </c>
      <c r="F33" s="1912"/>
      <c r="G33" s="1912"/>
      <c r="H33" s="1912"/>
      <c r="I33" s="1912"/>
      <c r="J33" s="1912"/>
      <c r="K33" s="1912"/>
      <c r="L33" s="1912"/>
      <c r="M33" s="1912"/>
      <c r="N33" s="1912"/>
      <c r="O33" s="1912"/>
      <c r="P33" s="1912"/>
      <c r="Q33" s="1912"/>
      <c r="R33" s="1912"/>
      <c r="S33" s="1912"/>
      <c r="T33" s="1912"/>
      <c r="U33" s="1912"/>
      <c r="V33" s="1912"/>
      <c r="W33" s="1912"/>
      <c r="X33" s="1912"/>
      <c r="Y33" s="1912"/>
      <c r="Z33" s="1912"/>
      <c r="AA33" s="1912"/>
      <c r="AB33" s="1912"/>
      <c r="AC33" s="1912"/>
      <c r="AD33" s="1912"/>
      <c r="AE33" s="1912"/>
      <c r="AF33" s="1912"/>
      <c r="AG33" s="1912"/>
      <c r="AH33" s="1912"/>
      <c r="AI33" s="1912"/>
      <c r="AJ33" s="1912"/>
      <c r="AK33" s="1912"/>
      <c r="AL33" s="325"/>
    </row>
    <row r="34" spans="1:38">
      <c r="A34" s="149"/>
      <c r="C34" s="5"/>
    </row>
    <row r="35" spans="1:38">
      <c r="A35" s="149"/>
      <c r="D35" s="1904" t="s">
        <v>2196</v>
      </c>
      <c r="E35" s="1904"/>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1904"/>
      <c r="AF35" s="1904"/>
      <c r="AG35" s="1904"/>
      <c r="AH35" s="1904"/>
      <c r="AI35" s="1904"/>
      <c r="AJ35" s="1904"/>
      <c r="AK35" s="1904"/>
    </row>
    <row r="36" spans="1:38">
      <c r="A36" s="149"/>
      <c r="D36" s="1904"/>
      <c r="E36" s="1904"/>
      <c r="F36" s="1904"/>
      <c r="G36" s="1904"/>
      <c r="H36" s="1904"/>
      <c r="I36" s="1904"/>
      <c r="J36" s="1904"/>
      <c r="K36" s="1904"/>
      <c r="L36" s="1904"/>
      <c r="M36" s="1904"/>
      <c r="N36" s="1904"/>
      <c r="O36" s="1904"/>
      <c r="P36" s="1904"/>
      <c r="Q36" s="1904"/>
      <c r="R36" s="1904"/>
      <c r="S36" s="1904"/>
      <c r="T36" s="1904"/>
      <c r="U36" s="1904"/>
      <c r="V36" s="1904"/>
      <c r="W36" s="1904"/>
      <c r="X36" s="1904"/>
      <c r="Y36" s="1904"/>
      <c r="Z36" s="1904"/>
      <c r="AA36" s="1904"/>
      <c r="AB36" s="1904"/>
      <c r="AC36" s="1904"/>
      <c r="AD36" s="1904"/>
      <c r="AE36" s="1904"/>
      <c r="AF36" s="1904"/>
      <c r="AG36" s="1904"/>
      <c r="AH36" s="1904"/>
      <c r="AI36" s="1904"/>
      <c r="AJ36" s="1904"/>
      <c r="AK36" s="1904"/>
    </row>
    <row r="37" spans="1:38">
      <c r="A37" s="149"/>
      <c r="D37" s="250"/>
      <c r="E37" s="1911" t="s">
        <v>2515</v>
      </c>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11"/>
      <c r="AB37" s="1911"/>
      <c r="AC37" s="1911"/>
      <c r="AD37" s="1911"/>
      <c r="AE37" s="1911"/>
      <c r="AF37" s="1911"/>
      <c r="AG37" s="1911"/>
      <c r="AH37" s="1911"/>
      <c r="AI37" s="1911"/>
      <c r="AJ37" s="1911"/>
      <c r="AK37" s="1911"/>
    </row>
    <row r="38" spans="1:38">
      <c r="A38" s="149"/>
      <c r="D38" s="250"/>
      <c r="E38" s="1911" t="s">
        <v>2516</v>
      </c>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1"/>
      <c r="AK38" s="191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5" customFormat="1" ht="13.15" customHeight="1">
      <c r="A42" s="149"/>
      <c r="B42"/>
      <c r="C42" s="5"/>
      <c r="D42" s="149"/>
      <c r="E42" s="149" t="s">
        <v>679</v>
      </c>
      <c r="F42" s="1905" t="s">
        <v>1328</v>
      </c>
    </row>
    <row r="43" spans="1:38" s="1905"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16" t="s">
        <v>1424</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62" customFormat="1">
      <c r="A46" s="149"/>
      <c r="B46" s="709"/>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62" customFormat="1" ht="13.15" customHeight="1">
      <c r="A47" s="149"/>
      <c r="B47" s="709"/>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905" t="s">
        <v>2509</v>
      </c>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5"/>
      <c r="AK50" s="1905"/>
    </row>
    <row r="51" spans="1:38">
      <c r="A51" s="149"/>
      <c r="C51" s="5"/>
      <c r="D51" s="149"/>
      <c r="E51" s="149"/>
      <c r="F51" s="1905"/>
      <c r="G51" s="1905"/>
      <c r="H51" s="1905"/>
      <c r="I51" s="1905"/>
      <c r="J51" s="1905"/>
      <c r="K51" s="1905"/>
      <c r="L51" s="1905"/>
      <c r="M51" s="1905"/>
      <c r="N51" s="1905"/>
      <c r="O51" s="1905"/>
      <c r="P51" s="1905"/>
      <c r="Q51" s="1905"/>
      <c r="R51" s="1905"/>
      <c r="S51" s="1905"/>
      <c r="T51" s="1905"/>
      <c r="U51" s="1905"/>
      <c r="V51" s="1905"/>
      <c r="W51" s="1905"/>
      <c r="X51" s="1905"/>
      <c r="Y51" s="1905"/>
      <c r="Z51" s="1905"/>
      <c r="AA51" s="1905"/>
      <c r="AB51" s="1905"/>
      <c r="AC51" s="1905"/>
      <c r="AD51" s="1905"/>
      <c r="AE51" s="1905"/>
      <c r="AF51" s="1905"/>
      <c r="AG51" s="1905"/>
      <c r="AH51" s="1905"/>
      <c r="AI51" s="1905"/>
      <c r="AJ51" s="1905"/>
      <c r="AK51" s="1905"/>
    </row>
    <row r="52" spans="1:38">
      <c r="A52" s="149"/>
      <c r="C52" s="5"/>
      <c r="D52" s="149"/>
      <c r="F52" s="1905"/>
      <c r="G52" s="1905"/>
      <c r="H52" s="1905"/>
      <c r="I52" s="1905"/>
      <c r="J52" s="1905"/>
      <c r="K52" s="1905"/>
      <c r="L52" s="1905"/>
      <c r="M52" s="1905"/>
      <c r="N52" s="1905"/>
      <c r="O52" s="1905"/>
      <c r="P52" s="1905"/>
      <c r="Q52" s="1905"/>
      <c r="R52" s="1905"/>
      <c r="S52" s="1905"/>
      <c r="T52" s="1905"/>
      <c r="U52" s="1905"/>
      <c r="V52" s="1905"/>
      <c r="W52" s="1905"/>
      <c r="X52" s="1905"/>
      <c r="Y52" s="1905"/>
      <c r="Z52" s="1905"/>
      <c r="AA52" s="1905"/>
      <c r="AB52" s="1905"/>
      <c r="AC52" s="1905"/>
      <c r="AD52" s="1905"/>
      <c r="AE52" s="1905"/>
      <c r="AF52" s="1905"/>
      <c r="AG52" s="1905"/>
      <c r="AH52" s="1905"/>
      <c r="AI52" s="1905"/>
      <c r="AJ52" s="1905"/>
      <c r="AK52" s="190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7" t="s">
        <v>1355</v>
      </c>
      <c r="H56" s="1907"/>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7" t="s">
        <v>601</v>
      </c>
      <c r="H58" s="1907"/>
      <c r="I58" s="190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15" t="s">
        <v>2510</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c r="A60" s="327"/>
      <c r="B60" s="325"/>
      <c r="C60" s="326"/>
      <c r="D60" s="326"/>
      <c r="E60" s="327"/>
      <c r="F60" s="331"/>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5" t="s">
        <v>1330</v>
      </c>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5"/>
      <c r="AK66" s="1905"/>
    </row>
    <row r="67" spans="1:37">
      <c r="A67" s="149"/>
      <c r="C67" s="5"/>
      <c r="D67" s="149"/>
      <c r="E67" s="149"/>
      <c r="F67" s="9"/>
      <c r="G67" s="1905"/>
      <c r="H67" s="1905"/>
      <c r="I67" s="1905"/>
      <c r="J67" s="1905"/>
      <c r="K67" s="1905"/>
      <c r="L67" s="1905"/>
      <c r="M67" s="1905"/>
      <c r="N67" s="1905"/>
      <c r="O67" s="1905"/>
      <c r="P67" s="1905"/>
      <c r="Q67" s="1905"/>
      <c r="R67" s="1905"/>
      <c r="S67" s="1905"/>
      <c r="T67" s="1905"/>
      <c r="U67" s="1905"/>
      <c r="V67" s="1905"/>
      <c r="W67" s="1905"/>
      <c r="X67" s="1905"/>
      <c r="Y67" s="1905"/>
      <c r="Z67" s="1905"/>
      <c r="AA67" s="1905"/>
      <c r="AB67" s="1905"/>
      <c r="AC67" s="1905"/>
      <c r="AD67" s="1905"/>
      <c r="AE67" s="1905"/>
      <c r="AF67" s="1905"/>
      <c r="AG67" s="1905"/>
      <c r="AH67" s="1905"/>
      <c r="AI67" s="1905"/>
      <c r="AJ67" s="1905"/>
      <c r="AK67" s="1905"/>
    </row>
    <row r="68" spans="1:37">
      <c r="A68" s="149"/>
      <c r="C68" s="5"/>
      <c r="D68" s="149"/>
      <c r="E68" s="149"/>
      <c r="F68" s="9"/>
      <c r="G68" s="1905"/>
      <c r="H68" s="1905"/>
      <c r="I68" s="1905"/>
      <c r="J68" s="1905"/>
      <c r="K68" s="1905"/>
      <c r="L68" s="1905"/>
      <c r="M68" s="1905"/>
      <c r="N68" s="1905"/>
      <c r="O68" s="1905"/>
      <c r="P68" s="1905"/>
      <c r="Q68" s="1905"/>
      <c r="R68" s="1905"/>
      <c r="S68" s="1905"/>
      <c r="T68" s="1905"/>
      <c r="U68" s="1905"/>
      <c r="V68" s="1905"/>
      <c r="W68" s="1905"/>
      <c r="X68" s="1905"/>
      <c r="Y68" s="1905"/>
      <c r="Z68" s="1905"/>
      <c r="AA68" s="1905"/>
      <c r="AB68" s="1905"/>
      <c r="AC68" s="1905"/>
      <c r="AD68" s="1905"/>
      <c r="AE68" s="1905"/>
      <c r="AF68" s="1905"/>
      <c r="AG68" s="1905"/>
      <c r="AH68" s="1905"/>
      <c r="AI68" s="1905"/>
      <c r="AJ68" s="1905"/>
      <c r="AK68" s="1905"/>
    </row>
    <row r="69" spans="1:37" ht="13.15" customHeight="1">
      <c r="A69" s="149"/>
      <c r="C69" s="5"/>
      <c r="D69" s="149"/>
      <c r="E69" s="149"/>
      <c r="F69" s="9" t="s">
        <v>534</v>
      </c>
      <c r="G69" s="1905" t="s">
        <v>1331</v>
      </c>
      <c r="H69" s="1905"/>
      <c r="I69" s="1905"/>
      <c r="J69" s="1905"/>
      <c r="K69" s="1905"/>
      <c r="L69" s="1905"/>
      <c r="M69" s="1905"/>
      <c r="N69" s="1905"/>
      <c r="O69" s="1905"/>
      <c r="P69" s="1905"/>
      <c r="Q69" s="1905"/>
      <c r="R69" s="1905"/>
      <c r="S69" s="1905"/>
      <c r="T69" s="1905"/>
      <c r="U69" s="1905"/>
      <c r="V69" s="1905"/>
      <c r="W69" s="1905"/>
      <c r="X69" s="1905"/>
      <c r="Y69" s="1905"/>
      <c r="Z69" s="1905"/>
      <c r="AA69" s="1905"/>
      <c r="AB69" s="1905"/>
      <c r="AC69" s="1905"/>
      <c r="AD69" s="1905"/>
      <c r="AE69" s="1905"/>
      <c r="AF69" s="1905"/>
      <c r="AG69" s="1905"/>
      <c r="AH69" s="1905"/>
      <c r="AI69" s="1905"/>
      <c r="AJ69" s="1905"/>
      <c r="AK69" s="1905"/>
    </row>
    <row r="70" spans="1:37">
      <c r="A70" s="149"/>
      <c r="C70" s="5"/>
      <c r="D70" s="149"/>
      <c r="E70" s="149"/>
      <c r="F70" s="376"/>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1905"/>
      <c r="AC70" s="1905"/>
      <c r="AD70" s="1905"/>
      <c r="AE70" s="1905"/>
      <c r="AF70" s="1905"/>
      <c r="AG70" s="1905"/>
      <c r="AH70" s="1905"/>
      <c r="AI70" s="1905"/>
      <c r="AJ70" s="1905"/>
      <c r="AK70" s="1905"/>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905" t="s">
        <v>1332</v>
      </c>
      <c r="H72" s="1905"/>
      <c r="I72" s="1905"/>
      <c r="J72" s="1905"/>
      <c r="K72" s="1905"/>
      <c r="L72" s="1905"/>
      <c r="M72" s="1905"/>
      <c r="N72" s="1905"/>
      <c r="O72" s="1905"/>
      <c r="P72" s="1905"/>
      <c r="Q72" s="1905"/>
      <c r="R72" s="1905"/>
      <c r="S72" s="1905"/>
      <c r="T72" s="1905"/>
      <c r="U72" s="1905"/>
      <c r="V72" s="1905"/>
      <c r="W72" s="1905"/>
      <c r="X72" s="1905"/>
      <c r="Y72" s="1905"/>
      <c r="Z72" s="1905"/>
      <c r="AA72" s="1905"/>
      <c r="AB72" s="1905"/>
      <c r="AC72" s="1905"/>
      <c r="AD72" s="1905"/>
      <c r="AE72" s="1905"/>
      <c r="AF72" s="1905"/>
      <c r="AG72" s="1905"/>
      <c r="AH72" s="1905"/>
      <c r="AI72" s="1905"/>
      <c r="AJ72" s="1905"/>
      <c r="AK72" s="1905"/>
    </row>
    <row r="73" spans="1:37">
      <c r="A73" s="149"/>
      <c r="C73" s="5"/>
      <c r="D73" s="149"/>
      <c r="E73" s="149"/>
      <c r="F73" s="249"/>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1905"/>
      <c r="AC73" s="1905"/>
      <c r="AD73" s="1905"/>
      <c r="AE73" s="1905"/>
      <c r="AF73" s="1905"/>
      <c r="AG73" s="1905"/>
      <c r="AH73" s="1905"/>
      <c r="AI73" s="1905"/>
      <c r="AJ73" s="1905"/>
      <c r="AK73" s="1905"/>
    </row>
    <row r="74" spans="1:37">
      <c r="A74" s="149"/>
      <c r="C74" s="5"/>
      <c r="D74" s="149"/>
      <c r="E74" s="149"/>
      <c r="F74" s="249" t="s">
        <v>534</v>
      </c>
      <c r="G74" s="1905" t="s">
        <v>1333</v>
      </c>
      <c r="H74" s="1905"/>
      <c r="I74" s="1905"/>
      <c r="J74" s="1905"/>
      <c r="K74" s="1905"/>
      <c r="L74" s="1905"/>
      <c r="M74" s="1905"/>
      <c r="N74" s="1905"/>
      <c r="O74" s="1905"/>
      <c r="P74" s="1905"/>
      <c r="Q74" s="1905"/>
      <c r="R74" s="1905"/>
      <c r="S74" s="1905"/>
      <c r="T74" s="1905"/>
      <c r="U74" s="1905"/>
      <c r="V74" s="1905"/>
      <c r="W74" s="1905"/>
      <c r="X74" s="1905"/>
      <c r="Y74" s="1905"/>
      <c r="Z74" s="1905"/>
      <c r="AA74" s="1905"/>
      <c r="AB74" s="1905"/>
      <c r="AC74" s="1905"/>
      <c r="AD74" s="1905"/>
      <c r="AE74" s="1905"/>
      <c r="AF74" s="1905"/>
      <c r="AG74" s="1905"/>
      <c r="AH74" s="1905"/>
      <c r="AI74" s="1905"/>
      <c r="AJ74" s="1905"/>
      <c r="AK74" s="1905"/>
    </row>
    <row r="75" spans="1:37">
      <c r="A75" s="149"/>
      <c r="C75" s="5"/>
      <c r="D75" s="149"/>
      <c r="E75" s="149"/>
      <c r="F75" s="249"/>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5"/>
      <c r="AK75" s="1905"/>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5" t="s">
        <v>1334</v>
      </c>
      <c r="H82" s="1905"/>
      <c r="I82" s="1905"/>
      <c r="J82" s="1905"/>
      <c r="K82" s="1905"/>
      <c r="L82" s="1905"/>
      <c r="M82" s="1905"/>
      <c r="N82" s="1905"/>
      <c r="O82" s="1905"/>
      <c r="P82" s="1905"/>
      <c r="Q82" s="1905"/>
      <c r="R82" s="1905"/>
      <c r="S82" s="1905"/>
      <c r="T82" s="1905"/>
      <c r="U82" s="1905"/>
      <c r="V82" s="1905"/>
      <c r="W82" s="1905"/>
      <c r="X82" s="1905"/>
      <c r="Y82" s="1905"/>
      <c r="Z82" s="1905"/>
      <c r="AA82" s="1905"/>
      <c r="AB82" s="1905"/>
      <c r="AC82" s="1905"/>
      <c r="AD82" s="1905"/>
      <c r="AE82" s="1905"/>
      <c r="AF82" s="1905"/>
      <c r="AG82" s="1905"/>
      <c r="AH82" s="1905"/>
      <c r="AI82" s="1905"/>
      <c r="AJ82" s="1905"/>
      <c r="AK82" s="1905"/>
    </row>
    <row r="83" spans="1:37">
      <c r="A83" s="149"/>
      <c r="C83" s="5"/>
      <c r="D83" s="149"/>
      <c r="E83" s="149"/>
      <c r="F83" s="149"/>
      <c r="G83" s="1905"/>
      <c r="H83" s="1905"/>
      <c r="I83" s="1905"/>
      <c r="J83" s="1905"/>
      <c r="K83" s="1905"/>
      <c r="L83" s="1905"/>
      <c r="M83" s="1905"/>
      <c r="N83" s="1905"/>
      <c r="O83" s="1905"/>
      <c r="P83" s="1905"/>
      <c r="Q83" s="1905"/>
      <c r="R83" s="1905"/>
      <c r="S83" s="1905"/>
      <c r="T83" s="1905"/>
      <c r="U83" s="1905"/>
      <c r="V83" s="1905"/>
      <c r="W83" s="1905"/>
      <c r="X83" s="1905"/>
      <c r="Y83" s="1905"/>
      <c r="Z83" s="1905"/>
      <c r="AA83" s="1905"/>
      <c r="AB83" s="1905"/>
      <c r="AC83" s="1905"/>
      <c r="AD83" s="1905"/>
      <c r="AE83" s="1905"/>
      <c r="AF83" s="1905"/>
      <c r="AG83" s="1905"/>
      <c r="AH83" s="1905"/>
      <c r="AI83" s="1905"/>
      <c r="AJ83" s="1905"/>
      <c r="AK83" s="1905"/>
    </row>
    <row r="84" spans="1:37" s="709" customFormat="1">
      <c r="A84" s="149"/>
      <c r="C84" s="5"/>
      <c r="D84" s="149"/>
      <c r="E84" s="149"/>
      <c r="F84" s="149"/>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5" t="s">
        <v>1335</v>
      </c>
      <c r="H86" s="1905"/>
      <c r="I86" s="1905"/>
      <c r="J86" s="1905"/>
      <c r="K86" s="1905"/>
      <c r="L86" s="1905"/>
      <c r="M86" s="1905"/>
      <c r="N86" s="1905"/>
      <c r="O86" s="1905"/>
      <c r="P86" s="1905"/>
      <c r="Q86" s="1905"/>
      <c r="R86" s="1905"/>
      <c r="S86" s="1905"/>
      <c r="T86" s="1905"/>
      <c r="U86" s="1905"/>
      <c r="V86" s="1905"/>
      <c r="W86" s="1905"/>
      <c r="X86" s="1905"/>
      <c r="Y86" s="1905"/>
      <c r="Z86" s="1905"/>
      <c r="AA86" s="1905"/>
      <c r="AB86" s="1905"/>
      <c r="AC86" s="1905"/>
      <c r="AD86" s="1905"/>
      <c r="AE86" s="1905"/>
      <c r="AF86" s="1905"/>
      <c r="AG86" s="1905"/>
      <c r="AH86" s="1905"/>
      <c r="AI86" s="1905"/>
      <c r="AJ86" s="1905"/>
      <c r="AK86" s="1905"/>
    </row>
    <row r="87" spans="1:37">
      <c r="A87" s="149"/>
      <c r="C87" s="5"/>
      <c r="D87" s="149"/>
      <c r="E87" s="149"/>
      <c r="F87" s="149"/>
      <c r="G87" s="1905"/>
      <c r="H87" s="1905"/>
      <c r="I87" s="1905"/>
      <c r="J87" s="1905"/>
      <c r="K87" s="1905"/>
      <c r="L87" s="1905"/>
      <c r="M87" s="1905"/>
      <c r="N87" s="1905"/>
      <c r="O87" s="1905"/>
      <c r="P87" s="1905"/>
      <c r="Q87" s="1905"/>
      <c r="R87" s="1905"/>
      <c r="S87" s="1905"/>
      <c r="T87" s="1905"/>
      <c r="U87" s="1905"/>
      <c r="V87" s="1905"/>
      <c r="W87" s="1905"/>
      <c r="X87" s="1905"/>
      <c r="Y87" s="1905"/>
      <c r="Z87" s="1905"/>
      <c r="AA87" s="1905"/>
      <c r="AB87" s="1905"/>
      <c r="AC87" s="1905"/>
      <c r="AD87" s="1905"/>
      <c r="AE87" s="1905"/>
      <c r="AF87" s="1905"/>
      <c r="AG87" s="1905"/>
      <c r="AH87" s="1905"/>
      <c r="AI87" s="1905"/>
      <c r="AJ87" s="1905"/>
      <c r="AK87" s="1905"/>
    </row>
    <row r="88" spans="1:37">
      <c r="A88" s="149"/>
      <c r="C88" s="5"/>
      <c r="D88" s="149"/>
      <c r="E88" s="149"/>
      <c r="G88" s="1905"/>
      <c r="H88" s="1905"/>
      <c r="I88" s="1905"/>
      <c r="J88" s="1905"/>
      <c r="K88" s="1905"/>
      <c r="L88" s="1905"/>
      <c r="M88" s="1905"/>
      <c r="N88" s="1905"/>
      <c r="O88" s="1905"/>
      <c r="P88" s="1905"/>
      <c r="Q88" s="1905"/>
      <c r="R88" s="1905"/>
      <c r="S88" s="1905"/>
      <c r="T88" s="1905"/>
      <c r="U88" s="1905"/>
      <c r="V88" s="1905"/>
      <c r="W88" s="1905"/>
      <c r="X88" s="1905"/>
      <c r="Y88" s="1905"/>
      <c r="Z88" s="1905"/>
      <c r="AA88" s="1905"/>
      <c r="AB88" s="1905"/>
      <c r="AC88" s="1905"/>
      <c r="AD88" s="1905"/>
      <c r="AE88" s="1905"/>
      <c r="AF88" s="1905"/>
      <c r="AG88" s="1905"/>
      <c r="AH88" s="1905"/>
      <c r="AI88" s="1905"/>
      <c r="AJ88" s="1905"/>
      <c r="AK88" s="1905"/>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13" t="s">
        <v>1336</v>
      </c>
      <c r="H90" s="1913"/>
      <c r="I90" s="1913"/>
      <c r="J90" s="1913"/>
      <c r="K90" s="1913"/>
      <c r="L90" s="1913"/>
      <c r="M90" s="1913"/>
      <c r="N90" s="1913"/>
      <c r="O90" s="1913"/>
      <c r="P90" s="1913"/>
      <c r="Q90" s="1913"/>
      <c r="R90" s="1913"/>
      <c r="S90" s="1913"/>
      <c r="T90" s="1913"/>
      <c r="U90" s="1913"/>
      <c r="V90" s="1913"/>
      <c r="W90" s="1913"/>
      <c r="X90" s="1913"/>
      <c r="Y90" s="1913"/>
      <c r="Z90" s="1913"/>
      <c r="AA90" s="1913"/>
      <c r="AB90" s="1913"/>
      <c r="AC90" s="1913"/>
      <c r="AD90" s="1913"/>
      <c r="AE90" s="1913"/>
      <c r="AF90" s="1913"/>
      <c r="AG90" s="1913"/>
      <c r="AH90" s="1913"/>
      <c r="AI90" s="1913"/>
      <c r="AJ90" s="1913"/>
      <c r="AK90" s="1913"/>
    </row>
    <row r="91" spans="1:37" s="709" customFormat="1">
      <c r="A91" s="149"/>
      <c r="C91" s="5"/>
      <c r="D91" s="149"/>
      <c r="E91" s="149"/>
      <c r="G91" s="1913"/>
      <c r="H91" s="1913"/>
      <c r="I91" s="1913"/>
      <c r="J91" s="1913"/>
      <c r="K91" s="1913"/>
      <c r="L91" s="1913"/>
      <c r="M91" s="1913"/>
      <c r="N91" s="1913"/>
      <c r="O91" s="1913"/>
      <c r="P91" s="1913"/>
      <c r="Q91" s="1913"/>
      <c r="R91" s="1913"/>
      <c r="S91" s="1913"/>
      <c r="T91" s="1913"/>
      <c r="U91" s="1913"/>
      <c r="V91" s="1913"/>
      <c r="W91" s="1913"/>
      <c r="X91" s="1913"/>
      <c r="Y91" s="1913"/>
      <c r="Z91" s="1913"/>
      <c r="AA91" s="1913"/>
      <c r="AB91" s="1913"/>
      <c r="AC91" s="1913"/>
      <c r="AD91" s="1913"/>
      <c r="AE91" s="1913"/>
      <c r="AF91" s="1913"/>
      <c r="AG91" s="1913"/>
      <c r="AH91" s="1913"/>
      <c r="AI91" s="1913"/>
      <c r="AJ91" s="1913"/>
      <c r="AK91" s="1913"/>
    </row>
    <row r="92" spans="1:37">
      <c r="A92" s="149"/>
      <c r="C92" s="5"/>
      <c r="D92" s="149"/>
      <c r="E92" s="149"/>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3"/>
      <c r="AK92" s="1913"/>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5" t="s">
        <v>1337</v>
      </c>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5"/>
      <c r="AK94" s="1905"/>
    </row>
    <row r="95" spans="1:37">
      <c r="A95" s="149"/>
      <c r="C95" s="5"/>
      <c r="D95" s="149"/>
      <c r="E95" s="149"/>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5"/>
      <c r="AK95" s="1905"/>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5" t="s">
        <v>1338</v>
      </c>
      <c r="H97" s="1905"/>
      <c r="I97" s="1905"/>
      <c r="J97" s="1905"/>
      <c r="K97" s="1905"/>
      <c r="L97" s="1905"/>
      <c r="M97" s="1905"/>
      <c r="N97" s="1905"/>
      <c r="O97" s="1905"/>
      <c r="P97" s="1905"/>
      <c r="Q97" s="1905"/>
      <c r="R97" s="1905"/>
      <c r="S97" s="1905"/>
      <c r="T97" s="1905"/>
      <c r="U97" s="1905"/>
      <c r="V97" s="1905"/>
      <c r="W97" s="1905"/>
      <c r="X97" s="1905"/>
      <c r="Y97" s="1905"/>
      <c r="Z97" s="1905"/>
      <c r="AA97" s="1905"/>
      <c r="AB97" s="1905"/>
      <c r="AC97" s="1905"/>
      <c r="AD97" s="1905"/>
      <c r="AE97" s="1905"/>
      <c r="AF97" s="1905"/>
      <c r="AG97" s="1905"/>
      <c r="AH97" s="1905"/>
      <c r="AI97" s="1905"/>
      <c r="AJ97" s="1905"/>
      <c r="AK97" s="1905"/>
    </row>
    <row r="98" spans="1:38">
      <c r="A98" s="149"/>
      <c r="C98" s="183"/>
      <c r="D98" s="182"/>
      <c r="E98" s="182"/>
      <c r="F98" s="2"/>
      <c r="G98" s="1905"/>
      <c r="H98" s="1905"/>
      <c r="I98" s="1905"/>
      <c r="J98" s="1905"/>
      <c r="K98" s="1905"/>
      <c r="L98" s="1905"/>
      <c r="M98" s="1905"/>
      <c r="N98" s="1905"/>
      <c r="O98" s="1905"/>
      <c r="P98" s="1905"/>
      <c r="Q98" s="1905"/>
      <c r="R98" s="1905"/>
      <c r="S98" s="1905"/>
      <c r="T98" s="1905"/>
      <c r="U98" s="1905"/>
      <c r="V98" s="1905"/>
      <c r="W98" s="1905"/>
      <c r="X98" s="1905"/>
      <c r="Y98" s="1905"/>
      <c r="Z98" s="1905"/>
      <c r="AA98" s="1905"/>
      <c r="AB98" s="1905"/>
      <c r="AC98" s="1905"/>
      <c r="AD98" s="1905"/>
      <c r="AE98" s="1905"/>
      <c r="AF98" s="1905"/>
      <c r="AG98" s="1905"/>
      <c r="AH98" s="1905"/>
      <c r="AI98" s="1905"/>
      <c r="AJ98" s="1905"/>
      <c r="AK98" s="1905"/>
      <c r="AL98" s="2"/>
    </row>
    <row r="99" spans="1:38">
      <c r="A99" s="149"/>
      <c r="C99" s="183"/>
      <c r="D99" s="182"/>
      <c r="E99" s="182"/>
      <c r="F99" s="2"/>
      <c r="G99" s="1905"/>
      <c r="H99" s="1905"/>
      <c r="I99" s="1905"/>
      <c r="J99" s="1905"/>
      <c r="K99" s="1905"/>
      <c r="L99" s="1905"/>
      <c r="M99" s="1905"/>
      <c r="N99" s="1905"/>
      <c r="O99" s="1905"/>
      <c r="P99" s="1905"/>
      <c r="Q99" s="1905"/>
      <c r="R99" s="1905"/>
      <c r="S99" s="1905"/>
      <c r="T99" s="1905"/>
      <c r="U99" s="1905"/>
      <c r="V99" s="1905"/>
      <c r="W99" s="1905"/>
      <c r="X99" s="1905"/>
      <c r="Y99" s="1905"/>
      <c r="Z99" s="1905"/>
      <c r="AA99" s="1905"/>
      <c r="AB99" s="1905"/>
      <c r="AC99" s="1905"/>
      <c r="AD99" s="1905"/>
      <c r="AE99" s="1905"/>
      <c r="AF99" s="1905"/>
      <c r="AG99" s="1905"/>
      <c r="AH99" s="1905"/>
      <c r="AI99" s="1905"/>
      <c r="AJ99" s="1905"/>
      <c r="AK99" s="1905"/>
      <c r="AL99" s="2"/>
    </row>
    <row r="100" spans="1:38">
      <c r="A100" s="149"/>
      <c r="C100" s="2"/>
      <c r="D100" s="486"/>
      <c r="E100" s="1914" t="s">
        <v>1339</v>
      </c>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c r="AA100" s="1914"/>
      <c r="AB100" s="1914"/>
      <c r="AC100" s="1914"/>
      <c r="AD100" s="1914"/>
      <c r="AE100" s="1914"/>
      <c r="AF100" s="1914"/>
      <c r="AG100" s="1914"/>
      <c r="AH100" s="1914"/>
      <c r="AI100" s="1914"/>
      <c r="AJ100" s="1914"/>
      <c r="AK100" s="1914"/>
      <c r="AL100" s="2"/>
    </row>
    <row r="101" spans="1:38">
      <c r="A101" s="149"/>
      <c r="D101" s="153"/>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c r="AA101" s="1914"/>
      <c r="AB101" s="1914"/>
      <c r="AC101" s="1914"/>
      <c r="AD101" s="1914"/>
      <c r="AE101" s="1914"/>
      <c r="AF101" s="1914"/>
      <c r="AG101" s="1914"/>
      <c r="AH101" s="1914"/>
      <c r="AI101" s="1914"/>
      <c r="AJ101" s="1914"/>
      <c r="AK101" s="191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308</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354</v>
      </c>
      <c r="G195" s="155" t="s">
        <v>1372</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5" t="s">
        <v>1340</v>
      </c>
      <c r="H207" s="1905"/>
      <c r="I207" s="1905"/>
      <c r="J207" s="1905"/>
      <c r="K207" s="1905"/>
      <c r="L207" s="1905"/>
      <c r="M207" s="1905"/>
      <c r="N207" s="1905"/>
      <c r="O207" s="1905"/>
      <c r="P207" s="1905"/>
      <c r="Q207" s="1905"/>
      <c r="R207" s="1905"/>
      <c r="S207" s="1905"/>
      <c r="T207" s="1905"/>
      <c r="U207" s="1905"/>
      <c r="V207" s="1905"/>
      <c r="W207" s="1905"/>
      <c r="X207" s="1905"/>
      <c r="Y207" s="1905"/>
      <c r="Z207" s="1905"/>
      <c r="AA207" s="1905"/>
      <c r="AB207" s="1905"/>
      <c r="AC207" s="1905"/>
      <c r="AD207" s="1905"/>
      <c r="AE207" s="1905"/>
      <c r="AF207" s="1905"/>
      <c r="AG207" s="1905"/>
      <c r="AH207" s="1905"/>
      <c r="AI207" s="1905"/>
      <c r="AJ207" s="1905"/>
      <c r="AK207" s="1905"/>
    </row>
    <row r="208" spans="2:37">
      <c r="B208" s="149"/>
      <c r="C208" s="149"/>
      <c r="D208" s="5"/>
      <c r="G208" s="1905"/>
      <c r="H208" s="1905"/>
      <c r="I208" s="1905"/>
      <c r="J208" s="1905"/>
      <c r="K208" s="1905"/>
      <c r="L208" s="1905"/>
      <c r="M208" s="1905"/>
      <c r="N208" s="1905"/>
      <c r="O208" s="1905"/>
      <c r="P208" s="1905"/>
      <c r="Q208" s="1905"/>
      <c r="R208" s="1905"/>
      <c r="S208" s="1905"/>
      <c r="T208" s="1905"/>
      <c r="U208" s="1905"/>
      <c r="V208" s="1905"/>
      <c r="W208" s="1905"/>
      <c r="X208" s="1905"/>
      <c r="Y208" s="1905"/>
      <c r="Z208" s="1905"/>
      <c r="AA208" s="1905"/>
      <c r="AB208" s="1905"/>
      <c r="AC208" s="1905"/>
      <c r="AD208" s="1905"/>
      <c r="AE208" s="1905"/>
      <c r="AF208" s="1905"/>
      <c r="AG208" s="1905"/>
      <c r="AH208" s="1905"/>
      <c r="AI208" s="1905"/>
      <c r="AJ208" s="1905"/>
      <c r="AK208" s="1905"/>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5" t="s">
        <v>1315</v>
      </c>
      <c r="G338" s="1905"/>
      <c r="H338" s="1905"/>
      <c r="I338" s="1905"/>
      <c r="J338" s="1905"/>
      <c r="K338" s="1905"/>
      <c r="L338" s="1905"/>
      <c r="M338" s="1905"/>
      <c r="N338" s="1905"/>
      <c r="O338" s="1905"/>
      <c r="P338" s="1905"/>
      <c r="Q338" s="1905"/>
      <c r="R338" s="1905"/>
      <c r="S338" s="1905"/>
      <c r="T338" s="1905"/>
      <c r="U338" s="1905"/>
      <c r="V338" s="1905"/>
      <c r="W338" s="1905"/>
      <c r="X338" s="1905"/>
      <c r="Y338" s="1905"/>
      <c r="Z338" s="1905"/>
      <c r="AA338" s="1905"/>
      <c r="AB338" s="1905"/>
      <c r="AC338" s="1905"/>
      <c r="AD338" s="1905"/>
      <c r="AE338" s="1905"/>
      <c r="AF338" s="1905"/>
      <c r="AG338" s="1905"/>
      <c r="AH338" s="1905"/>
      <c r="AI338" s="1905"/>
      <c r="AJ338" s="1905"/>
      <c r="AK338" s="1905"/>
    </row>
    <row r="339" spans="2:37">
      <c r="B339" s="5"/>
      <c r="E339" s="149"/>
      <c r="F339" s="1905"/>
      <c r="G339" s="1905"/>
      <c r="H339" s="1905"/>
      <c r="I339" s="1905"/>
      <c r="J339" s="1905"/>
      <c r="K339" s="1905"/>
      <c r="L339" s="1905"/>
      <c r="M339" s="1905"/>
      <c r="N339" s="1905"/>
      <c r="O339" s="1905"/>
      <c r="P339" s="1905"/>
      <c r="Q339" s="1905"/>
      <c r="R339" s="1905"/>
      <c r="S339" s="1905"/>
      <c r="T339" s="1905"/>
      <c r="U339" s="1905"/>
      <c r="V339" s="1905"/>
      <c r="W339" s="1905"/>
      <c r="X339" s="1905"/>
      <c r="Y339" s="1905"/>
      <c r="Z339" s="1905"/>
      <c r="AA339" s="1905"/>
      <c r="AB339" s="1905"/>
      <c r="AC339" s="1905"/>
      <c r="AD339" s="1905"/>
      <c r="AE339" s="1905"/>
      <c r="AF339" s="1905"/>
      <c r="AG339" s="1905"/>
      <c r="AH339" s="1905"/>
      <c r="AI339" s="1905"/>
      <c r="AJ339" s="1905"/>
      <c r="AK339" s="1905"/>
    </row>
    <row r="340" spans="2:37">
      <c r="B340" s="5"/>
      <c r="E340" s="149"/>
      <c r="F340" s="1905"/>
      <c r="G340" s="1905"/>
      <c r="H340" s="1905"/>
      <c r="I340" s="1905"/>
      <c r="J340" s="1905"/>
      <c r="K340" s="1905"/>
      <c r="L340" s="1905"/>
      <c r="M340" s="1905"/>
      <c r="N340" s="1905"/>
      <c r="O340" s="1905"/>
      <c r="P340" s="1905"/>
      <c r="Q340" s="1905"/>
      <c r="R340" s="1905"/>
      <c r="S340" s="1905"/>
      <c r="T340" s="1905"/>
      <c r="U340" s="1905"/>
      <c r="V340" s="1905"/>
      <c r="W340" s="1905"/>
      <c r="X340" s="1905"/>
      <c r="Y340" s="1905"/>
      <c r="Z340" s="1905"/>
      <c r="AA340" s="1905"/>
      <c r="AB340" s="1905"/>
      <c r="AC340" s="1905"/>
      <c r="AD340" s="1905"/>
      <c r="AE340" s="1905"/>
      <c r="AF340" s="1905"/>
      <c r="AG340" s="1905"/>
      <c r="AH340" s="1905"/>
      <c r="AI340" s="1905"/>
      <c r="AJ340" s="1905"/>
      <c r="AK340" s="1905"/>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1397</v>
      </c>
      <c r="I342" s="183"/>
      <c r="J342" s="149"/>
      <c r="K342" s="149"/>
      <c r="L342" s="149"/>
      <c r="M342" s="149"/>
      <c r="N342" s="149"/>
      <c r="O342" s="149"/>
      <c r="P342" s="149"/>
      <c r="Q342" s="149"/>
      <c r="R342" s="149"/>
      <c r="S342" s="149"/>
    </row>
    <row r="343" spans="2:37" s="709" customFormat="1" ht="13.15" customHeight="1">
      <c r="B343" s="5"/>
      <c r="E343" s="1907" t="s">
        <v>1404</v>
      </c>
      <c r="F343" s="1907"/>
      <c r="G343" s="1907"/>
      <c r="H343" s="1907"/>
      <c r="I343" s="1907"/>
      <c r="J343" s="1907"/>
      <c r="K343" s="1907"/>
      <c r="L343" s="1907"/>
      <c r="M343" s="1907"/>
      <c r="N343" s="1907"/>
      <c r="O343" s="1907"/>
      <c r="P343" s="1907"/>
      <c r="Q343" s="1907"/>
      <c r="R343" s="1907"/>
      <c r="S343" s="1907"/>
      <c r="T343" s="1907"/>
      <c r="U343" s="1907"/>
      <c r="V343" s="1907"/>
      <c r="W343" s="1907"/>
      <c r="X343" s="1907"/>
      <c r="Y343" s="1907"/>
      <c r="Z343" s="1907"/>
      <c r="AA343" s="1907"/>
      <c r="AB343" s="1907"/>
      <c r="AC343" s="1907"/>
      <c r="AD343" s="1907"/>
      <c r="AE343" s="1907"/>
      <c r="AF343" s="1907"/>
      <c r="AG343" s="1907"/>
      <c r="AH343" s="1907"/>
      <c r="AI343" s="1907"/>
      <c r="AJ343" s="1907"/>
      <c r="AK343" s="1907"/>
    </row>
    <row r="344" spans="2:37" s="709" customFormat="1">
      <c r="B344" s="5"/>
      <c r="E344" s="1907"/>
      <c r="F344" s="1907"/>
      <c r="G344" s="1907"/>
      <c r="H344" s="1907"/>
      <c r="I344" s="1907"/>
      <c r="J344" s="1907"/>
      <c r="K344" s="1907"/>
      <c r="L344" s="1907"/>
      <c r="M344" s="1907"/>
      <c r="N344" s="1907"/>
      <c r="O344" s="1907"/>
      <c r="P344" s="1907"/>
      <c r="Q344" s="1907"/>
      <c r="R344" s="1907"/>
      <c r="S344" s="1907"/>
      <c r="T344" s="1907"/>
      <c r="U344" s="1907"/>
      <c r="V344" s="1907"/>
      <c r="W344" s="1907"/>
      <c r="X344" s="1907"/>
      <c r="Y344" s="1907"/>
      <c r="Z344" s="1907"/>
      <c r="AA344" s="1907"/>
      <c r="AB344" s="1907"/>
      <c r="AC344" s="1907"/>
      <c r="AD344" s="1907"/>
      <c r="AE344" s="1907"/>
      <c r="AF344" s="1907"/>
      <c r="AG344" s="1907"/>
      <c r="AH344" s="1907"/>
      <c r="AI344" s="1907"/>
      <c r="AJ344" s="1907"/>
      <c r="AK344" s="1907"/>
    </row>
    <row r="345" spans="2:37" s="709" customFormat="1">
      <c r="B345" s="5"/>
      <c r="E345" s="1907"/>
      <c r="F345" s="1907"/>
      <c r="G345" s="1907"/>
      <c r="H345" s="1907"/>
      <c r="I345" s="1907"/>
      <c r="J345" s="1907"/>
      <c r="K345" s="1907"/>
      <c r="L345" s="1907"/>
      <c r="M345" s="1907"/>
      <c r="N345" s="1907"/>
      <c r="O345" s="1907"/>
      <c r="P345" s="1907"/>
      <c r="Q345" s="1907"/>
      <c r="R345" s="1907"/>
      <c r="S345" s="1907"/>
      <c r="T345" s="1907"/>
      <c r="U345" s="1907"/>
      <c r="V345" s="1907"/>
      <c r="W345" s="1907"/>
      <c r="X345" s="1907"/>
      <c r="Y345" s="1907"/>
      <c r="Z345" s="1907"/>
      <c r="AA345" s="1907"/>
      <c r="AB345" s="1907"/>
      <c r="AC345" s="1907"/>
      <c r="AD345" s="1907"/>
      <c r="AE345" s="1907"/>
      <c r="AF345" s="1907"/>
      <c r="AG345" s="1907"/>
      <c r="AH345" s="1907"/>
      <c r="AI345" s="1907"/>
      <c r="AJ345" s="1907"/>
      <c r="AK345" s="1907"/>
    </row>
    <row r="346" spans="2:37" s="709" customFormat="1">
      <c r="B346" s="5"/>
      <c r="E346" s="1907"/>
      <c r="F346" s="1907"/>
      <c r="G346" s="1907"/>
      <c r="H346" s="1907"/>
      <c r="I346" s="1907"/>
      <c r="J346" s="1907"/>
      <c r="K346" s="1907"/>
      <c r="L346" s="1907"/>
      <c r="M346" s="1907"/>
      <c r="N346" s="1907"/>
      <c r="O346" s="1907"/>
      <c r="P346" s="1907"/>
      <c r="Q346" s="1907"/>
      <c r="R346" s="1907"/>
      <c r="S346" s="1907"/>
      <c r="T346" s="1907"/>
      <c r="U346" s="1907"/>
      <c r="V346" s="1907"/>
      <c r="W346" s="1907"/>
      <c r="X346" s="1907"/>
      <c r="Y346" s="1907"/>
      <c r="Z346" s="1907"/>
      <c r="AA346" s="1907"/>
      <c r="AB346" s="1907"/>
      <c r="AC346" s="1907"/>
      <c r="AD346" s="1907"/>
      <c r="AE346" s="1907"/>
      <c r="AF346" s="1907"/>
      <c r="AG346" s="1907"/>
      <c r="AH346" s="1907"/>
      <c r="AI346" s="1907"/>
      <c r="AJ346" s="1907"/>
      <c r="AK346" s="1907"/>
    </row>
    <row r="347" spans="2:37" s="709" customFormat="1">
      <c r="B347" s="5"/>
      <c r="E347" s="1907"/>
      <c r="F347" s="1907"/>
      <c r="G347" s="1907"/>
      <c r="H347" s="1907"/>
      <c r="I347" s="1907"/>
      <c r="J347" s="1907"/>
      <c r="K347" s="1907"/>
      <c r="L347" s="1907"/>
      <c r="M347" s="1907"/>
      <c r="N347" s="1907"/>
      <c r="O347" s="1907"/>
      <c r="P347" s="1907"/>
      <c r="Q347" s="1907"/>
      <c r="R347" s="1907"/>
      <c r="S347" s="1907"/>
      <c r="T347" s="1907"/>
      <c r="U347" s="1907"/>
      <c r="V347" s="1907"/>
      <c r="W347" s="1907"/>
      <c r="X347" s="1907"/>
      <c r="Y347" s="1907"/>
      <c r="Z347" s="1907"/>
      <c r="AA347" s="1907"/>
      <c r="AB347" s="1907"/>
      <c r="AC347" s="1907"/>
      <c r="AD347" s="1907"/>
      <c r="AE347" s="1907"/>
      <c r="AF347" s="1907"/>
      <c r="AG347" s="1907"/>
      <c r="AH347" s="1907"/>
      <c r="AI347" s="1907"/>
      <c r="AJ347" s="1907"/>
      <c r="AK347" s="1907"/>
    </row>
    <row r="348" spans="2:37" s="709" customFormat="1">
      <c r="B348" s="5"/>
      <c r="E348" s="6" t="s">
        <v>117</v>
      </c>
      <c r="F348" s="1905" t="s">
        <v>1406</v>
      </c>
      <c r="G348" s="1905"/>
      <c r="H348" s="1905"/>
      <c r="I348" s="1905"/>
      <c r="J348" s="1905"/>
      <c r="K348" s="1905"/>
      <c r="L348" s="1905"/>
      <c r="M348" s="1905"/>
      <c r="N348" s="1905"/>
      <c r="O348" s="1905"/>
      <c r="P348" s="1905"/>
      <c r="Q348" s="1905"/>
      <c r="R348" s="1905"/>
      <c r="S348" s="1905"/>
      <c r="T348" s="1905"/>
      <c r="U348" s="1905"/>
      <c r="V348" s="1905"/>
      <c r="W348" s="1905"/>
      <c r="X348" s="1905"/>
      <c r="Y348" s="1905"/>
      <c r="Z348" s="1905"/>
      <c r="AA348" s="1905"/>
      <c r="AB348" s="1905"/>
      <c r="AC348" s="1905"/>
      <c r="AD348" s="1905"/>
      <c r="AE348" s="1905"/>
      <c r="AF348" s="1905"/>
      <c r="AG348" s="1905"/>
      <c r="AH348" s="1905"/>
      <c r="AI348" s="1905"/>
      <c r="AJ348" s="1905"/>
      <c r="AK348" s="1905"/>
    </row>
    <row r="349" spans="2:37" s="709" customFormat="1">
      <c r="B349" s="5"/>
      <c r="E349" s="6"/>
      <c r="F349" s="1905"/>
      <c r="G349" s="1905"/>
      <c r="H349" s="1905"/>
      <c r="I349" s="1905"/>
      <c r="J349" s="1905"/>
      <c r="K349" s="1905"/>
      <c r="L349" s="1905"/>
      <c r="M349" s="1905"/>
      <c r="N349" s="1905"/>
      <c r="O349" s="1905"/>
      <c r="P349" s="1905"/>
      <c r="Q349" s="1905"/>
      <c r="R349" s="1905"/>
      <c r="S349" s="1905"/>
      <c r="T349" s="1905"/>
      <c r="U349" s="1905"/>
      <c r="V349" s="1905"/>
      <c r="W349" s="1905"/>
      <c r="X349" s="1905"/>
      <c r="Y349" s="1905"/>
      <c r="Z349" s="1905"/>
      <c r="AA349" s="1905"/>
      <c r="AB349" s="1905"/>
      <c r="AC349" s="1905"/>
      <c r="AD349" s="1905"/>
      <c r="AE349" s="1905"/>
      <c r="AF349" s="1905"/>
      <c r="AG349" s="1905"/>
      <c r="AH349" s="1905"/>
      <c r="AI349" s="1905"/>
      <c r="AJ349" s="1905"/>
      <c r="AK349" s="1905"/>
    </row>
    <row r="350" spans="2:37" s="709" customFormat="1">
      <c r="B350" s="5"/>
      <c r="E350" s="6"/>
      <c r="F350" s="1905"/>
      <c r="G350" s="1905"/>
      <c r="H350" s="1905"/>
      <c r="I350" s="1905"/>
      <c r="J350" s="1905"/>
      <c r="K350" s="1905"/>
      <c r="L350" s="1905"/>
      <c r="M350" s="1905"/>
      <c r="N350" s="1905"/>
      <c r="O350" s="1905"/>
      <c r="P350" s="1905"/>
      <c r="Q350" s="1905"/>
      <c r="R350" s="1905"/>
      <c r="S350" s="1905"/>
      <c r="T350" s="1905"/>
      <c r="U350" s="1905"/>
      <c r="V350" s="1905"/>
      <c r="W350" s="1905"/>
      <c r="X350" s="1905"/>
      <c r="Y350" s="1905"/>
      <c r="Z350" s="1905"/>
      <c r="AA350" s="1905"/>
      <c r="AB350" s="1905"/>
      <c r="AC350" s="1905"/>
      <c r="AD350" s="1905"/>
      <c r="AE350" s="1905"/>
      <c r="AF350" s="1905"/>
      <c r="AG350" s="1905"/>
      <c r="AH350" s="1905"/>
      <c r="AI350" s="1905"/>
      <c r="AJ350" s="1905"/>
      <c r="AK350" s="1905"/>
    </row>
    <row r="351" spans="2:37" s="709" customFormat="1">
      <c r="B351" s="5"/>
      <c r="E351" s="6"/>
      <c r="F351" s="1905"/>
      <c r="G351" s="1905"/>
      <c r="H351" s="1905"/>
      <c r="I351" s="1905"/>
      <c r="J351" s="1905"/>
      <c r="K351" s="1905"/>
      <c r="L351" s="1905"/>
      <c r="M351" s="1905"/>
      <c r="N351" s="1905"/>
      <c r="O351" s="1905"/>
      <c r="P351" s="1905"/>
      <c r="Q351" s="1905"/>
      <c r="R351" s="1905"/>
      <c r="S351" s="1905"/>
      <c r="T351" s="1905"/>
      <c r="U351" s="1905"/>
      <c r="V351" s="1905"/>
      <c r="W351" s="1905"/>
      <c r="X351" s="1905"/>
      <c r="Y351" s="1905"/>
      <c r="Z351" s="1905"/>
      <c r="AA351" s="1905"/>
      <c r="AB351" s="1905"/>
      <c r="AC351" s="1905"/>
      <c r="AD351" s="1905"/>
      <c r="AE351" s="1905"/>
      <c r="AF351" s="1905"/>
      <c r="AG351" s="1905"/>
      <c r="AH351" s="1905"/>
      <c r="AI351" s="1905"/>
      <c r="AJ351" s="1905"/>
      <c r="AK351" s="1905"/>
    </row>
    <row r="352" spans="2:37" s="709" customFormat="1">
      <c r="B352" s="5"/>
      <c r="E352" s="6" t="s">
        <v>118</v>
      </c>
      <c r="F352" s="1905" t="s">
        <v>1405</v>
      </c>
      <c r="G352" s="1905"/>
      <c r="H352" s="1905"/>
      <c r="I352" s="1905"/>
      <c r="J352" s="1905"/>
      <c r="K352" s="1905"/>
      <c r="L352" s="1905"/>
      <c r="M352" s="1905"/>
      <c r="N352" s="1905"/>
      <c r="O352" s="1905"/>
      <c r="P352" s="1905"/>
      <c r="Q352" s="1905"/>
      <c r="R352" s="1905"/>
      <c r="S352" s="1905"/>
      <c r="T352" s="1905"/>
      <c r="U352" s="1905"/>
      <c r="V352" s="1905"/>
      <c r="W352" s="1905"/>
      <c r="X352" s="1905"/>
      <c r="Y352" s="1905"/>
      <c r="Z352" s="1905"/>
      <c r="AA352" s="1905"/>
      <c r="AB352" s="1905"/>
      <c r="AC352" s="1905"/>
      <c r="AD352" s="1905"/>
      <c r="AE352" s="1905"/>
      <c r="AF352" s="1905"/>
      <c r="AG352" s="1905"/>
      <c r="AH352" s="1905"/>
      <c r="AI352" s="1905"/>
      <c r="AJ352" s="1905"/>
      <c r="AK352" s="1905"/>
    </row>
    <row r="353" spans="1:38" s="709" customFormat="1">
      <c r="B353" s="5"/>
      <c r="F353" s="1905"/>
      <c r="G353" s="1905"/>
      <c r="H353" s="1905"/>
      <c r="I353" s="1905"/>
      <c r="J353" s="1905"/>
      <c r="K353" s="1905"/>
      <c r="L353" s="1905"/>
      <c r="M353" s="1905"/>
      <c r="N353" s="1905"/>
      <c r="O353" s="1905"/>
      <c r="P353" s="1905"/>
      <c r="Q353" s="1905"/>
      <c r="R353" s="1905"/>
      <c r="S353" s="1905"/>
      <c r="T353" s="1905"/>
      <c r="U353" s="1905"/>
      <c r="V353" s="1905"/>
      <c r="W353" s="1905"/>
      <c r="X353" s="1905"/>
      <c r="Y353" s="1905"/>
      <c r="Z353" s="1905"/>
      <c r="AA353" s="1905"/>
      <c r="AB353" s="1905"/>
      <c r="AC353" s="1905"/>
      <c r="AD353" s="1905"/>
      <c r="AE353" s="1905"/>
      <c r="AF353" s="1905"/>
      <c r="AG353" s="1905"/>
      <c r="AH353" s="1905"/>
      <c r="AI353" s="1905"/>
      <c r="AJ353" s="1905"/>
      <c r="AK353" s="1905"/>
    </row>
    <row r="354" spans="1:38" s="709" customFormat="1">
      <c r="B354" s="5"/>
      <c r="F354" s="1905"/>
      <c r="G354" s="1905"/>
      <c r="H354" s="1905"/>
      <c r="I354" s="1905"/>
      <c r="J354" s="1905"/>
      <c r="K354" s="1905"/>
      <c r="L354" s="1905"/>
      <c r="M354" s="1905"/>
      <c r="N354" s="1905"/>
      <c r="O354" s="1905"/>
      <c r="P354" s="1905"/>
      <c r="Q354" s="1905"/>
      <c r="R354" s="1905"/>
      <c r="S354" s="1905"/>
      <c r="T354" s="1905"/>
      <c r="U354" s="1905"/>
      <c r="V354" s="1905"/>
      <c r="W354" s="1905"/>
      <c r="X354" s="1905"/>
      <c r="Y354" s="1905"/>
      <c r="Z354" s="1905"/>
      <c r="AA354" s="1905"/>
      <c r="AB354" s="1905"/>
      <c r="AC354" s="1905"/>
      <c r="AD354" s="1905"/>
      <c r="AE354" s="1905"/>
      <c r="AF354" s="1905"/>
      <c r="AG354" s="1905"/>
      <c r="AH354" s="1905"/>
      <c r="AI354" s="1905"/>
      <c r="AJ354" s="1905"/>
      <c r="AK354" s="1905"/>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8" t="s">
        <v>1395</v>
      </c>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1908"/>
      <c r="AH367" s="1908"/>
      <c r="AI367" s="1908"/>
      <c r="AJ367" s="1908"/>
      <c r="AK367" s="1908"/>
      <c r="AL367" s="1908"/>
    </row>
    <row r="368" spans="1:38" s="709" customFormat="1">
      <c r="B368" s="5"/>
      <c r="E368" s="1908"/>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1908"/>
      <c r="AH368" s="1908"/>
      <c r="AI368" s="1908"/>
      <c r="AJ368" s="1908"/>
      <c r="AK368" s="1908"/>
      <c r="AL368" s="1908"/>
    </row>
    <row r="369" spans="1:38" s="1910" customFormat="1">
      <c r="A369"/>
      <c r="B369" s="5"/>
      <c r="C369"/>
      <c r="D369"/>
      <c r="E369" s="1909" t="s">
        <v>1438</v>
      </c>
    </row>
    <row r="370" spans="1:38" s="1910"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6" t="s">
        <v>1450</v>
      </c>
      <c r="G388" s="1906"/>
      <c r="H388" s="1906"/>
      <c r="I388" s="1906"/>
      <c r="J388" s="1906"/>
      <c r="K388" s="1906"/>
      <c r="L388" s="1906"/>
      <c r="M388" s="1906"/>
      <c r="N388" s="1906"/>
      <c r="O388" s="1906"/>
      <c r="P388" s="1906"/>
      <c r="Q388" s="1906"/>
      <c r="R388" s="1906"/>
      <c r="S388" s="1906"/>
      <c r="T388" s="1906"/>
      <c r="U388" s="1906"/>
      <c r="V388" s="1906"/>
      <c r="W388" s="1906"/>
      <c r="X388" s="1906"/>
      <c r="Y388" s="1906"/>
      <c r="Z388" s="1906"/>
      <c r="AA388" s="1906"/>
      <c r="AB388" s="1906"/>
      <c r="AC388" s="1906"/>
      <c r="AD388" s="1906"/>
      <c r="AE388" s="1906"/>
      <c r="AF388" s="1906"/>
      <c r="AG388" s="1906"/>
      <c r="AH388" s="1906"/>
      <c r="AI388" s="1906"/>
      <c r="AJ388" s="1906"/>
      <c r="AK388" s="1906"/>
      <c r="AL388" s="669"/>
    </row>
    <row r="389" spans="1:38" s="709" customFormat="1">
      <c r="A389" s="669"/>
      <c r="B389" s="183"/>
      <c r="C389" s="669"/>
      <c r="D389" s="669"/>
      <c r="E389" s="670"/>
      <c r="F389" s="1906"/>
      <c r="G389" s="1906"/>
      <c r="H389" s="1906"/>
      <c r="I389" s="1906"/>
      <c r="J389" s="1906"/>
      <c r="K389" s="1906"/>
      <c r="L389" s="1906"/>
      <c r="M389" s="1906"/>
      <c r="N389" s="1906"/>
      <c r="O389" s="1906"/>
      <c r="P389" s="1906"/>
      <c r="Q389" s="1906"/>
      <c r="R389" s="1906"/>
      <c r="S389" s="1906"/>
      <c r="T389" s="1906"/>
      <c r="U389" s="1906"/>
      <c r="V389" s="1906"/>
      <c r="W389" s="1906"/>
      <c r="X389" s="1906"/>
      <c r="Y389" s="1906"/>
      <c r="Z389" s="1906"/>
      <c r="AA389" s="1906"/>
      <c r="AB389" s="1906"/>
      <c r="AC389" s="1906"/>
      <c r="AD389" s="1906"/>
      <c r="AE389" s="1906"/>
      <c r="AF389" s="1906"/>
      <c r="AG389" s="1906"/>
      <c r="AH389" s="1906"/>
      <c r="AI389" s="1906"/>
      <c r="AJ389" s="1906"/>
      <c r="AK389" s="1906"/>
      <c r="AL389" s="669"/>
    </row>
    <row r="390" spans="1:38" s="709" customFormat="1">
      <c r="A390" s="669"/>
      <c r="B390" s="183"/>
      <c r="C390" s="669"/>
      <c r="D390" s="669"/>
      <c r="E390" s="670"/>
      <c r="F390" s="1906"/>
      <c r="G390" s="1906"/>
      <c r="H390" s="1906"/>
      <c r="I390" s="1906"/>
      <c r="J390" s="1906"/>
      <c r="K390" s="1906"/>
      <c r="L390" s="1906"/>
      <c r="M390" s="1906"/>
      <c r="N390" s="1906"/>
      <c r="O390" s="1906"/>
      <c r="P390" s="1906"/>
      <c r="Q390" s="1906"/>
      <c r="R390" s="1906"/>
      <c r="S390" s="1906"/>
      <c r="T390" s="1906"/>
      <c r="U390" s="1906"/>
      <c r="V390" s="1906"/>
      <c r="W390" s="1906"/>
      <c r="X390" s="1906"/>
      <c r="Y390" s="1906"/>
      <c r="Z390" s="1906"/>
      <c r="AA390" s="1906"/>
      <c r="AB390" s="1906"/>
      <c r="AC390" s="1906"/>
      <c r="AD390" s="1906"/>
      <c r="AE390" s="1906"/>
      <c r="AF390" s="1906"/>
      <c r="AG390" s="1906"/>
      <c r="AH390" s="1906"/>
      <c r="AI390" s="1906"/>
      <c r="AJ390" s="1906"/>
      <c r="AK390" s="190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A64" zoomScaleNormal="100" workbookViewId="0">
      <selection activeCell="G90" sqref="G9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9" t="s">
        <v>1790</v>
      </c>
      <c r="B1" s="3379"/>
      <c r="C1" s="3379"/>
      <c r="D1" s="3379"/>
      <c r="E1" s="3379"/>
      <c r="F1" s="3379"/>
      <c r="G1" s="3379"/>
      <c r="H1" s="3379"/>
      <c r="I1" s="3379"/>
      <c r="J1" s="3379"/>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11792004</v>
      </c>
      <c r="I3" s="1843"/>
      <c r="K3" s="1778"/>
    </row>
    <row r="4" spans="1:13" s="1773" customFormat="1" ht="20.100000000000001" customHeight="1">
      <c r="A4" s="1770"/>
      <c r="B4" s="1831"/>
      <c r="C4" s="1770"/>
      <c r="D4" s="1846"/>
      <c r="E4" s="1770"/>
      <c r="F4" s="1829" t="s">
        <v>2455</v>
      </c>
      <c r="G4" s="1828" t="s">
        <v>2454</v>
      </c>
      <c r="H4" s="1830">
        <f>I16</f>
        <v>13863299.094329897</v>
      </c>
      <c r="I4" s="1832"/>
      <c r="K4" s="1776"/>
    </row>
    <row r="5" spans="1:13" s="1773" customFormat="1" ht="20.100000000000001" customHeight="1" thickBot="1">
      <c r="A5" s="1770"/>
      <c r="B5" s="1833"/>
      <c r="C5" s="1834"/>
      <c r="D5" s="1847"/>
      <c r="E5" s="1835"/>
      <c r="F5" s="1847" t="s">
        <v>2393</v>
      </c>
      <c r="G5" s="1848"/>
      <c r="H5" s="1844">
        <f>H3/H4</f>
        <v>0.8505914731957952</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81" t="s">
        <v>2391</v>
      </c>
      <c r="C8" s="3382"/>
      <c r="D8" s="3382"/>
      <c r="E8" s="3383"/>
      <c r="G8" s="3384" t="s">
        <v>2392</v>
      </c>
      <c r="H8" s="3385"/>
      <c r="I8" s="3386"/>
      <c r="K8" s="1779"/>
    </row>
    <row r="9" spans="1:13" ht="15" customHeight="1">
      <c r="A9" s="1763"/>
      <c r="B9" s="3380" t="s">
        <v>2432</v>
      </c>
      <c r="C9" s="3380"/>
      <c r="D9" s="3380"/>
      <c r="E9" s="1781">
        <f>G31</f>
        <v>2265000</v>
      </c>
      <c r="G9" s="3389" t="s">
        <v>2430</v>
      </c>
      <c r="H9" s="3389"/>
      <c r="I9" s="1782">
        <f>Application!AM564</f>
        <v>17452823</v>
      </c>
      <c r="K9" s="1783"/>
      <c r="M9" s="1784"/>
    </row>
    <row r="10" spans="1:13" ht="15" customHeight="1" thickBot="1">
      <c r="A10" s="1763"/>
      <c r="B10" s="3380" t="s">
        <v>2433</v>
      </c>
      <c r="C10" s="3380"/>
      <c r="D10" s="3380"/>
      <c r="E10" s="1782">
        <f>G40</f>
        <v>6314904.0000000009</v>
      </c>
      <c r="G10" s="3389" t="s">
        <v>2394</v>
      </c>
      <c r="H10" s="3389"/>
      <c r="I10" s="1884">
        <f>'Basis &amp; Credits'!AB77</f>
        <v>0</v>
      </c>
      <c r="M10" s="1784"/>
    </row>
    <row r="11" spans="1:13" s="1787" customFormat="1" ht="15" customHeight="1">
      <c r="A11" s="1785"/>
      <c r="B11" s="3380" t="s">
        <v>2434</v>
      </c>
      <c r="C11" s="3380"/>
      <c r="D11" s="3380"/>
      <c r="E11" s="1786">
        <f>G49</f>
        <v>230000</v>
      </c>
      <c r="G11" s="3389" t="s">
        <v>2445</v>
      </c>
      <c r="H11" s="3389"/>
      <c r="I11" s="1883">
        <f>I9+I10</f>
        <v>17452823</v>
      </c>
      <c r="K11" s="1788"/>
      <c r="M11" s="1784"/>
    </row>
    <row r="12" spans="1:13" ht="15" customHeight="1">
      <c r="A12" s="1768"/>
      <c r="B12" s="3380" t="s">
        <v>2435</v>
      </c>
      <c r="C12" s="3380"/>
      <c r="D12" s="3380"/>
      <c r="E12" s="1786">
        <f>G58</f>
        <v>400000</v>
      </c>
      <c r="G12" s="1885" t="s">
        <v>2470</v>
      </c>
      <c r="H12" s="1886"/>
      <c r="M12" s="1784"/>
    </row>
    <row r="13" spans="1:13" ht="15" customHeight="1">
      <c r="A13" s="1763"/>
      <c r="B13" s="3380" t="s">
        <v>2436</v>
      </c>
      <c r="C13" s="3380"/>
      <c r="D13" s="3380"/>
      <c r="E13" s="1790">
        <f>G83</f>
        <v>2582100</v>
      </c>
      <c r="G13" s="3390" t="s">
        <v>144</v>
      </c>
      <c r="H13" s="3390"/>
      <c r="I13" s="1789">
        <f>15%*(Application!AJ977&gt;0)</f>
        <v>0.15</v>
      </c>
      <c r="J13" s="1787"/>
      <c r="K13" s="1788"/>
      <c r="M13" s="1784"/>
    </row>
    <row r="14" spans="1:13" ht="15" customHeight="1">
      <c r="A14" s="1763"/>
      <c r="B14" s="3380" t="s">
        <v>2437</v>
      </c>
      <c r="C14" s="3380"/>
      <c r="D14" s="3380"/>
      <c r="E14" s="1786">
        <f>IF(G96&gt;G106,G96,0)</f>
        <v>0</v>
      </c>
      <c r="G14" s="1881" t="s">
        <v>2446</v>
      </c>
      <c r="H14" s="1881"/>
      <c r="I14" s="1789">
        <f>IF(Application!AJ1011&gt;0,10%,IF(Application!AJ1015&gt;0,5%,0))</f>
        <v>0</v>
      </c>
      <c r="J14" s="1787"/>
      <c r="M14" s="1784"/>
    </row>
    <row r="15" spans="1:13" ht="15" customHeight="1" thickBot="1">
      <c r="A15" s="1763"/>
      <c r="B15" s="3387" t="s">
        <v>2456</v>
      </c>
      <c r="C15" s="3387"/>
      <c r="D15" s="3387"/>
      <c r="E15" s="1849">
        <f>IF(E14&gt;0,0,G106)</f>
        <v>0</v>
      </c>
      <c r="G15" s="3393" t="s">
        <v>2447</v>
      </c>
      <c r="H15" s="3394"/>
      <c r="I15" s="1851">
        <f>G114</f>
        <v>5.5670103092783509E-2</v>
      </c>
      <c r="J15" s="1787"/>
      <c r="M15" s="1784"/>
    </row>
    <row r="16" spans="1:13" ht="15" customHeight="1">
      <c r="A16" s="1763"/>
      <c r="B16" s="3388" t="s">
        <v>2390</v>
      </c>
      <c r="C16" s="3388"/>
      <c r="D16" s="3388"/>
      <c r="E16" s="1850">
        <f>SUM(E9:E15)</f>
        <v>11792004</v>
      </c>
      <c r="G16" s="1882" t="s">
        <v>2431</v>
      </c>
      <c r="H16" s="1882"/>
      <c r="I16" s="1852">
        <f>I11-((I11*I13)+(I11*I14)+(I11*I15))</f>
        <v>13863299.094329897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47</v>
      </c>
      <c r="O18" s="1819" t="s">
        <v>608</v>
      </c>
      <c r="P18" s="1761">
        <f>MATCH(Application!T189,Application!BP670:BP727,0)</f>
        <v>19</v>
      </c>
      <c r="S18" s="1797">
        <f>SUM(Cdlac[Population])</f>
        <v>35</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399</v>
      </c>
    </row>
    <row r="20" spans="1:20" ht="15" customHeight="1">
      <c r="A20" s="1768"/>
      <c r="C20" s="3391" t="s">
        <v>2449</v>
      </c>
      <c r="D20" s="3391" t="s">
        <v>2450</v>
      </c>
      <c r="E20" s="3391" t="s">
        <v>2451</v>
      </c>
      <c r="F20" s="3391" t="s">
        <v>2452</v>
      </c>
      <c r="G20" s="3391" t="s">
        <v>2448</v>
      </c>
      <c r="H20" s="1799"/>
      <c r="I20" s="1798"/>
      <c r="L20" s="1761">
        <f>IFERROR(MIN(4,MATCH(Application!B728,UnitSizes,0)-1),"")</f>
        <v>0</v>
      </c>
      <c r="M20" s="1797">
        <f>Application!G728</f>
        <v>7</v>
      </c>
      <c r="N20" s="1800">
        <f>Application!AC728</f>
        <v>0.3</v>
      </c>
      <c r="O20" s="1800">
        <f>IF(Cdlac[[#This Row],[Quantity]]&gt;0,IF(Cdlac[[#This Row],[Federal]],30%,IF($G$36,40%,Cdlac[[#This Row],[iAMI]])),"")</f>
        <v>0.3</v>
      </c>
      <c r="P20" s="1801" cm="1">
        <f t="array" ref="P20">IF(Cdlac[[#This Row],[Quantity]]&gt;0,INDEX(TcacRents,$P$18,Cdlac[[#This Row],[Bedrooms]]+1)*Cdlac[[#This Row],[AMI]],"")</f>
        <v>625.19999999999993</v>
      </c>
      <c r="Q20" s="1801" cm="1">
        <f t="array" ref="Q20">IF(Cdlac[[#This Row],[Quantity]]&gt;0,INDEX(HudFmrs,$P$18,Cdlac[[#This Row],[Bedrooms]]+1),"")</f>
        <v>1384</v>
      </c>
      <c r="R20" s="1801">
        <f>IF(Cdlac[[#This Row],[Quantity]]&gt;0,MAX(0,Cdlac[[#This Row],[Fair Market Rent]]-Cdlac[[#This Row],[Restricted Rent]]),"")</f>
        <v>758.80000000000007</v>
      </c>
      <c r="S20" s="1787">
        <f>IF(Cdlac[[#This Row],[Quantity]]&gt;0,AND(Application!AK728&lt;&gt;"N/A",Application!AK728&lt;&gt;"")*Cdlac[[#This Row],[Quantity]],"")</f>
        <v>7</v>
      </c>
      <c r="T20" s="1787" t="b">
        <f>AND('Subsidy Contract Calculation'!F4&gt;0,'Subsidy Contract Calculation'!C4="Federal",Cdlac[[#This Row],[Quantity]]&gt;0)</f>
        <v>1</v>
      </c>
    </row>
    <row r="21" spans="1:20" ht="15" customHeight="1">
      <c r="A21" s="1768"/>
      <c r="C21" s="3392"/>
      <c r="D21" s="3392"/>
      <c r="E21" s="3392"/>
      <c r="F21" s="3392"/>
      <c r="G21" s="3392"/>
      <c r="H21" s="1799"/>
      <c r="I21" s="1798"/>
      <c r="L21" s="1761">
        <f>IFERROR(MIN(4,MATCH(Application!B729,UnitSizes,0)-1),"")</f>
        <v>1</v>
      </c>
      <c r="M21" s="1797">
        <f>Application!G729</f>
        <v>9</v>
      </c>
      <c r="N21" s="1800">
        <f>Application!AC729</f>
        <v>0.3</v>
      </c>
      <c r="O21" s="1800">
        <f>IF(Cdlac[[#This Row],[Quantity]]&gt;0,IF(Cdlac[[#This Row],[Federal]],30%,IF($G$36,40%,Cdlac[[#This Row],[iAMI]])),"")</f>
        <v>0.3</v>
      </c>
      <c r="P21" s="1801" cm="1">
        <f t="array" ref="P21">IF(Cdlac[[#This Row],[Quantity]]&gt;0,INDEX(TcacRents,$P$18,Cdlac[[#This Row],[Bedrooms]]+1)*Cdlac[[#This Row],[AMI]],"")</f>
        <v>669.6</v>
      </c>
      <c r="Q21" s="1801" cm="1">
        <f t="array" ref="Q21">IF(Cdlac[[#This Row],[Quantity]]&gt;0,INDEX(HudFmrs,$P$18,Cdlac[[#This Row],[Bedrooms]]+1),"")</f>
        <v>1604</v>
      </c>
      <c r="R21" s="1801">
        <f>IF(Cdlac[[#This Row],[Quantity]]&gt;0,MAX(0,Cdlac[[#This Row],[Fair Market Rent]]-Cdlac[[#This Row],[Restricted Rent]]),"")</f>
        <v>934.4</v>
      </c>
      <c r="S21" s="1787">
        <f>IF(Cdlac[[#This Row],[Quantity]]&gt;0,AND(Application!AK729&lt;&gt;"N/A",Application!AK729&lt;&gt;"")*Cdlac[[#This Row],[Quantity]],"")</f>
        <v>9</v>
      </c>
      <c r="T21" s="1787" t="b">
        <f>AND('Subsidy Contract Calculation'!F5&gt;0,'Subsidy Contract Calculation'!C5="Federal",Cdlac[[#This Row],[Quantity]]&gt;0)</f>
        <v>1</v>
      </c>
    </row>
    <row r="22" spans="1:20" ht="15" customHeight="1">
      <c r="A22" s="1764"/>
      <c r="C22" s="1802">
        <v>0</v>
      </c>
      <c r="D22" s="1803">
        <v>0.9</v>
      </c>
      <c r="E22" s="1802">
        <f>SUMIFS(Cdlac[Quantity],Cdlac[Bedrooms],C22)</f>
        <v>17</v>
      </c>
      <c r="F22" s="1802">
        <f>E22</f>
        <v>17</v>
      </c>
      <c r="G22" s="1821">
        <f>D22*F22</f>
        <v>15.3</v>
      </c>
      <c r="I22" s="1764"/>
      <c r="L22" s="1761">
        <f>IFERROR(MIN(4,MATCH(Application!B730,UnitSizes,0)-1),"")</f>
        <v>0</v>
      </c>
      <c r="M22" s="1797">
        <f>Application!G730</f>
        <v>1</v>
      </c>
      <c r="N22" s="1800">
        <f>Application!AC730</f>
        <v>0.3</v>
      </c>
      <c r="O22" s="1800">
        <f>IF(Cdlac[[#This Row],[Quantity]]&gt;0,IF(Cdlac[[#This Row],[Federal]],30%,IF($G$36,40%,Cdlac[[#This Row],[iAMI]])),"")</f>
        <v>0.3</v>
      </c>
      <c r="P22" s="1801" cm="1">
        <f t="array" ref="P22">IF(Cdlac[[#This Row],[Quantity]]&gt;0,INDEX(TcacRents,$P$18,Cdlac[[#This Row],[Bedrooms]]+1)*Cdlac[[#This Row],[AMI]],"")</f>
        <v>625.19999999999993</v>
      </c>
      <c r="Q22" s="1801" cm="1">
        <f t="array" ref="Q22">IF(Cdlac[[#This Row],[Quantity]]&gt;0,INDEX(HudFmrs,$P$18,Cdlac[[#This Row],[Bedrooms]]+1),"")</f>
        <v>1384</v>
      </c>
      <c r="R22" s="1801">
        <f>IF(Cdlac[[#This Row],[Quantity]]&gt;0,MAX(0,Cdlac[[#This Row],[Fair Market Rent]]-Cdlac[[#This Row],[Restricted Rent]]),"")</f>
        <v>758.80000000000007</v>
      </c>
      <c r="S22" s="1787">
        <f>IF(Cdlac[[#This Row],[Quantity]]&gt;0,AND(Application!AK730&lt;&gt;"N/A",Application!AK730&lt;&gt;"")*Cdlac[[#This Row],[Quantity]],"")</f>
        <v>1</v>
      </c>
      <c r="T22" s="1787" t="b">
        <f>AND('Subsidy Contract Calculation'!F6&gt;0,'Subsidy Contract Calculation'!C6="Federal",Cdlac[[#This Row],[Quantity]]&gt;0)</f>
        <v>1</v>
      </c>
    </row>
    <row r="23" spans="1:20" ht="15" customHeight="1">
      <c r="A23" s="1764"/>
      <c r="C23" s="1802">
        <v>1</v>
      </c>
      <c r="D23" s="1803">
        <v>1</v>
      </c>
      <c r="E23" s="1802">
        <f>SUMIFS(Cdlac[Quantity],Cdlac[Bedrooms],C23)</f>
        <v>30</v>
      </c>
      <c r="F23" s="1802">
        <f>E23</f>
        <v>30</v>
      </c>
      <c r="G23" s="1821">
        <f t="shared" ref="G23:G26" si="0">D23*F23</f>
        <v>30</v>
      </c>
      <c r="I23" s="1764"/>
      <c r="L23" s="1761">
        <f>IFERROR(MIN(4,MATCH(Application!B731,UnitSizes,0)-1),"")</f>
        <v>1</v>
      </c>
      <c r="M23" s="1797">
        <f>Application!G731</f>
        <v>3</v>
      </c>
      <c r="N23" s="1800">
        <f>Application!AC731</f>
        <v>0.3</v>
      </c>
      <c r="O23" s="1800">
        <f>IF(Cdlac[[#This Row],[Quantity]]&gt;0,IF(Cdlac[[#This Row],[Federal]],30%,IF($G$36,40%,Cdlac[[#This Row],[iAMI]])),"")</f>
        <v>0.3</v>
      </c>
      <c r="P23" s="1801" cm="1">
        <f t="array" ref="P23">IF(Cdlac[[#This Row],[Quantity]]&gt;0,INDEX(TcacRents,$P$18,Cdlac[[#This Row],[Bedrooms]]+1)*Cdlac[[#This Row],[AMI]],"")</f>
        <v>669.6</v>
      </c>
      <c r="Q23" s="1801" cm="1">
        <f t="array" ref="Q23">IF(Cdlac[[#This Row],[Quantity]]&gt;0,INDEX(HudFmrs,$P$18,Cdlac[[#This Row],[Bedrooms]]+1),"")</f>
        <v>1604</v>
      </c>
      <c r="R23" s="1801">
        <f>IF(Cdlac[[#This Row],[Quantity]]&gt;0,MAX(0,Cdlac[[#This Row],[Fair Market Rent]]-Cdlac[[#This Row],[Restricted Rent]]),"")</f>
        <v>934.4</v>
      </c>
      <c r="S23" s="1787">
        <f>IF(Cdlac[[#This Row],[Quantity]]&gt;0,AND(Application!AK731&lt;&gt;"N/A",Application!AK731&lt;&gt;"")*Cdlac[[#This Row],[Quantity]],"")</f>
        <v>3</v>
      </c>
      <c r="T23" s="1787" t="b">
        <f>AND('Subsidy Contract Calculation'!F7&gt;0,'Subsidy Contract Calculation'!C7="Federal",Cdlac[[#This Row],[Quantity]]&gt;0)</f>
        <v>1</v>
      </c>
    </row>
    <row r="24" spans="1:20" ht="15" customHeight="1">
      <c r="A24" s="1804"/>
      <c r="C24" s="1805">
        <v>2</v>
      </c>
      <c r="D24" s="1803">
        <v>1.25</v>
      </c>
      <c r="E24" s="1802">
        <f>SUMIFS(Cdlac[Quantity],Cdlac[Bedrooms],C24)</f>
        <v>0</v>
      </c>
      <c r="F24" s="1805">
        <f>SUM(E24:E26)-SUM(F25:F26)</f>
        <v>0</v>
      </c>
      <c r="G24" s="1821">
        <f t="shared" si="0"/>
        <v>0</v>
      </c>
      <c r="H24" s="1804"/>
      <c r="I24" s="1804"/>
      <c r="L24" s="1761">
        <f>IFERROR(MIN(4,MATCH(Application!B732,UnitSizes,0)-1),"")</f>
        <v>0</v>
      </c>
      <c r="M24" s="1797">
        <f>Application!G732</f>
        <v>2</v>
      </c>
      <c r="N24" s="1800">
        <f>Application!AC732</f>
        <v>0.5</v>
      </c>
      <c r="O24" s="1800">
        <f>IF(Cdlac[[#This Row],[Quantity]]&gt;0,IF(Cdlac[[#This Row],[Federal]],30%,IF($G$36,40%,Cdlac[[#This Row],[iAMI]])),"")</f>
        <v>0.3</v>
      </c>
      <c r="P24" s="1801" cm="1">
        <f t="array" ref="P24">IF(Cdlac[[#This Row],[Quantity]]&gt;0,INDEX(TcacRents,$P$18,Cdlac[[#This Row],[Bedrooms]]+1)*Cdlac[[#This Row],[AMI]],"")</f>
        <v>625.19999999999993</v>
      </c>
      <c r="Q24" s="1801" cm="1">
        <f t="array" ref="Q24">IF(Cdlac[[#This Row],[Quantity]]&gt;0,INDEX(HudFmrs,$P$18,Cdlac[[#This Row],[Bedrooms]]+1),"")</f>
        <v>1384</v>
      </c>
      <c r="R24" s="1801">
        <f>IF(Cdlac[[#This Row],[Quantity]]&gt;0,MAX(0,Cdlac[[#This Row],[Fair Market Rent]]-Cdlac[[#This Row],[Restricted Rent]]),"")</f>
        <v>758.80000000000007</v>
      </c>
      <c r="S24" s="1787">
        <f>IF(Cdlac[[#This Row],[Quantity]]&gt;0,AND(Application!AK732&lt;&gt;"N/A",Application!AK732&lt;&gt;"")*Cdlac[[#This Row],[Quantity]],"")</f>
        <v>2</v>
      </c>
      <c r="T24" s="1787" t="b">
        <f>AND('Subsidy Contract Calculation'!F8&gt;0,'Subsidy Contract Calculation'!C8="Federal",Cdlac[[#This Row],[Quantity]]&gt;0)</f>
        <v>1</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13</v>
      </c>
      <c r="N25" s="1800">
        <f>Application!AC733</f>
        <v>0.5</v>
      </c>
      <c r="O25" s="1800">
        <f>IF(Cdlac[[#This Row],[Quantity]]&gt;0,IF(Cdlac[[#This Row],[Federal]],30%,IF($G$36,40%,Cdlac[[#This Row],[iAMI]])),"")</f>
        <v>0.3</v>
      </c>
      <c r="P25" s="1801" cm="1">
        <f t="array" ref="P25">IF(Cdlac[[#This Row],[Quantity]]&gt;0,INDEX(TcacRents,$P$18,Cdlac[[#This Row],[Bedrooms]]+1)*Cdlac[[#This Row],[AMI]],"")</f>
        <v>669.6</v>
      </c>
      <c r="Q25" s="1801" cm="1">
        <f t="array" ref="Q25">IF(Cdlac[[#This Row],[Quantity]]&gt;0,INDEX(HudFmrs,$P$18,Cdlac[[#This Row],[Bedrooms]]+1),"")</f>
        <v>1604</v>
      </c>
      <c r="R25" s="1801">
        <f>IF(Cdlac[[#This Row],[Quantity]]&gt;0,MAX(0,Cdlac[[#This Row],[Fair Market Rent]]-Cdlac[[#This Row],[Restricted Rent]]),"")</f>
        <v>934.4</v>
      </c>
      <c r="S25" s="1787">
        <f>IF(Cdlac[[#This Row],[Quantity]]&gt;0,AND(Application!AK733&lt;&gt;"N/A",Application!AK733&lt;&gt;"")*Cdlac[[#This Row],[Quantity]],"")</f>
        <v>13</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0</v>
      </c>
      <c r="M26" s="1797">
        <f>Application!G734</f>
        <v>5</v>
      </c>
      <c r="N26" s="1800">
        <f>Application!AC734</f>
        <v>0.5</v>
      </c>
      <c r="O26" s="1800">
        <f>IF(Cdlac[[#This Row],[Quantity]]&gt;0,IF(Cdlac[[#This Row],[Federal]],30%,IF($G$36,40%,Cdlac[[#This Row],[iAMI]])),"")</f>
        <v>0.5</v>
      </c>
      <c r="P26" s="1801" cm="1">
        <f t="array" ref="P26">IF(Cdlac[[#This Row],[Quantity]]&gt;0,INDEX(TcacRents,$P$18,Cdlac[[#This Row],[Bedrooms]]+1)*Cdlac[[#This Row],[AMI]],"")</f>
        <v>1042</v>
      </c>
      <c r="Q26" s="1801" cm="1">
        <f t="array" ref="Q26">IF(Cdlac[[#This Row],[Quantity]]&gt;0,INDEX(HudFmrs,$P$18,Cdlac[[#This Row],[Bedrooms]]+1),"")</f>
        <v>1384</v>
      </c>
      <c r="R26" s="1801">
        <f>IF(Cdlac[[#This Row],[Quantity]]&gt;0,MAX(0,Cdlac[[#This Row],[Fair Market Rent]]-Cdlac[[#This Row],[Restricted Rent]]),"")</f>
        <v>342</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5" t="s">
        <v>1791</v>
      </c>
      <c r="D27" s="3376"/>
      <c r="E27" s="1826">
        <f>SUM(E22:E26)</f>
        <v>47</v>
      </c>
      <c r="F27" s="1826">
        <f>SUM(F22:F26)</f>
        <v>47</v>
      </c>
      <c r="G27" s="1827">
        <f>SUMPRODUCT(D22:D26,F22:F26)</f>
        <v>45.3</v>
      </c>
      <c r="H27" s="1804"/>
      <c r="I27" s="1804"/>
      <c r="L27" s="1761">
        <f>IFERROR(MIN(4,MATCH(Application!B735,UnitSizes,0)-1),"")</f>
        <v>1</v>
      </c>
      <c r="M27" s="1797">
        <f>Application!G735</f>
        <v>5</v>
      </c>
      <c r="N27" s="1800">
        <f>Application!AC735</f>
        <v>0.6</v>
      </c>
      <c r="O27" s="1800">
        <f>IF(Cdlac[[#This Row],[Quantity]]&gt;0,IF(Cdlac[[#This Row],[Federal]],30%,IF($G$36,40%,Cdlac[[#This Row],[iAMI]])),"")</f>
        <v>0.6</v>
      </c>
      <c r="P27" s="1801" cm="1">
        <f t="array" ref="P27">IF(Cdlac[[#This Row],[Quantity]]&gt;0,INDEX(TcacRents,$P$18,Cdlac[[#This Row],[Bedrooms]]+1)*Cdlac[[#This Row],[AMI]],"")</f>
        <v>1339.2</v>
      </c>
      <c r="Q27" s="1801" cm="1">
        <f t="array" ref="Q27">IF(Cdlac[[#This Row],[Quantity]]&gt;0,INDEX(HudFmrs,$P$18,Cdlac[[#This Row],[Bedrooms]]+1),"")</f>
        <v>1604</v>
      </c>
      <c r="R27" s="1801">
        <f>IF(Cdlac[[#This Row],[Quantity]]&gt;0,MAX(0,Cdlac[[#This Row],[Fair Market Rent]]-Cdlac[[#This Row],[Restricted Rent]]),"")</f>
        <v>264.79999999999995</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0</v>
      </c>
      <c r="M28" s="1797">
        <f>Application!G736</f>
        <v>2</v>
      </c>
      <c r="N28" s="1800">
        <f>Application!AC736</f>
        <v>0.4</v>
      </c>
      <c r="O28" s="1800">
        <f>IF(Cdlac[[#This Row],[Quantity]]&gt;0,IF(Cdlac[[#This Row],[Federal]],30%,IF($G$36,40%,Cdlac[[#This Row],[iAMI]])),"")</f>
        <v>0.4</v>
      </c>
      <c r="P28" s="1801" cm="1">
        <f t="array" ref="P28">IF(Cdlac[[#This Row],[Quantity]]&gt;0,INDEX(TcacRents,$P$18,Cdlac[[#This Row],[Bedrooms]]+1)*Cdlac[[#This Row],[AMI]],"")</f>
        <v>833.6</v>
      </c>
      <c r="Q28" s="1801" cm="1">
        <f t="array" ref="Q28">IF(Cdlac[[#This Row],[Quantity]]&gt;0,INDEX(HudFmrs,$P$18,Cdlac[[#This Row],[Bedrooms]]+1),"")</f>
        <v>1384</v>
      </c>
      <c r="R28" s="1801">
        <f>IF(Cdlac[[#This Row],[Quantity]]&gt;0,MAX(0,Cdlac[[#This Row],[Fair Market Rent]]-Cdlac[[#This Row],[Restricted Rent]]),"")</f>
        <v>550.4</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45.3</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2265000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0.52500000000000002</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35082.800000000003</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6314904.0000000009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35</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23</v>
      </c>
    </row>
    <row r="46" spans="1:20" ht="15" customHeight="1">
      <c r="E46" s="1857"/>
      <c r="G46" s="1868"/>
    </row>
    <row r="47" spans="1:20" ht="15" customHeight="1">
      <c r="E47" s="1857" t="s">
        <v>2408</v>
      </c>
      <c r="G47" s="1854">
        <f>MIN(G44:G45)</f>
        <v>23</v>
      </c>
    </row>
    <row r="48" spans="1:20" ht="15" customHeight="1">
      <c r="E48" s="1857" t="s">
        <v>2398</v>
      </c>
      <c r="F48" s="1853" t="s">
        <v>2457</v>
      </c>
      <c r="G48" s="1867">
        <v>10000</v>
      </c>
    </row>
    <row r="49" spans="2:14" ht="15" customHeight="1">
      <c r="E49" s="1858" t="s">
        <v>2440</v>
      </c>
      <c r="F49" s="1865"/>
      <c r="G49" s="1866">
        <f>G47*G48</f>
        <v>230000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20</v>
      </c>
    </row>
    <row r="54" spans="2:14" ht="15" customHeight="1">
      <c r="E54" s="1857" t="s">
        <v>2459</v>
      </c>
      <c r="G54" s="1809">
        <f>ROUNDDOWN(E27*50%,0)</f>
        <v>23</v>
      </c>
    </row>
    <row r="55" spans="2:14" ht="15" customHeight="1">
      <c r="E55" s="1857"/>
      <c r="G55" s="1809"/>
    </row>
    <row r="56" spans="2:14" ht="15" customHeight="1">
      <c r="E56" s="1857" t="s">
        <v>2408</v>
      </c>
      <c r="G56" s="1854">
        <f>MIN(G53:G54)</f>
        <v>20</v>
      </c>
    </row>
    <row r="57" spans="2:14" ht="15" customHeight="1">
      <c r="E57" s="1857" t="s">
        <v>2398</v>
      </c>
      <c r="F57" s="1853" t="s">
        <v>2457</v>
      </c>
      <c r="G57" s="1867">
        <v>20000</v>
      </c>
    </row>
    <row r="58" spans="2:14" ht="15" customHeight="1">
      <c r="E58" s="1858" t="s">
        <v>2439</v>
      </c>
      <c r="F58" s="1865"/>
      <c r="G58" s="1866">
        <f>G56*G57</f>
        <v>400000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N/A</v>
      </c>
      <c r="M62" s="3377" t="s">
        <v>1601</v>
      </c>
      <c r="N62" s="3378"/>
    </row>
    <row r="63" spans="2:14" ht="15" customHeight="1">
      <c r="E63" s="1819" t="s">
        <v>2398</v>
      </c>
      <c r="F63" s="1853" t="s">
        <v>2457</v>
      </c>
      <c r="G63" s="1806">
        <v>4000</v>
      </c>
      <c r="H63" s="1761"/>
      <c r="L63" s="1871" t="str">
        <f>'Points System'!H639</f>
        <v>(i)</v>
      </c>
      <c r="M63" s="3369" t="s">
        <v>2412</v>
      </c>
      <c r="N63" s="3370"/>
    </row>
    <row r="64" spans="2:14" ht="15" customHeight="1">
      <c r="E64" s="1819" t="s">
        <v>2461</v>
      </c>
      <c r="F64" s="1853" t="s">
        <v>2457</v>
      </c>
      <c r="G64" s="1869">
        <f>G27</f>
        <v>45.3</v>
      </c>
      <c r="H64" s="1761"/>
      <c r="L64" s="1871" t="str">
        <f>'Points System'!H674</f>
        <v>(ii)</v>
      </c>
      <c r="M64" s="3369" t="s">
        <v>2413</v>
      </c>
      <c r="N64" s="3370"/>
    </row>
    <row r="65" spans="2:14" ht="15" customHeight="1">
      <c r="E65" s="1858" t="s">
        <v>2417</v>
      </c>
      <c r="F65" s="1859"/>
      <c r="G65" s="1866">
        <f>G62*G63*G64</f>
        <v>1268400</v>
      </c>
      <c r="H65" s="1761"/>
      <c r="L65" s="1871" t="str">
        <f>'Points System'!H694</f>
        <v>N/A</v>
      </c>
      <c r="M65" s="3369" t="s">
        <v>2414</v>
      </c>
      <c r="N65" s="3370"/>
    </row>
    <row r="66" spans="2:14" ht="15" customHeight="1">
      <c r="C66" s="1807"/>
      <c r="F66" s="1761"/>
      <c r="G66" s="1854"/>
      <c r="H66" s="1761"/>
      <c r="L66" s="1872" t="str">
        <f>'Points System'!H708</f>
        <v>N/A</v>
      </c>
      <c r="M66" s="3369" t="s">
        <v>1631</v>
      </c>
      <c r="N66" s="3370"/>
    </row>
    <row r="67" spans="2:14" ht="15" customHeight="1">
      <c r="E67" s="1819" t="s">
        <v>2462</v>
      </c>
      <c r="F67" s="1761"/>
      <c r="G67" s="1869">
        <f>COUNTIFS(L62:L69,"(i)")</f>
        <v>1</v>
      </c>
      <c r="H67" s="1761"/>
      <c r="L67" s="1871" t="str">
        <f>'Points System'!H720</f>
        <v>N/A</v>
      </c>
      <c r="M67" s="3369" t="s">
        <v>2415</v>
      </c>
      <c r="N67" s="3370"/>
    </row>
    <row r="68" spans="2:14" ht="15" customHeight="1">
      <c r="E68" s="1819" t="s">
        <v>2398</v>
      </c>
      <c r="F68" s="1853" t="s">
        <v>2457</v>
      </c>
      <c r="G68" s="1867">
        <v>4000</v>
      </c>
      <c r="H68" s="1761"/>
      <c r="L68" s="1871" t="str">
        <f>'Points System'!H736</f>
        <v>(ii)</v>
      </c>
      <c r="M68" s="3369" t="s">
        <v>2416</v>
      </c>
      <c r="N68" s="3370"/>
    </row>
    <row r="69" spans="2:14" ht="15" customHeight="1" thickBot="1">
      <c r="E69" s="1858" t="s">
        <v>2418</v>
      </c>
      <c r="F69" s="1865"/>
      <c r="G69" s="1866">
        <f>G64*G67*G68</f>
        <v>181200</v>
      </c>
      <c r="H69" s="1761"/>
      <c r="L69" s="1873" t="str">
        <f>'Points System'!H748</f>
        <v>(ii)</v>
      </c>
      <c r="M69" s="3371" t="s">
        <v>1634</v>
      </c>
      <c r="N69" s="3372"/>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570</v>
      </c>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35</v>
      </c>
    </row>
    <row r="80" spans="2:14" ht="15" customHeight="1">
      <c r="E80" s="1819" t="s">
        <v>2398</v>
      </c>
      <c r="F80" s="1853" t="s">
        <v>2457</v>
      </c>
      <c r="G80" s="1867">
        <v>25000</v>
      </c>
    </row>
    <row r="81" spans="2:14" ht="15" customHeight="1">
      <c r="E81" s="1858" t="s">
        <v>2419</v>
      </c>
      <c r="F81" s="1865"/>
      <c r="G81" s="1866">
        <f>G77*G80*G64</f>
        <v>1132500</v>
      </c>
    </row>
    <row r="82" spans="2:14" ht="15" customHeight="1">
      <c r="C82" s="1807"/>
      <c r="E82" s="1812"/>
    </row>
    <row r="83" spans="2:14" ht="15" customHeight="1">
      <c r="E83" s="1858" t="s">
        <v>2396</v>
      </c>
      <c r="G83" s="1866">
        <f>G81+G69+G65</f>
        <v>2582100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570</v>
      </c>
      <c r="L87" s="3373" t="s">
        <v>2427</v>
      </c>
      <c r="M87" s="3374"/>
      <c r="N87" s="1874">
        <v>30000</v>
      </c>
    </row>
    <row r="88" spans="2:14" ht="15" customHeight="1">
      <c r="C88" s="1807" t="s">
        <v>2444</v>
      </c>
      <c r="G88" s="1813" t="str">
        <f>IF(Application!D210="Large Family","Yes","No")</f>
        <v>No</v>
      </c>
      <c r="H88" s="1761"/>
      <c r="L88" s="3365" t="s">
        <v>2389</v>
      </c>
      <c r="M88" s="3366"/>
      <c r="N88" s="1875">
        <v>20000</v>
      </c>
    </row>
    <row r="89" spans="2:14" ht="15" customHeight="1" thickBot="1">
      <c r="C89" s="1807" t="s">
        <v>2425</v>
      </c>
      <c r="G89" s="1760" t="s">
        <v>570</v>
      </c>
      <c r="H89" s="1761"/>
      <c r="L89" s="3367" t="s">
        <v>2428</v>
      </c>
      <c r="M89" s="3368"/>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45.3</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695</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45.3</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608</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2465</v>
      </c>
      <c r="G113" s="1810">
        <f>MEDIAN((Application!BR809:BR866))</f>
        <v>388000</v>
      </c>
    </row>
    <row r="114" spans="4:9" ht="15" customHeight="1">
      <c r="D114" s="1859"/>
      <c r="E114" s="1858" t="s">
        <v>2467</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28" zoomScaleNormal="100" zoomScaleSheetLayoutView="100" workbookViewId="0">
      <selection activeCell="AB50" sqref="AB50:AF50"/>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51" t="s">
        <v>1467</v>
      </c>
      <c r="B1" s="3451"/>
      <c r="C1" s="3451"/>
      <c r="D1" s="3451"/>
      <c r="E1" s="3451"/>
      <c r="F1" s="3451"/>
      <c r="G1" s="3451"/>
      <c r="H1" s="3451"/>
      <c r="I1" s="3451"/>
      <c r="J1" s="3451"/>
      <c r="K1" s="3451"/>
      <c r="L1" s="3451"/>
      <c r="M1" s="3451"/>
      <c r="N1" s="3451"/>
      <c r="O1" s="3451"/>
      <c r="P1" s="3451"/>
      <c r="Q1" s="3451"/>
      <c r="R1" s="3451"/>
      <c r="S1" s="3451"/>
      <c r="T1" s="3451"/>
      <c r="U1" s="3451"/>
      <c r="V1" s="3451"/>
      <c r="W1" s="3451"/>
      <c r="X1" s="3451"/>
      <c r="Y1" s="3451"/>
      <c r="Z1" s="3451"/>
      <c r="AA1" s="3451"/>
      <c r="AB1" s="3451"/>
      <c r="AC1" s="3451"/>
      <c r="AD1" s="3451"/>
      <c r="AE1" s="3451"/>
      <c r="AF1" s="3451"/>
      <c r="AG1" s="3451"/>
      <c r="AH1" s="3451"/>
      <c r="AI1" s="3451"/>
      <c r="AJ1" s="3451"/>
      <c r="AK1" s="3451"/>
      <c r="AL1" s="3451"/>
      <c r="AM1" s="3451"/>
      <c r="AN1" s="3451"/>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52"/>
      <c r="B2" s="3452"/>
      <c r="C2" s="3452"/>
      <c r="D2" s="3452"/>
      <c r="E2" s="3452"/>
      <c r="F2" s="3452"/>
      <c r="G2" s="3452"/>
      <c r="H2" s="3452"/>
      <c r="I2" s="3452"/>
      <c r="J2" s="3452"/>
      <c r="K2" s="3452"/>
      <c r="L2" s="3452"/>
      <c r="M2" s="3452"/>
      <c r="N2" s="3452"/>
      <c r="O2" s="3452"/>
      <c r="P2" s="3452"/>
      <c r="Q2" s="3452"/>
      <c r="R2" s="3452"/>
      <c r="S2" s="3452"/>
      <c r="T2" s="3452"/>
      <c r="U2" s="3452"/>
      <c r="V2" s="3452"/>
      <c r="W2" s="3452"/>
      <c r="X2" s="3452"/>
      <c r="Y2" s="3452"/>
      <c r="Z2" s="3452"/>
      <c r="AA2" s="3452"/>
      <c r="AB2" s="3452"/>
      <c r="AC2" s="3452"/>
      <c r="AD2" s="3452"/>
      <c r="AE2" s="3452"/>
      <c r="AF2" s="3452"/>
      <c r="AG2" s="3452"/>
      <c r="AH2" s="3452"/>
      <c r="AI2" s="3452"/>
      <c r="AJ2" s="3452"/>
      <c r="AK2" s="3452"/>
      <c r="AL2" s="3452"/>
      <c r="AM2" s="3452"/>
      <c r="AN2" s="3452"/>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6" t="str">
        <f xml:space="preserve"> IF(T25=100%,'Sources and Basis Breakdown'!G2,'Sources and Basis Breakdown'!F2)</f>
        <v>30% PVC for New Const/
Rehabilitation
DDA/QCT
Building(s)</v>
      </c>
      <c r="U7" s="3426"/>
      <c r="V7" s="3426"/>
      <c r="W7" s="3426"/>
      <c r="X7" s="3426"/>
      <c r="Y7" s="3426" t="str">
        <f>IF(T25=100%," ",'Sources and Basis Breakdown'!G2)</f>
        <v>30% PVC for New Const/
Rehabilitation
NON-DDA/
NON-QCT Building(s)</v>
      </c>
      <c r="Z7" s="3426"/>
      <c r="AA7" s="3426"/>
      <c r="AB7" s="3426"/>
      <c r="AC7" s="3426"/>
      <c r="AD7" s="3426" t="str">
        <f xml:space="preserve"> IF(T25=100%, 'Sources and Basis Breakdown'!J2,'Sources and Basis Breakdown'!I2)</f>
        <v>30% PVC for Acquisition
DDA/QCT Building(s)</v>
      </c>
      <c r="AE7" s="3426"/>
      <c r="AF7" s="3426"/>
      <c r="AG7" s="3426"/>
      <c r="AH7" s="3426"/>
      <c r="AI7" s="3426" t="str">
        <f>IF(T25=100%," ",'Sources and Basis Breakdown'!J2)</f>
        <v>30% PVC for Acquisition
NON-DDA/
NON-QCT Building(s)</v>
      </c>
      <c r="AJ7" s="3426"/>
      <c r="AK7" s="3426"/>
      <c r="AL7" s="3426"/>
      <c r="AM7" s="3426"/>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6"/>
      <c r="U8" s="3426"/>
      <c r="V8" s="3426"/>
      <c r="W8" s="3426"/>
      <c r="X8" s="3426"/>
      <c r="Y8" s="3426"/>
      <c r="Z8" s="3426"/>
      <c r="AA8" s="3426"/>
      <c r="AB8" s="3426"/>
      <c r="AC8" s="3426"/>
      <c r="AD8" s="3426"/>
      <c r="AE8" s="3426"/>
      <c r="AF8" s="3426"/>
      <c r="AG8" s="3426"/>
      <c r="AH8" s="3426"/>
      <c r="AI8" s="3426"/>
      <c r="AJ8" s="3426"/>
      <c r="AK8" s="3426"/>
      <c r="AL8" s="3426"/>
      <c r="AM8" s="3426"/>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6"/>
      <c r="U9" s="3426"/>
      <c r="V9" s="3426"/>
      <c r="W9" s="3426"/>
      <c r="X9" s="3426"/>
      <c r="Y9" s="3426"/>
      <c r="Z9" s="3426"/>
      <c r="AA9" s="3426"/>
      <c r="AB9" s="3426"/>
      <c r="AC9" s="3426"/>
      <c r="AD9" s="3426"/>
      <c r="AE9" s="3426"/>
      <c r="AF9" s="3426"/>
      <c r="AG9" s="3426"/>
      <c r="AH9" s="3426"/>
      <c r="AI9" s="3426"/>
      <c r="AJ9" s="3426"/>
      <c r="AK9" s="3426"/>
      <c r="AL9" s="3426"/>
      <c r="AM9" s="3426"/>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6"/>
      <c r="U10" s="3426"/>
      <c r="V10" s="3426"/>
      <c r="W10" s="3426"/>
      <c r="X10" s="3426"/>
      <c r="Y10" s="3426"/>
      <c r="Z10" s="3426"/>
      <c r="AA10" s="3426"/>
      <c r="AB10" s="3426"/>
      <c r="AC10" s="3426"/>
      <c r="AD10" s="3426"/>
      <c r="AE10" s="3426"/>
      <c r="AF10" s="3426"/>
      <c r="AG10" s="3426"/>
      <c r="AH10" s="3426"/>
      <c r="AI10" s="3426"/>
      <c r="AJ10" s="3426"/>
      <c r="AK10" s="3426"/>
      <c r="AL10" s="3426"/>
      <c r="AM10" s="3426"/>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8" t="s">
        <v>389</v>
      </c>
      <c r="C11" s="3409"/>
      <c r="D11" s="3409"/>
      <c r="E11" s="3409"/>
      <c r="F11" s="3409"/>
      <c r="G11" s="3409"/>
      <c r="H11" s="3409"/>
      <c r="I11" s="3409"/>
      <c r="J11" s="3409"/>
      <c r="K11" s="3409"/>
      <c r="L11" s="3409"/>
      <c r="M11" s="3409"/>
      <c r="N11" s="3409"/>
      <c r="O11" s="3409"/>
      <c r="P11" s="3409"/>
      <c r="Q11" s="3409"/>
      <c r="R11" s="3409"/>
      <c r="S11" s="3410"/>
      <c r="T11" s="3453">
        <f>IF('Sources and Basis Breakdown'!F107=0,'Sources and Basis Breakdown'!E107,'Sources and Basis Breakdown'!F107)</f>
        <v>29359319</v>
      </c>
      <c r="U11" s="3454"/>
      <c r="V11" s="3454"/>
      <c r="W11" s="3454"/>
      <c r="X11" s="3454"/>
      <c r="Y11" s="3453">
        <f>IF(Y7=" ",0,IF('Sources and Basis Breakdown'!G107+'Sources and Basis Breakdown'!F107='Sources and Basis Breakdown'!E107,'Sources and Basis Breakdown'!G107,0))</f>
        <v>0</v>
      </c>
      <c r="Z11" s="3454"/>
      <c r="AA11" s="3454"/>
      <c r="AB11" s="3454"/>
      <c r="AC11" s="3454"/>
      <c r="AD11" s="3454">
        <f>IF('Sources and Basis Breakdown'!I107=0,'Sources and Basis Breakdown'!H107,'Sources and Basis Breakdown'!I107)</f>
        <v>0</v>
      </c>
      <c r="AE11" s="3454"/>
      <c r="AF11" s="3454"/>
      <c r="AG11" s="3454"/>
      <c r="AH11" s="3454"/>
      <c r="AI11" s="3454">
        <f>IF(Y7=" ",0,IF('Sources and Basis Breakdown'!I107+'Sources and Basis Breakdown'!J107='Sources and Basis Breakdown'!H107,'Sources and Basis Breakdown'!J107,0))</f>
        <v>0</v>
      </c>
      <c r="AJ11" s="3454"/>
      <c r="AK11" s="3454"/>
      <c r="AL11" s="3454"/>
      <c r="AM11" s="3454"/>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57" t="s">
        <v>522</v>
      </c>
      <c r="C12" s="3458"/>
      <c r="D12" s="3458"/>
      <c r="E12" s="3458"/>
      <c r="F12" s="3458"/>
      <c r="G12" s="3458"/>
      <c r="H12" s="3458"/>
      <c r="I12" s="3458"/>
      <c r="J12" s="3458"/>
      <c r="K12" s="3458"/>
      <c r="L12" s="3458"/>
      <c r="M12" s="3458"/>
      <c r="N12" s="3458"/>
      <c r="O12" s="3458"/>
      <c r="P12" s="3458"/>
      <c r="Q12" s="3458"/>
      <c r="R12" s="3458"/>
      <c r="S12" s="3459"/>
      <c r="T12" s="3446"/>
      <c r="U12" s="3447"/>
      <c r="V12" s="3447"/>
      <c r="W12" s="3447"/>
      <c r="X12" s="3448"/>
      <c r="Y12" s="3446"/>
      <c r="Z12" s="3447"/>
      <c r="AA12" s="3447"/>
      <c r="AB12" s="3447"/>
      <c r="AC12" s="3448"/>
      <c r="AD12" s="3446"/>
      <c r="AE12" s="3447"/>
      <c r="AF12" s="3447"/>
      <c r="AG12" s="3447"/>
      <c r="AH12" s="3448"/>
      <c r="AI12" s="3446"/>
      <c r="AJ12" s="3447"/>
      <c r="AK12" s="3447"/>
      <c r="AL12" s="3447"/>
      <c r="AM12" s="344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60" t="s">
        <v>523</v>
      </c>
      <c r="D13" s="3460"/>
      <c r="E13" s="3460"/>
      <c r="F13" s="3460"/>
      <c r="G13" s="3460"/>
      <c r="H13" s="3460"/>
      <c r="I13" s="3460"/>
      <c r="J13" s="3460"/>
      <c r="K13" s="3460"/>
      <c r="L13" s="3460"/>
      <c r="M13" s="3460"/>
      <c r="N13" s="3460"/>
      <c r="O13" s="3460"/>
      <c r="P13" s="3460"/>
      <c r="Q13" s="3460"/>
      <c r="R13" s="3460"/>
      <c r="S13" s="3461"/>
      <c r="T13" s="3449"/>
      <c r="U13" s="3450"/>
      <c r="V13" s="3450"/>
      <c r="W13" s="3450"/>
      <c r="X13" s="3450"/>
      <c r="Y13" s="3449"/>
      <c r="Z13" s="3450"/>
      <c r="AA13" s="3450"/>
      <c r="AB13" s="3450"/>
      <c r="AC13" s="3450"/>
      <c r="AD13" s="3450"/>
      <c r="AE13" s="3450"/>
      <c r="AF13" s="3450"/>
      <c r="AG13" s="3450"/>
      <c r="AH13" s="3450"/>
      <c r="AI13" s="3450"/>
      <c r="AJ13" s="3450"/>
      <c r="AK13" s="3450"/>
      <c r="AL13" s="3450"/>
      <c r="AM13" s="3450"/>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60" t="s">
        <v>524</v>
      </c>
      <c r="D14" s="3460"/>
      <c r="E14" s="3460"/>
      <c r="F14" s="3460"/>
      <c r="G14" s="3460"/>
      <c r="H14" s="3460"/>
      <c r="I14" s="3460"/>
      <c r="J14" s="3460"/>
      <c r="K14" s="3460"/>
      <c r="L14" s="3460"/>
      <c r="M14" s="3460"/>
      <c r="N14" s="3460"/>
      <c r="O14" s="3460"/>
      <c r="P14" s="3460"/>
      <c r="Q14" s="3460"/>
      <c r="R14" s="3460"/>
      <c r="S14" s="3461"/>
      <c r="T14" s="3435"/>
      <c r="U14" s="3436"/>
      <c r="V14" s="3436"/>
      <c r="W14" s="3436"/>
      <c r="X14" s="3436"/>
      <c r="Y14" s="3435"/>
      <c r="Z14" s="3436"/>
      <c r="AA14" s="3436"/>
      <c r="AB14" s="3436"/>
      <c r="AC14" s="3436"/>
      <c r="AD14" s="3436"/>
      <c r="AE14" s="3436"/>
      <c r="AF14" s="3436"/>
      <c r="AG14" s="3436"/>
      <c r="AH14" s="3436"/>
      <c r="AI14" s="3436"/>
      <c r="AJ14" s="3436"/>
      <c r="AK14" s="3436"/>
      <c r="AL14" s="3436"/>
      <c r="AM14" s="3436"/>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60" t="s">
        <v>525</v>
      </c>
      <c r="D15" s="3460"/>
      <c r="E15" s="3460"/>
      <c r="F15" s="3460"/>
      <c r="G15" s="3460"/>
      <c r="H15" s="3460"/>
      <c r="I15" s="3460"/>
      <c r="J15" s="3460"/>
      <c r="K15" s="3460"/>
      <c r="L15" s="3460"/>
      <c r="M15" s="3460"/>
      <c r="N15" s="3460"/>
      <c r="O15" s="3460"/>
      <c r="P15" s="3460"/>
      <c r="Q15" s="3460"/>
      <c r="R15" s="3460"/>
      <c r="S15" s="3461"/>
      <c r="T15" s="3435"/>
      <c r="U15" s="3436"/>
      <c r="V15" s="3436"/>
      <c r="W15" s="3436"/>
      <c r="X15" s="3436"/>
      <c r="Y15" s="3435"/>
      <c r="Z15" s="3436"/>
      <c r="AA15" s="3436"/>
      <c r="AB15" s="3436"/>
      <c r="AC15" s="3436"/>
      <c r="AD15" s="3436"/>
      <c r="AE15" s="3436"/>
      <c r="AF15" s="3436"/>
      <c r="AG15" s="3436"/>
      <c r="AH15" s="3436"/>
      <c r="AI15" s="3436"/>
      <c r="AJ15" s="3436"/>
      <c r="AK15" s="3436"/>
      <c r="AL15" s="3436"/>
      <c r="AM15" s="3436"/>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60" t="s">
        <v>848</v>
      </c>
      <c r="D16" s="3460"/>
      <c r="E16" s="3460"/>
      <c r="F16" s="3460"/>
      <c r="G16" s="3460"/>
      <c r="H16" s="3460"/>
      <c r="I16" s="3460"/>
      <c r="J16" s="3460"/>
      <c r="K16" s="3460"/>
      <c r="L16" s="3460"/>
      <c r="M16" s="3460"/>
      <c r="N16" s="3460"/>
      <c r="O16" s="3460"/>
      <c r="P16" s="3460"/>
      <c r="Q16" s="3460"/>
      <c r="R16" s="3460"/>
      <c r="S16" s="3461"/>
      <c r="T16" s="3435"/>
      <c r="U16" s="3436"/>
      <c r="V16" s="3436"/>
      <c r="W16" s="3436"/>
      <c r="X16" s="3436"/>
      <c r="Y16" s="3435"/>
      <c r="Z16" s="3436"/>
      <c r="AA16" s="3436"/>
      <c r="AB16" s="3436"/>
      <c r="AC16" s="3436"/>
      <c r="AD16" s="3436"/>
      <c r="AE16" s="3436"/>
      <c r="AF16" s="3436"/>
      <c r="AG16" s="3436"/>
      <c r="AH16" s="3436"/>
      <c r="AI16" s="3436"/>
      <c r="AJ16" s="3436"/>
      <c r="AK16" s="3436"/>
      <c r="AL16" s="3436"/>
      <c r="AM16" s="3436"/>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60" t="s">
        <v>526</v>
      </c>
      <c r="D17" s="3460"/>
      <c r="E17" s="3460"/>
      <c r="F17" s="3460"/>
      <c r="G17" s="3460"/>
      <c r="H17" s="3460"/>
      <c r="I17" s="3460"/>
      <c r="J17" s="3460"/>
      <c r="K17" s="3460"/>
      <c r="L17" s="3460"/>
      <c r="M17" s="3460"/>
      <c r="N17" s="3460"/>
      <c r="O17" s="3460"/>
      <c r="P17" s="3460"/>
      <c r="Q17" s="3460"/>
      <c r="R17" s="3460"/>
      <c r="S17" s="3461"/>
      <c r="T17" s="3435"/>
      <c r="U17" s="3436"/>
      <c r="V17" s="3436"/>
      <c r="W17" s="3436"/>
      <c r="X17" s="3436"/>
      <c r="Y17" s="3435"/>
      <c r="Z17" s="3436"/>
      <c r="AA17" s="3436"/>
      <c r="AB17" s="3436"/>
      <c r="AC17" s="3436"/>
      <c r="AD17" s="3436"/>
      <c r="AE17" s="3436"/>
      <c r="AF17" s="3436"/>
      <c r="AG17" s="3436"/>
      <c r="AH17" s="3436"/>
      <c r="AI17" s="3436"/>
      <c r="AJ17" s="3436"/>
      <c r="AK17" s="3436"/>
      <c r="AL17" s="3436"/>
      <c r="AM17" s="3436"/>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55" t="s">
        <v>1019</v>
      </c>
      <c r="D18" s="3455"/>
      <c r="E18" s="3455"/>
      <c r="F18" s="3455"/>
      <c r="G18" s="3455"/>
      <c r="H18" s="3455"/>
      <c r="I18" s="3455"/>
      <c r="J18" s="3455"/>
      <c r="K18" s="3455"/>
      <c r="L18" s="3455"/>
      <c r="M18" s="3455"/>
      <c r="N18" s="3455"/>
      <c r="O18" s="3455"/>
      <c r="P18" s="3455"/>
      <c r="Q18" s="3455"/>
      <c r="R18" s="3455"/>
      <c r="S18" s="3456"/>
      <c r="T18" s="3435"/>
      <c r="U18" s="3436"/>
      <c r="V18" s="3436"/>
      <c r="W18" s="3436"/>
      <c r="X18" s="3436"/>
      <c r="Y18" s="3435"/>
      <c r="Z18" s="3436"/>
      <c r="AA18" s="3436"/>
      <c r="AB18" s="3436"/>
      <c r="AC18" s="3436"/>
      <c r="AD18" s="3436"/>
      <c r="AE18" s="3436"/>
      <c r="AF18" s="3436"/>
      <c r="AG18" s="3436"/>
      <c r="AH18" s="3436"/>
      <c r="AI18" s="3436"/>
      <c r="AJ18" s="3436"/>
      <c r="AK18" s="3436"/>
      <c r="AL18" s="3436"/>
      <c r="AM18" s="3436"/>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55" t="s">
        <v>1019</v>
      </c>
      <c r="D19" s="3455"/>
      <c r="E19" s="3455"/>
      <c r="F19" s="3455"/>
      <c r="G19" s="3455"/>
      <c r="H19" s="3455"/>
      <c r="I19" s="3455"/>
      <c r="J19" s="3455"/>
      <c r="K19" s="3455"/>
      <c r="L19" s="3455"/>
      <c r="M19" s="3455"/>
      <c r="N19" s="3455"/>
      <c r="O19" s="3455"/>
      <c r="P19" s="3455"/>
      <c r="Q19" s="3455"/>
      <c r="R19" s="3455"/>
      <c r="S19" s="3456"/>
      <c r="T19" s="3435"/>
      <c r="U19" s="3436"/>
      <c r="V19" s="3436"/>
      <c r="W19" s="3436"/>
      <c r="X19" s="3436"/>
      <c r="Y19" s="3435"/>
      <c r="Z19" s="3436"/>
      <c r="AA19" s="3436"/>
      <c r="AB19" s="3436"/>
      <c r="AC19" s="3436"/>
      <c r="AD19" s="3436"/>
      <c r="AE19" s="3436"/>
      <c r="AF19" s="3436"/>
      <c r="AG19" s="3436"/>
      <c r="AH19" s="3436"/>
      <c r="AI19" s="3436"/>
      <c r="AJ19" s="3436"/>
      <c r="AK19" s="3436"/>
      <c r="AL19" s="3436"/>
      <c r="AM19" s="3436"/>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8" t="s">
        <v>527</v>
      </c>
      <c r="C20" s="3409"/>
      <c r="D20" s="3409"/>
      <c r="E20" s="3409"/>
      <c r="F20" s="3409"/>
      <c r="G20" s="3409"/>
      <c r="H20" s="3409"/>
      <c r="I20" s="3409"/>
      <c r="J20" s="3409"/>
      <c r="K20" s="3409"/>
      <c r="L20" s="3409"/>
      <c r="M20" s="3409"/>
      <c r="N20" s="3409"/>
      <c r="O20" s="3409"/>
      <c r="P20" s="3409"/>
      <c r="Q20" s="3409"/>
      <c r="R20" s="3409"/>
      <c r="S20" s="3410"/>
      <c r="T20" s="3425">
        <f>SUM(T13:X19)</f>
        <v>0</v>
      </c>
      <c r="U20" s="3428"/>
      <c r="V20" s="3428"/>
      <c r="W20" s="3428"/>
      <c r="X20" s="3428"/>
      <c r="Y20" s="3425">
        <f>SUM(Y13:AC19)</f>
        <v>0</v>
      </c>
      <c r="Z20" s="3428"/>
      <c r="AA20" s="3428"/>
      <c r="AB20" s="3428"/>
      <c r="AC20" s="3428"/>
      <c r="AD20" s="3423">
        <f>SUM(AD13:AH19)</f>
        <v>0</v>
      </c>
      <c r="AE20" s="3424"/>
      <c r="AF20" s="3424"/>
      <c r="AG20" s="3424"/>
      <c r="AH20" s="3425"/>
      <c r="AI20" s="3423">
        <f>SUM(AI13:AM19)</f>
        <v>0</v>
      </c>
      <c r="AJ20" s="3424"/>
      <c r="AK20" s="3424"/>
      <c r="AL20" s="3424"/>
      <c r="AM20" s="342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8" t="s">
        <v>1443</v>
      </c>
      <c r="C21" s="3409"/>
      <c r="D21" s="3409"/>
      <c r="E21" s="3409"/>
      <c r="F21" s="3409"/>
      <c r="G21" s="3409"/>
      <c r="H21" s="3409"/>
      <c r="I21" s="3409"/>
      <c r="J21" s="3409"/>
      <c r="K21" s="3409"/>
      <c r="L21" s="3409"/>
      <c r="M21" s="3409"/>
      <c r="N21" s="3409"/>
      <c r="O21" s="3409"/>
      <c r="P21" s="3409"/>
      <c r="Q21" s="3409"/>
      <c r="R21" s="3409"/>
      <c r="S21" s="3410"/>
      <c r="T21" s="3435"/>
      <c r="U21" s="3436"/>
      <c r="V21" s="3436"/>
      <c r="W21" s="3436"/>
      <c r="X21" s="3436"/>
      <c r="Y21" s="3435"/>
      <c r="Z21" s="3436"/>
      <c r="AA21" s="3436"/>
      <c r="AB21" s="3436"/>
      <c r="AC21" s="3436"/>
      <c r="AD21" s="3446"/>
      <c r="AE21" s="3447"/>
      <c r="AF21" s="3447"/>
      <c r="AG21" s="3447"/>
      <c r="AH21" s="3448"/>
      <c r="AI21" s="3446"/>
      <c r="AJ21" s="3447"/>
      <c r="AK21" s="3447"/>
      <c r="AL21" s="3447"/>
      <c r="AM21" s="344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8" t="s">
        <v>528</v>
      </c>
      <c r="C22" s="3409"/>
      <c r="D22" s="3409"/>
      <c r="E22" s="3409"/>
      <c r="F22" s="3409"/>
      <c r="G22" s="3409"/>
      <c r="H22" s="3409"/>
      <c r="I22" s="3409"/>
      <c r="J22" s="3409"/>
      <c r="K22" s="3409"/>
      <c r="L22" s="3409"/>
      <c r="M22" s="3409"/>
      <c r="N22" s="3409"/>
      <c r="O22" s="3409"/>
      <c r="P22" s="3409"/>
      <c r="Q22" s="3409"/>
      <c r="R22" s="3409"/>
      <c r="S22" s="3410"/>
      <c r="T22" s="3431">
        <f>(T20+T21)*-1</f>
        <v>0</v>
      </c>
      <c r="U22" s="3432"/>
      <c r="V22" s="3432"/>
      <c r="W22" s="3432"/>
      <c r="X22" s="3432"/>
      <c r="Y22" s="3431">
        <f>(Y20+Y21)*-1</f>
        <v>0</v>
      </c>
      <c r="Z22" s="3432"/>
      <c r="AA22" s="3432"/>
      <c r="AB22" s="3432"/>
      <c r="AC22" s="3432"/>
      <c r="AD22" s="3433">
        <f>(AD20)*-1</f>
        <v>0</v>
      </c>
      <c r="AE22" s="3434"/>
      <c r="AF22" s="3434"/>
      <c r="AG22" s="3434"/>
      <c r="AH22" s="3431"/>
      <c r="AI22" s="3433">
        <f>(AI20)*-1</f>
        <v>0</v>
      </c>
      <c r="AJ22" s="3434"/>
      <c r="AK22" s="3434"/>
      <c r="AL22" s="3434"/>
      <c r="AM22" s="3431"/>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64" t="s">
        <v>529</v>
      </c>
      <c r="C23" s="3465"/>
      <c r="D23" s="3465"/>
      <c r="E23" s="3465"/>
      <c r="F23" s="3465"/>
      <c r="G23" s="3465"/>
      <c r="H23" s="3465"/>
      <c r="I23" s="3465"/>
      <c r="J23" s="3465"/>
      <c r="K23" s="3465"/>
      <c r="L23" s="3465"/>
      <c r="M23" s="3465"/>
      <c r="N23" s="3465"/>
      <c r="O23" s="3465"/>
      <c r="P23" s="3465"/>
      <c r="Q23" s="3465"/>
      <c r="R23" s="3465"/>
      <c r="S23" s="3466"/>
      <c r="T23" s="3425">
        <f>T11+T22</f>
        <v>29359319</v>
      </c>
      <c r="U23" s="3428"/>
      <c r="V23" s="3428"/>
      <c r="W23" s="3428"/>
      <c r="X23" s="3428"/>
      <c r="Y23" s="3425">
        <f>Y11+Y22</f>
        <v>0</v>
      </c>
      <c r="Z23" s="3428"/>
      <c r="AA23" s="3428"/>
      <c r="AB23" s="3428"/>
      <c r="AC23" s="3428"/>
      <c r="AD23" s="3425">
        <f>AD11+AD22</f>
        <v>0</v>
      </c>
      <c r="AE23" s="3428"/>
      <c r="AF23" s="3428"/>
      <c r="AG23" s="3428"/>
      <c r="AH23" s="3428"/>
      <c r="AI23" s="3425">
        <f>AI11+AI22</f>
        <v>0</v>
      </c>
      <c r="AJ23" s="3428"/>
      <c r="AK23" s="3428"/>
      <c r="AL23" s="3428"/>
      <c r="AM23" s="3428"/>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8" t="s">
        <v>1020</v>
      </c>
      <c r="C24" s="3409"/>
      <c r="D24" s="3409"/>
      <c r="E24" s="3409"/>
      <c r="F24" s="3409"/>
      <c r="G24" s="3409"/>
      <c r="H24" s="3409"/>
      <c r="I24" s="3409"/>
      <c r="J24" s="3409"/>
      <c r="K24" s="3409"/>
      <c r="L24" s="3409"/>
      <c r="M24" s="3409"/>
      <c r="N24" s="3409"/>
      <c r="O24" s="3409"/>
      <c r="P24" s="3409"/>
      <c r="Q24" s="3409"/>
      <c r="R24" s="3409"/>
      <c r="S24" s="3410"/>
      <c r="T24" s="3423">
        <f>Application!AJ1032</f>
        <v>49044088.400000006</v>
      </c>
      <c r="U24" s="3424"/>
      <c r="V24" s="3424"/>
      <c r="W24" s="3424"/>
      <c r="X24" s="3424"/>
      <c r="Y24" s="3424"/>
      <c r="Z24" s="3424"/>
      <c r="AA24" s="3424"/>
      <c r="AB24" s="3424"/>
      <c r="AC24" s="3424"/>
      <c r="AD24" s="3424"/>
      <c r="AE24" s="3424"/>
      <c r="AF24" s="3424"/>
      <c r="AG24" s="3424"/>
      <c r="AH24" s="3424"/>
      <c r="AI24" s="3424"/>
      <c r="AJ24" s="3424"/>
      <c r="AK24" s="3424"/>
      <c r="AL24" s="3424"/>
      <c r="AM24" s="342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67" t="s">
        <v>1444</v>
      </c>
      <c r="C25" s="3468"/>
      <c r="D25" s="3468"/>
      <c r="E25" s="3468"/>
      <c r="F25" s="3468"/>
      <c r="G25" s="3468"/>
      <c r="H25" s="3468"/>
      <c r="I25" s="3468"/>
      <c r="J25" s="3468"/>
      <c r="K25" s="3468"/>
      <c r="L25" s="3468"/>
      <c r="M25" s="3468"/>
      <c r="N25" s="3468"/>
      <c r="O25" s="3468"/>
      <c r="P25" s="3468"/>
      <c r="Q25" s="3468"/>
      <c r="R25" s="3468"/>
      <c r="S25" s="3469"/>
      <c r="T25" s="3441">
        <f>IF(OR(Application!T195="yes",Application!T194="yes"),1.3,1)</f>
        <v>1.3</v>
      </c>
      <c r="U25" s="3442"/>
      <c r="V25" s="3442"/>
      <c r="W25" s="3442"/>
      <c r="X25" s="3442"/>
      <c r="Y25" s="3441">
        <v>1</v>
      </c>
      <c r="Z25" s="3442"/>
      <c r="AA25" s="3442"/>
      <c r="AB25" s="3442"/>
      <c r="AC25" s="3442"/>
      <c r="AD25" s="3441">
        <v>1</v>
      </c>
      <c r="AE25" s="3442"/>
      <c r="AF25" s="3442"/>
      <c r="AG25" s="3442"/>
      <c r="AH25" s="3443"/>
      <c r="AI25" s="3441">
        <v>1</v>
      </c>
      <c r="AJ25" s="3442"/>
      <c r="AK25" s="3442"/>
      <c r="AL25" s="3442"/>
      <c r="AM25" s="3443"/>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8" t="s">
        <v>530</v>
      </c>
      <c r="C26" s="3409"/>
      <c r="D26" s="3409"/>
      <c r="E26" s="3409"/>
      <c r="F26" s="3409"/>
      <c r="G26" s="3409"/>
      <c r="H26" s="3409"/>
      <c r="I26" s="3409"/>
      <c r="J26" s="3409"/>
      <c r="K26" s="3409"/>
      <c r="L26" s="3409"/>
      <c r="M26" s="3409"/>
      <c r="N26" s="3409"/>
      <c r="O26" s="3409"/>
      <c r="P26" s="3409"/>
      <c r="Q26" s="3409"/>
      <c r="R26" s="3409"/>
      <c r="S26" s="3410"/>
      <c r="T26" s="3444">
        <f>T23*T25</f>
        <v>38167114.700000003</v>
      </c>
      <c r="U26" s="3445"/>
      <c r="V26" s="3445"/>
      <c r="W26" s="3445"/>
      <c r="X26" s="3445"/>
      <c r="Y26" s="3444">
        <f>Y23*Y25</f>
        <v>0</v>
      </c>
      <c r="Z26" s="3445"/>
      <c r="AA26" s="3445"/>
      <c r="AB26" s="3445"/>
      <c r="AC26" s="3445"/>
      <c r="AD26" s="3444">
        <f>AD23*AD25</f>
        <v>0</v>
      </c>
      <c r="AE26" s="3445"/>
      <c r="AF26" s="3445"/>
      <c r="AG26" s="3445"/>
      <c r="AH26" s="3445"/>
      <c r="AI26" s="3444">
        <f>AI23*AI25</f>
        <v>0</v>
      </c>
      <c r="AJ26" s="3445"/>
      <c r="AK26" s="3445"/>
      <c r="AL26" s="3445"/>
      <c r="AM26" s="3445"/>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70" t="s">
        <v>442</v>
      </c>
      <c r="C27" s="3471"/>
      <c r="D27" s="3471"/>
      <c r="E27" s="3471"/>
      <c r="F27" s="3471"/>
      <c r="G27" s="3471"/>
      <c r="H27" s="3471"/>
      <c r="I27" s="3471"/>
      <c r="J27" s="3471"/>
      <c r="K27" s="3471"/>
      <c r="L27" s="3471"/>
      <c r="M27" s="3471"/>
      <c r="N27" s="3471"/>
      <c r="O27" s="3471"/>
      <c r="P27" s="3471"/>
      <c r="Q27" s="3471"/>
      <c r="R27" s="3471"/>
      <c r="S27" s="3472"/>
      <c r="T27" s="3439">
        <f>Application!$AG$444</f>
        <v>1</v>
      </c>
      <c r="U27" s="3440"/>
      <c r="V27" s="3440"/>
      <c r="W27" s="3440"/>
      <c r="X27" s="3440"/>
      <c r="Y27" s="3439">
        <f>Application!$AG$444</f>
        <v>1</v>
      </c>
      <c r="Z27" s="3440"/>
      <c r="AA27" s="3440"/>
      <c r="AB27" s="3440"/>
      <c r="AC27" s="3440"/>
      <c r="AD27" s="3439">
        <f>Application!$AG$444</f>
        <v>1</v>
      </c>
      <c r="AE27" s="3440"/>
      <c r="AF27" s="3440"/>
      <c r="AG27" s="3440"/>
      <c r="AH27" s="3440"/>
      <c r="AI27" s="3439">
        <f>Application!$AG$444</f>
        <v>1</v>
      </c>
      <c r="AJ27" s="3440"/>
      <c r="AK27" s="3440"/>
      <c r="AL27" s="3440"/>
      <c r="AM27" s="344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8" t="s">
        <v>531</v>
      </c>
      <c r="C28" s="3409"/>
      <c r="D28" s="3409"/>
      <c r="E28" s="3409"/>
      <c r="F28" s="3409"/>
      <c r="G28" s="3409"/>
      <c r="H28" s="3409"/>
      <c r="I28" s="3409"/>
      <c r="J28" s="3409"/>
      <c r="K28" s="3409"/>
      <c r="L28" s="3409"/>
      <c r="M28" s="3409"/>
      <c r="N28" s="3409"/>
      <c r="O28" s="3409"/>
      <c r="P28" s="3409"/>
      <c r="Q28" s="3409"/>
      <c r="R28" s="3409"/>
      <c r="S28" s="3410"/>
      <c r="T28" s="3437">
        <f>IF(ISERROR((T26*T27)),0,(T26*T27))</f>
        <v>38167114.700000003</v>
      </c>
      <c r="U28" s="3438"/>
      <c r="V28" s="3438"/>
      <c r="W28" s="3438"/>
      <c r="X28" s="3438"/>
      <c r="Y28" s="3437">
        <f>IF(ISERROR((Y26*Y27)),0,(Y26*Y27))</f>
        <v>0</v>
      </c>
      <c r="Z28" s="3438"/>
      <c r="AA28" s="3438"/>
      <c r="AB28" s="3438"/>
      <c r="AC28" s="3438"/>
      <c r="AD28" s="3437">
        <f>IF(ISERROR((AD26*AD27)),0,(AD26*AD27))</f>
        <v>0</v>
      </c>
      <c r="AE28" s="3438"/>
      <c r="AF28" s="3438"/>
      <c r="AG28" s="3438"/>
      <c r="AH28" s="3438"/>
      <c r="AI28" s="3437">
        <f>IF(ISERROR((AI26*AI27)),0,(AI26*AI27))</f>
        <v>0</v>
      </c>
      <c r="AJ28" s="3438"/>
      <c r="AK28" s="3438"/>
      <c r="AL28" s="3438"/>
      <c r="AM28" s="3438"/>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8" t="s">
        <v>548</v>
      </c>
      <c r="C29" s="3409"/>
      <c r="D29" s="3409"/>
      <c r="E29" s="3409"/>
      <c r="F29" s="3409"/>
      <c r="G29" s="3409"/>
      <c r="H29" s="3409"/>
      <c r="I29" s="3409"/>
      <c r="J29" s="3409"/>
      <c r="K29" s="3409"/>
      <c r="L29" s="3409"/>
      <c r="M29" s="3409"/>
      <c r="N29" s="3409"/>
      <c r="O29" s="3409"/>
      <c r="P29" s="3409"/>
      <c r="Q29" s="3409"/>
      <c r="R29" s="3409"/>
      <c r="S29" s="3410"/>
      <c r="T29" s="3423">
        <f>T28+Y28+AD28+AI28</f>
        <v>38167114.700000003</v>
      </c>
      <c r="U29" s="3424"/>
      <c r="V29" s="3424"/>
      <c r="W29" s="3424"/>
      <c r="X29" s="3424"/>
      <c r="Y29" s="3424"/>
      <c r="Z29" s="3424"/>
      <c r="AA29" s="3424"/>
      <c r="AB29" s="3424"/>
      <c r="AC29" s="3424"/>
      <c r="AD29" s="3424"/>
      <c r="AE29" s="3424"/>
      <c r="AF29" s="3424"/>
      <c r="AG29" s="3424"/>
      <c r="AH29" s="3424"/>
      <c r="AI29" s="3424"/>
      <c r="AJ29" s="3424"/>
      <c r="AK29" s="3424"/>
      <c r="AL29" s="3424"/>
      <c r="AM29" s="342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30" t="s">
        <v>1446</v>
      </c>
      <c r="C30" s="3430"/>
      <c r="D30" s="3430"/>
      <c r="E30" s="3430"/>
      <c r="F30" s="3430"/>
      <c r="G30" s="3430"/>
      <c r="H30" s="3430"/>
      <c r="I30" s="3430"/>
      <c r="J30" s="3430"/>
      <c r="K30" s="3430"/>
      <c r="L30" s="3430"/>
      <c r="M30" s="3430"/>
      <c r="N30" s="3430"/>
      <c r="O30" s="3430"/>
      <c r="P30" s="3430"/>
      <c r="Q30" s="3430"/>
      <c r="R30" s="3430"/>
      <c r="S30" s="3430"/>
      <c r="T30" s="3430"/>
      <c r="U30" s="3430"/>
      <c r="V30" s="3430"/>
      <c r="W30" s="3430"/>
      <c r="X30" s="3430"/>
      <c r="Y30" s="3430"/>
      <c r="Z30" s="3430"/>
      <c r="AA30" s="3430"/>
      <c r="AB30" s="3430"/>
      <c r="AC30" s="3430"/>
      <c r="AD30" s="3430"/>
      <c r="AE30" s="3430"/>
      <c r="AF30" s="3430"/>
      <c r="AG30" s="3430"/>
      <c r="AH30" s="3430"/>
      <c r="AI30" s="3430"/>
      <c r="AJ30" s="3430"/>
      <c r="AK30" s="3430"/>
      <c r="AL30" s="3430"/>
      <c r="AM30" s="3430"/>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30" t="s">
        <v>1445</v>
      </c>
      <c r="C31" s="3430"/>
      <c r="D31" s="3430"/>
      <c r="E31" s="3430"/>
      <c r="F31" s="3430"/>
      <c r="G31" s="3430"/>
      <c r="H31" s="3430"/>
      <c r="I31" s="3430"/>
      <c r="J31" s="3430"/>
      <c r="K31" s="3430"/>
      <c r="L31" s="3430"/>
      <c r="M31" s="3430"/>
      <c r="N31" s="3430"/>
      <c r="O31" s="3430"/>
      <c r="P31" s="3430"/>
      <c r="Q31" s="3430"/>
      <c r="R31" s="3430"/>
      <c r="S31" s="3430"/>
      <c r="T31" s="3430"/>
      <c r="U31" s="3430"/>
      <c r="V31" s="3430"/>
      <c r="W31" s="3430"/>
      <c r="X31" s="3430"/>
      <c r="Y31" s="3430"/>
      <c r="Z31" s="3430"/>
      <c r="AA31" s="3430"/>
      <c r="AB31" s="3430"/>
      <c r="AC31" s="3430"/>
      <c r="AD31" s="3430"/>
      <c r="AE31" s="3430"/>
      <c r="AF31" s="3430"/>
      <c r="AG31" s="3430"/>
      <c r="AH31" s="3430"/>
      <c r="AI31" s="3430"/>
      <c r="AJ31" s="3430"/>
      <c r="AK31" s="3430"/>
      <c r="AL31" s="3430"/>
      <c r="AM31" s="3430"/>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6" t="s">
        <v>1314</v>
      </c>
      <c r="Z35" s="3426"/>
      <c r="AA35" s="3426"/>
      <c r="AB35" s="3426"/>
      <c r="AC35" s="3426"/>
      <c r="AD35" s="3427" t="s">
        <v>376</v>
      </c>
      <c r="AE35" s="3427"/>
      <c r="AF35" s="3427"/>
      <c r="AG35" s="3427"/>
      <c r="AH35" s="342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6"/>
      <c r="Z36" s="3426"/>
      <c r="AA36" s="3426"/>
      <c r="AB36" s="3426"/>
      <c r="AC36" s="3426"/>
      <c r="AD36" s="3427"/>
      <c r="AE36" s="3427"/>
      <c r="AF36" s="3427"/>
      <c r="AG36" s="3427"/>
      <c r="AH36" s="342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6"/>
      <c r="Z37" s="3426"/>
      <c r="AA37" s="3426"/>
      <c r="AB37" s="3426"/>
      <c r="AC37" s="3426"/>
      <c r="AD37" s="3427"/>
      <c r="AE37" s="3427"/>
      <c r="AF37" s="3427"/>
      <c r="AG37" s="3427"/>
      <c r="AH37" s="342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8" t="s">
        <v>531</v>
      </c>
      <c r="C38" s="3409"/>
      <c r="D38" s="3409"/>
      <c r="E38" s="3409"/>
      <c r="F38" s="3409"/>
      <c r="G38" s="3409"/>
      <c r="H38" s="3409"/>
      <c r="I38" s="3409"/>
      <c r="J38" s="3409"/>
      <c r="K38" s="3409"/>
      <c r="L38" s="3409"/>
      <c r="M38" s="3409"/>
      <c r="N38" s="3409"/>
      <c r="O38" s="3409"/>
      <c r="P38" s="3409"/>
      <c r="Q38" s="3409"/>
      <c r="R38" s="3409"/>
      <c r="S38" s="3409"/>
      <c r="T38" s="3409"/>
      <c r="U38" s="3409"/>
      <c r="V38" s="3409"/>
      <c r="W38" s="3409"/>
      <c r="X38" s="3410"/>
      <c r="Y38" s="3428">
        <f>IF(T24&gt;=(T23+Y23+AD23+AI23),T28+Y28,0)</f>
        <v>38167114.700000003</v>
      </c>
      <c r="Z38" s="3428"/>
      <c r="AA38" s="3428"/>
      <c r="AB38" s="3428"/>
      <c r="AC38" s="3428"/>
      <c r="AD38" s="3428">
        <f>IF(T24&gt;=(T23+Y23+AD23+AI23),AD28+AI28,0)</f>
        <v>0</v>
      </c>
      <c r="AE38" s="3428"/>
      <c r="AF38" s="3428"/>
      <c r="AG38" s="3428"/>
      <c r="AH38" s="3428"/>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8" t="s">
        <v>2004</v>
      </c>
      <c r="C39" s="3409"/>
      <c r="D39" s="3409"/>
      <c r="E39" s="3409"/>
      <c r="F39" s="3409"/>
      <c r="G39" s="3409"/>
      <c r="H39" s="3409"/>
      <c r="I39" s="3409"/>
      <c r="J39" s="3409"/>
      <c r="K39" s="3409"/>
      <c r="L39" s="3409"/>
      <c r="M39" s="3409"/>
      <c r="N39" s="3409"/>
      <c r="O39" s="3409"/>
      <c r="P39" s="3409"/>
      <c r="Q39" s="3409"/>
      <c r="R39" s="3409"/>
      <c r="S39" s="3409"/>
      <c r="T39" s="3409"/>
      <c r="U39" s="3409"/>
      <c r="V39" s="3409"/>
      <c r="W39" s="3409"/>
      <c r="X39" s="3410"/>
      <c r="Y39" s="3429">
        <v>0.04</v>
      </c>
      <c r="Z39" s="3429"/>
      <c r="AA39" s="3429"/>
      <c r="AB39" s="3429"/>
      <c r="AC39" s="3429"/>
      <c r="AD39" s="3429">
        <v>0.04</v>
      </c>
      <c r="AE39" s="3429"/>
      <c r="AF39" s="3429"/>
      <c r="AG39" s="3429"/>
      <c r="AH39" s="3429"/>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8" t="s">
        <v>668</v>
      </c>
      <c r="C40" s="3409"/>
      <c r="D40" s="3409"/>
      <c r="E40" s="3409"/>
      <c r="F40" s="3409"/>
      <c r="G40" s="3409"/>
      <c r="H40" s="3409"/>
      <c r="I40" s="3409"/>
      <c r="J40" s="3409"/>
      <c r="K40" s="3409"/>
      <c r="L40" s="3409"/>
      <c r="M40" s="3409"/>
      <c r="N40" s="3409"/>
      <c r="O40" s="3409"/>
      <c r="P40" s="3409"/>
      <c r="Q40" s="3409"/>
      <c r="R40" s="3409"/>
      <c r="S40" s="3409"/>
      <c r="T40" s="3409"/>
      <c r="U40" s="3409"/>
      <c r="V40" s="3409"/>
      <c r="W40" s="3409"/>
      <c r="X40" s="3410"/>
      <c r="Y40" s="3428">
        <f>ROUND(Y38*Y39,0)</f>
        <v>1526685</v>
      </c>
      <c r="Z40" s="3428"/>
      <c r="AA40" s="3428"/>
      <c r="AB40" s="3428"/>
      <c r="AC40" s="3428"/>
      <c r="AD40" s="3425">
        <f>ROUND(AD38*AD39,0)</f>
        <v>0</v>
      </c>
      <c r="AE40" s="3428"/>
      <c r="AF40" s="3428"/>
      <c r="AG40" s="3428"/>
      <c r="AH40" s="3428"/>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8" t="s">
        <v>669</v>
      </c>
      <c r="C41" s="3409"/>
      <c r="D41" s="3409"/>
      <c r="E41" s="3409"/>
      <c r="F41" s="3409"/>
      <c r="G41" s="3409"/>
      <c r="H41" s="3409"/>
      <c r="I41" s="3409"/>
      <c r="J41" s="3409"/>
      <c r="K41" s="3409"/>
      <c r="L41" s="3409"/>
      <c r="M41" s="3409"/>
      <c r="N41" s="3409"/>
      <c r="O41" s="3409"/>
      <c r="P41" s="3409"/>
      <c r="Q41" s="3409"/>
      <c r="R41" s="3409"/>
      <c r="S41" s="3409"/>
      <c r="T41" s="3409"/>
      <c r="U41" s="3409"/>
      <c r="V41" s="3409"/>
      <c r="W41" s="3409"/>
      <c r="X41" s="3410"/>
      <c r="Y41" s="3473">
        <f>Y40+AD40</f>
        <v>1526685</v>
      </c>
      <c r="Z41" s="3474"/>
      <c r="AA41" s="3474"/>
      <c r="AB41" s="3474"/>
      <c r="AC41" s="3474"/>
      <c r="AD41" s="3474"/>
      <c r="AE41" s="3474"/>
      <c r="AF41" s="3474"/>
      <c r="AG41" s="3474"/>
      <c r="AH41" s="347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22" t="s">
        <v>1457</v>
      </c>
      <c r="B44" s="3422"/>
      <c r="C44" s="3422"/>
      <c r="D44" s="3422"/>
      <c r="E44" s="3422"/>
      <c r="F44" s="3422"/>
      <c r="G44" s="3422"/>
      <c r="H44" s="3422"/>
      <c r="I44" s="3422"/>
      <c r="J44" s="3422"/>
      <c r="K44" s="3422"/>
      <c r="L44" s="3422"/>
      <c r="M44" s="3422"/>
      <c r="N44" s="3422"/>
      <c r="O44" s="3422"/>
      <c r="P44" s="3422"/>
      <c r="Q44" s="3422"/>
      <c r="R44" s="3422"/>
      <c r="S44" s="3422"/>
      <c r="T44" s="3422"/>
      <c r="U44" s="3422"/>
      <c r="V44" s="3422"/>
      <c r="W44" s="3422"/>
      <c r="X44" s="3422"/>
      <c r="Y44" s="3422"/>
      <c r="Z44" s="3422"/>
      <c r="AA44" s="3422"/>
      <c r="AB44" s="3422"/>
      <c r="AC44" s="3422"/>
      <c r="AD44" s="3422"/>
      <c r="AE44" s="3422"/>
      <c r="AF44" s="3422"/>
      <c r="AG44" s="3422"/>
      <c r="AH44" s="3422"/>
      <c r="AI44" s="3422"/>
      <c r="AJ44" s="3422"/>
      <c r="AK44" s="3422"/>
      <c r="AL44" s="3422"/>
      <c r="AM44" s="3422"/>
      <c r="AN44" s="3422"/>
      <c r="AO44" s="3422"/>
      <c r="AP44" s="3422"/>
      <c r="AQ44" s="3422"/>
      <c r="AR44" s="3422"/>
      <c r="AS44" s="3422"/>
      <c r="AT44" s="3422"/>
      <c r="AU44" s="3422"/>
      <c r="AV44" s="3422"/>
      <c r="AW44" s="3422"/>
      <c r="AX44" s="3422"/>
      <c r="AY44" s="3422"/>
      <c r="AZ44" s="3422"/>
      <c r="BA44" s="3422"/>
      <c r="BB44" s="3422"/>
      <c r="BC44" s="3422"/>
      <c r="BD44" s="3422"/>
      <c r="BE44" s="3422"/>
      <c r="BF44" s="3422"/>
      <c r="BG44" s="3422"/>
      <c r="BH44" s="3422"/>
      <c r="BI44" s="3422"/>
      <c r="BJ44" s="3422"/>
      <c r="BK44" s="3422"/>
      <c r="BL44" s="3422"/>
      <c r="BM44" s="3422"/>
      <c r="BN44" s="3422"/>
      <c r="BO44" s="3422"/>
      <c r="BP44" s="3422"/>
      <c r="BQ44" s="3422"/>
      <c r="BR44" s="3422"/>
      <c r="BS44" s="3422"/>
      <c r="BT44" s="3422"/>
      <c r="BU44" s="3422"/>
      <c r="BV44" s="3422"/>
      <c r="BW44" s="3422"/>
      <c r="BX44" s="342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6">
        <f>'Sources and Uses Budget'!B105-MAX(IF('Sources and Uses Budget'!B15="",0,'Sources and Uses Budget'!B15),IF(Application!AG393="",0,Application!AG393))</f>
        <v>34728727</v>
      </c>
      <c r="AC47" s="3417"/>
      <c r="AD47" s="3417"/>
      <c r="AE47" s="3417"/>
      <c r="AF47" s="341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6">
        <f>Application!AO649-MAX(IF('Sources and Uses Budget'!B15="",0,'Sources and Uses Budget'!B15),IF(Application!AG393="",0,Application!AG393))</f>
        <v>20756392</v>
      </c>
      <c r="AC48" s="3417"/>
      <c r="AD48" s="3417"/>
      <c r="AE48" s="3417"/>
      <c r="AF48" s="341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6">
        <f>AB47-AB48</f>
        <v>13972335</v>
      </c>
      <c r="AC49" s="3417"/>
      <c r="AD49" s="3417"/>
      <c r="AE49" s="3417"/>
      <c r="AF49" s="341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04">
        <v>0.91520749999999995</v>
      </c>
      <c r="AC50" s="3405"/>
      <c r="AD50" s="3405"/>
      <c r="AE50" s="3405"/>
      <c r="AF50" s="3406"/>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5" t="s">
        <v>2167</v>
      </c>
      <c r="F51" s="3415"/>
      <c r="G51" s="3415"/>
      <c r="H51" s="3415"/>
      <c r="I51" s="3415"/>
      <c r="J51" s="3415"/>
      <c r="K51" s="3415"/>
      <c r="L51" s="3415"/>
      <c r="M51" s="3415"/>
      <c r="N51" s="3415"/>
      <c r="O51" s="3415"/>
      <c r="P51" s="3415"/>
      <c r="Q51" s="3415"/>
      <c r="R51" s="3415"/>
      <c r="S51" s="3415"/>
      <c r="T51" s="3415"/>
      <c r="U51" s="3415"/>
      <c r="V51" s="3415"/>
      <c r="W51" s="3415"/>
      <c r="X51" s="3415"/>
      <c r="Y51" s="3415"/>
      <c r="Z51" s="3415"/>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5"/>
      <c r="F52" s="3415"/>
      <c r="G52" s="3415"/>
      <c r="H52" s="3415"/>
      <c r="I52" s="3415"/>
      <c r="J52" s="3415"/>
      <c r="K52" s="3415"/>
      <c r="L52" s="3415"/>
      <c r="M52" s="3415"/>
      <c r="N52" s="3415"/>
      <c r="O52" s="3415"/>
      <c r="P52" s="3415"/>
      <c r="Q52" s="3415"/>
      <c r="R52" s="3415"/>
      <c r="S52" s="3415"/>
      <c r="T52" s="3415"/>
      <c r="U52" s="3415"/>
      <c r="V52" s="3415"/>
      <c r="W52" s="3415"/>
      <c r="X52" s="3415"/>
      <c r="Y52" s="3415"/>
      <c r="Z52" s="3415"/>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6">
        <f>ROUND(IF(ISERROR((AB49/AB50)),0,(AB49/AB50)),0)</f>
        <v>15266849</v>
      </c>
      <c r="AC54" s="3417"/>
      <c r="AD54" s="3417"/>
      <c r="AE54" s="3417"/>
      <c r="AF54" s="341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6">
        <f>(AB54/10)</f>
        <v>1526684.9</v>
      </c>
      <c r="AC55" s="3417"/>
      <c r="AD55" s="3417"/>
      <c r="AE55" s="3417"/>
      <c r="AF55" s="341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9">
        <f>(IF((Y41&lt;AB55),Y41,AB55))</f>
        <v>1526684.9</v>
      </c>
      <c r="AC56" s="3420"/>
      <c r="AD56" s="3420"/>
      <c r="AE56" s="3420"/>
      <c r="AF56" s="3421"/>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6">
        <f>ROUND((10*AB56*AB50),0)</f>
        <v>13972335</v>
      </c>
      <c r="AC57" s="3417"/>
      <c r="AD57" s="3417"/>
      <c r="AE57" s="3417"/>
      <c r="AF57" s="341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00">
        <f>AB49-AB57</f>
        <v>0</v>
      </c>
      <c r="AC59" s="3400"/>
      <c r="AD59" s="3400"/>
      <c r="AE59" s="3400"/>
      <c r="AF59" s="3400"/>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22" t="str">
        <f>IF(Application!AP204="yes","Farmworker State Credit", "State Credit" )</f>
        <v>State Credit</v>
      </c>
      <c r="B61" s="3422"/>
      <c r="C61" s="3422"/>
      <c r="D61" s="3422"/>
      <c r="E61" s="3422"/>
      <c r="F61" s="3422"/>
      <c r="G61" s="3422"/>
      <c r="H61" s="3422"/>
      <c r="I61" s="3422"/>
      <c r="J61" s="3422"/>
      <c r="K61" s="3422"/>
      <c r="L61" s="3422"/>
      <c r="M61" s="3422"/>
      <c r="N61" s="3422"/>
      <c r="O61" s="3422"/>
      <c r="P61" s="3422"/>
      <c r="Q61" s="3422"/>
      <c r="R61" s="3422"/>
      <c r="S61" s="3422"/>
      <c r="T61" s="3422"/>
      <c r="U61" s="3422"/>
      <c r="V61" s="3422"/>
      <c r="W61" s="3422"/>
      <c r="X61" s="3422"/>
      <c r="Y61" s="3422"/>
      <c r="Z61" s="3422"/>
      <c r="AA61" s="3422"/>
      <c r="AB61" s="3422"/>
      <c r="AC61" s="3422"/>
      <c r="AD61" s="3422"/>
      <c r="AE61" s="3422"/>
      <c r="AF61" s="3422"/>
      <c r="AG61" s="3422"/>
      <c r="AH61" s="3422"/>
      <c r="AI61" s="3422"/>
      <c r="AJ61" s="3422"/>
      <c r="AK61" s="3422"/>
      <c r="AL61" s="3422"/>
      <c r="AM61" s="3422"/>
      <c r="AN61" s="3422"/>
      <c r="AO61" s="3422"/>
      <c r="AP61" s="3422"/>
      <c r="AQ61" s="3422"/>
      <c r="AR61" s="3422"/>
      <c r="AS61" s="3422"/>
      <c r="AT61" s="3422"/>
      <c r="AU61" s="3422"/>
      <c r="AV61" s="3422"/>
      <c r="AW61" s="3422"/>
      <c r="AX61" s="3422"/>
      <c r="AY61" s="3422"/>
      <c r="AZ61" s="3422"/>
      <c r="BA61" s="3422"/>
      <c r="BB61" s="3422"/>
      <c r="BC61" s="3422"/>
      <c r="BD61" s="3422"/>
      <c r="BE61" s="3422"/>
      <c r="BF61" s="3422"/>
      <c r="BG61" s="3422"/>
      <c r="BH61" s="3422"/>
      <c r="BI61" s="3422"/>
      <c r="BJ61" s="3422"/>
      <c r="BK61" s="3422"/>
      <c r="BL61" s="3422"/>
      <c r="BM61" s="3422"/>
      <c r="BN61" s="3422"/>
      <c r="BO61" s="3422"/>
      <c r="BP61" s="3422"/>
      <c r="BQ61" s="3422"/>
      <c r="BR61" s="3422"/>
      <c r="BS61" s="3422"/>
      <c r="BT61" s="3422"/>
      <c r="BU61" s="3422"/>
      <c r="BV61" s="3422"/>
      <c r="BW61" s="3422"/>
      <c r="BX61" s="342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11" t="s">
        <v>1043</v>
      </c>
      <c r="Z63" s="3411"/>
      <c r="AA63" s="3411"/>
      <c r="AB63" s="3411"/>
      <c r="AC63" s="3411"/>
      <c r="AD63" s="3411" t="s">
        <v>376</v>
      </c>
      <c r="AE63" s="3411"/>
      <c r="AF63" s="3411"/>
      <c r="AG63" s="3411"/>
      <c r="AH63" s="3411"/>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12">
        <f>IF(Application!Z204="(select)",0,((T23*T27)+Y28))</f>
        <v>29359319</v>
      </c>
      <c r="Z64" s="3413"/>
      <c r="AA64" s="3413"/>
      <c r="AB64" s="3413"/>
      <c r="AC64" s="3414"/>
      <c r="AD64" s="3412">
        <f>IF(AND(OR(Application!D210="At-Risk",Application!D210="At-Risk and Special Needs"),Application!M357="yes"),AD28+AI28,0)</f>
        <v>0</v>
      </c>
      <c r="AE64" s="3413"/>
      <c r="AF64" s="3413"/>
      <c r="AG64" s="3413"/>
      <c r="AH64" s="3414"/>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01">
        <f>IF(Application!AP204="yes",0.75,IF(Application!Z203="15% set-aside",0.13,IF(Application!Z203="15% set-aside with qualifying low value rehab",0.95,0.3)))</f>
        <v>0.3</v>
      </c>
      <c r="Z67" s="3401"/>
      <c r="AA67" s="3401"/>
      <c r="AB67" s="3401"/>
      <c r="AC67" s="3401"/>
      <c r="AD67" s="3401">
        <f>IF(Application!Z203="15% set-aside with qualifying low value rehab", 0.95,0.13)</f>
        <v>0.13</v>
      </c>
      <c r="AE67" s="3401"/>
      <c r="AF67" s="3401"/>
      <c r="AG67" s="3401"/>
      <c r="AH67" s="3401"/>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02">
        <f>ROUND(Y64*Y67,0)</f>
        <v>8807796</v>
      </c>
      <c r="Z68" s="3403"/>
      <c r="AA68" s="3403"/>
      <c r="AB68" s="3403"/>
      <c r="AC68" s="3403"/>
      <c r="AD68" s="3402">
        <f>ROUND(AD64*AD67,0)</f>
        <v>0</v>
      </c>
      <c r="AE68" s="3403"/>
      <c r="AF68" s="3403"/>
      <c r="AG68" s="3403"/>
      <c r="AH68" s="3403"/>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04"/>
      <c r="AC71" s="3405"/>
      <c r="AD71" s="3405"/>
      <c r="AE71" s="3405"/>
      <c r="AF71" s="3406"/>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7" t="s">
        <v>1431</v>
      </c>
      <c r="F72" s="3407"/>
      <c r="G72" s="3407"/>
      <c r="H72" s="3407"/>
      <c r="I72" s="3407"/>
      <c r="J72" s="3407"/>
      <c r="K72" s="3407"/>
      <c r="L72" s="3407"/>
      <c r="M72" s="3407"/>
      <c r="N72" s="3407"/>
      <c r="O72" s="3407"/>
      <c r="P72" s="3407"/>
      <c r="Q72" s="3407"/>
      <c r="R72" s="3407"/>
      <c r="S72" s="3407"/>
      <c r="T72" s="3407"/>
      <c r="U72" s="3407"/>
      <c r="V72" s="3407"/>
      <c r="W72" s="3407"/>
      <c r="X72" s="3407"/>
      <c r="Y72" s="3407"/>
      <c r="Z72" s="3407"/>
      <c r="AA72" s="340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7"/>
      <c r="F73" s="3407"/>
      <c r="G73" s="3407"/>
      <c r="H73" s="3407"/>
      <c r="I73" s="3407"/>
      <c r="J73" s="3407"/>
      <c r="K73" s="3407"/>
      <c r="L73" s="3407"/>
      <c r="M73" s="3407"/>
      <c r="N73" s="3407"/>
      <c r="O73" s="3407"/>
      <c r="P73" s="3407"/>
      <c r="Q73" s="3407"/>
      <c r="R73" s="3407"/>
      <c r="S73" s="3407"/>
      <c r="T73" s="3407"/>
      <c r="U73" s="3407"/>
      <c r="V73" s="3407"/>
      <c r="W73" s="3407"/>
      <c r="X73" s="3407"/>
      <c r="Y73" s="3407"/>
      <c r="Z73" s="3407"/>
      <c r="AA73" s="340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7"/>
      <c r="F74" s="3407"/>
      <c r="G74" s="3407"/>
      <c r="H74" s="3407"/>
      <c r="I74" s="3407"/>
      <c r="J74" s="3407"/>
      <c r="K74" s="3407"/>
      <c r="L74" s="3407"/>
      <c r="M74" s="3407"/>
      <c r="N74" s="3407"/>
      <c r="O74" s="3407"/>
      <c r="P74" s="3407"/>
      <c r="Q74" s="3407"/>
      <c r="R74" s="3407"/>
      <c r="S74" s="3407"/>
      <c r="T74" s="3407"/>
      <c r="U74" s="3407"/>
      <c r="V74" s="3407"/>
      <c r="W74" s="3407"/>
      <c r="X74" s="3407"/>
      <c r="Y74" s="3407"/>
      <c r="Z74" s="3407"/>
      <c r="AA74" s="340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95">
        <f>ROUND(IF(ISERROR((AB59/AB71)),0,(AB59/AB71)),0)</f>
        <v>0</v>
      </c>
      <c r="AC76" s="3395"/>
      <c r="AD76" s="3395"/>
      <c r="AE76" s="3395"/>
      <c r="AF76" s="3395"/>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6">
        <f>IF((Y68+AD68&lt;AB76),Y68+AD68,AB76)</f>
        <v>0</v>
      </c>
      <c r="AC77" s="3397"/>
      <c r="AD77" s="3397"/>
      <c r="AE77" s="3397"/>
      <c r="AF77" s="3398"/>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9">
        <f>AB77*AB71</f>
        <v>0</v>
      </c>
      <c r="AC78" s="3399"/>
      <c r="AD78" s="3399"/>
      <c r="AE78" s="3399"/>
      <c r="AF78" s="3399"/>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00">
        <f>AB49-(AB57+AB78)</f>
        <v>0</v>
      </c>
      <c r="AC80" s="3400"/>
      <c r="AD80" s="3400"/>
      <c r="AE80" s="3400"/>
      <c r="AF80" s="3400"/>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22"/>
      <c r="B83" s="3422"/>
      <c r="C83" s="3422"/>
      <c r="D83" s="3422"/>
      <c r="E83" s="3422"/>
      <c r="F83" s="3422"/>
      <c r="G83" s="3422"/>
      <c r="H83" s="3422"/>
      <c r="I83" s="3422"/>
      <c r="J83" s="3422"/>
      <c r="K83" s="3422"/>
      <c r="L83" s="3422"/>
      <c r="M83" s="3422"/>
      <c r="N83" s="3422"/>
      <c r="O83" s="3422"/>
      <c r="P83" s="3422"/>
      <c r="Q83" s="3422"/>
      <c r="R83" s="3422"/>
      <c r="S83" s="3422"/>
      <c r="T83" s="3422"/>
      <c r="U83" s="3422"/>
      <c r="V83" s="3422"/>
      <c r="W83" s="3422"/>
      <c r="X83" s="3422"/>
      <c r="Y83" s="3422"/>
      <c r="Z83" s="3422"/>
      <c r="AA83" s="3422"/>
      <c r="AB83" s="3422"/>
      <c r="AC83" s="3422"/>
      <c r="AD83" s="3422"/>
      <c r="AE83" s="3422"/>
      <c r="AF83" s="3422"/>
      <c r="AG83" s="3422"/>
      <c r="AH83" s="3422"/>
      <c r="AI83" s="3422"/>
      <c r="AJ83" s="3422"/>
      <c r="AK83" s="3422"/>
      <c r="AL83" s="3422"/>
      <c r="AM83" s="3422"/>
      <c r="AN83" s="3422"/>
      <c r="AO83" s="3422"/>
      <c r="AP83" s="3422"/>
      <c r="AQ83" s="3422"/>
      <c r="AR83" s="3422"/>
      <c r="AS83" s="3422"/>
      <c r="AT83" s="3422"/>
      <c r="AU83" s="3422"/>
      <c r="AV83" s="3422"/>
      <c r="AW83" s="3422"/>
      <c r="AX83" s="3422"/>
      <c r="AY83" s="3422"/>
      <c r="AZ83" s="3422"/>
      <c r="BA83" s="3422"/>
      <c r="BB83" s="3422"/>
      <c r="BC83" s="3422"/>
      <c r="BD83" s="3422"/>
      <c r="BE83" s="3422"/>
      <c r="BF83" s="3422"/>
      <c r="BG83" s="3422"/>
      <c r="BH83" s="3422"/>
      <c r="BI83" s="3422"/>
      <c r="BJ83" s="3422"/>
      <c r="BK83" s="3422"/>
      <c r="BL83" s="3422"/>
      <c r="BM83" s="3422"/>
      <c r="BN83" s="3422"/>
      <c r="BO83" s="3422"/>
      <c r="BP83" s="3422"/>
      <c r="BQ83" s="3422"/>
      <c r="BR83" s="3422"/>
      <c r="BS83" s="3422"/>
      <c r="BT83" s="3422"/>
      <c r="BU83" s="3422"/>
      <c r="BV83" s="3422"/>
      <c r="BW83" s="3422"/>
      <c r="BX83" s="3422"/>
    </row>
    <row r="84" spans="1:98" ht="13.5" thickTop="1"/>
    <row r="85" spans="1:98" ht="12.75">
      <c r="A85" s="786"/>
      <c r="C85" s="334"/>
      <c r="Z85" s="612"/>
      <c r="AA85" s="612"/>
      <c r="AB85" s="612"/>
      <c r="AC85" s="612"/>
      <c r="AD85" s="612"/>
      <c r="AE85" s="612"/>
      <c r="AF85" s="612"/>
      <c r="AG85" s="612"/>
      <c r="AH85" s="612"/>
    </row>
    <row r="86" spans="1:98" ht="12.75">
      <c r="D86" s="334"/>
      <c r="Z86" s="612"/>
      <c r="AA86" s="612"/>
      <c r="AB86" s="3463"/>
      <c r="AC86" s="3463"/>
      <c r="AD86" s="3463"/>
      <c r="AE86" s="3463"/>
      <c r="AF86" s="3463"/>
      <c r="AG86" s="612"/>
      <c r="AH86" s="612"/>
    </row>
    <row r="87" spans="1:98" ht="13.5" thickBot="1">
      <c r="D87" s="334"/>
      <c r="Z87" s="612"/>
      <c r="AA87" s="612"/>
      <c r="AB87" s="3462"/>
      <c r="AC87" s="3462"/>
      <c r="AD87" s="3462"/>
      <c r="AE87" s="3462"/>
      <c r="AF87" s="3462"/>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C37" zoomScaleNormal="100" zoomScaleSheetLayoutView="100" workbookViewId="0">
      <selection activeCell="O24" sqref="O24"/>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486816</v>
      </c>
      <c r="G4" s="351">
        <f>E4*$C$4</f>
        <v>498986.39999999997</v>
      </c>
      <c r="I4" s="351">
        <f>G4*$C$4</f>
        <v>511461.05999999994</v>
      </c>
      <c r="K4" s="351">
        <f>I4*$C$4</f>
        <v>524247.58649999992</v>
      </c>
      <c r="M4" s="351">
        <f>K4*$C$4</f>
        <v>537353.77616249991</v>
      </c>
      <c r="O4" s="351">
        <f>M4*$C$4</f>
        <v>550787.6205665624</v>
      </c>
      <c r="Q4" s="351">
        <f>O4*$C$4</f>
        <v>564557.31108072645</v>
      </c>
      <c r="S4" s="351">
        <f>Q4*$C$4</f>
        <v>578671.2438577445</v>
      </c>
      <c r="U4" s="351">
        <f>S4*$C$4</f>
        <v>593138.02495418803</v>
      </c>
      <c r="W4" s="351">
        <f>U4*$C$4</f>
        <v>607966.47557804268</v>
      </c>
      <c r="Y4" s="351">
        <f>W4*$C$4</f>
        <v>623165.63746749365</v>
      </c>
      <c r="AA4" s="351">
        <f>Y4*$C$4</f>
        <v>638744.77840418089</v>
      </c>
      <c r="AC4" s="351">
        <f>AA4*$C$4</f>
        <v>654713.39786428539</v>
      </c>
      <c r="AE4" s="351">
        <f>AC4*$C$4</f>
        <v>671081.23281089251</v>
      </c>
      <c r="AG4" s="351">
        <f>AE4*$C$4</f>
        <v>687858.26363116479</v>
      </c>
    </row>
    <row r="5" spans="1:34" s="339" customFormat="1" ht="14.25">
      <c r="B5" s="339" t="s">
        <v>885</v>
      </c>
      <c r="C5" s="372">
        <v>8.5150000000000003E-2</v>
      </c>
      <c r="E5" s="353">
        <f>-E4*$C$5</f>
        <v>-41452.382400000002</v>
      </c>
      <c r="F5" s="353"/>
      <c r="G5" s="353">
        <f>-G4*$C$5</f>
        <v>-42488.691959999996</v>
      </c>
      <c r="H5" s="353"/>
      <c r="I5" s="353">
        <f>-I4*$C$5</f>
        <v>-43550.909259</v>
      </c>
      <c r="J5" s="353"/>
      <c r="K5" s="353">
        <f>-K4*$C$5</f>
        <v>-44639.681990474994</v>
      </c>
      <c r="L5" s="353"/>
      <c r="M5" s="353">
        <f>-M4*$C$5</f>
        <v>-45755.674040236867</v>
      </c>
      <c r="N5" s="353"/>
      <c r="O5" s="353">
        <f>-O4*$C$5</f>
        <v>-46899.56589124279</v>
      </c>
      <c r="P5" s="353"/>
      <c r="Q5" s="353">
        <f>-Q4*$C$5</f>
        <v>-48072.05503852386</v>
      </c>
      <c r="R5" s="353"/>
      <c r="S5" s="353">
        <f>-S4*$C$5</f>
        <v>-49273.856414486945</v>
      </c>
      <c r="T5" s="353"/>
      <c r="U5" s="353">
        <f>-U4*$C$5</f>
        <v>-50505.702824849111</v>
      </c>
      <c r="V5" s="353"/>
      <c r="W5" s="353">
        <f>-W4*$C$5</f>
        <v>-51768.345395470336</v>
      </c>
      <c r="X5" s="353"/>
      <c r="Y5" s="353">
        <f>-Y4*$C$5</f>
        <v>-53062.554030357089</v>
      </c>
      <c r="Z5" s="353"/>
      <c r="AA5" s="353">
        <f>-AA4*$C$5</f>
        <v>-54389.117881116006</v>
      </c>
      <c r="AB5" s="353"/>
      <c r="AC5" s="353">
        <f>-AC4*$C$5</f>
        <v>-55748.845828143902</v>
      </c>
      <c r="AD5" s="353"/>
      <c r="AE5" s="353">
        <f>-AE4*$C$5</f>
        <v>-57142.566973847497</v>
      </c>
      <c r="AF5" s="353"/>
      <c r="AG5" s="353">
        <f>-AG4*$C$5</f>
        <v>-58571.131148193686</v>
      </c>
    </row>
    <row r="6" spans="1:34" s="339" customFormat="1" ht="14.25">
      <c r="A6" s="339" t="s">
        <v>883</v>
      </c>
      <c r="C6" s="371">
        <v>1.0249999999999999</v>
      </c>
      <c r="E6" s="354">
        <f>Application!Z807</f>
        <v>409944</v>
      </c>
      <c r="F6" s="354"/>
      <c r="G6" s="354">
        <f>E6*$C$6</f>
        <v>420192.6</v>
      </c>
      <c r="H6" s="354"/>
      <c r="I6" s="354">
        <f>G6*$C$6</f>
        <v>430697.41499999992</v>
      </c>
      <c r="J6" s="354"/>
      <c r="K6" s="354">
        <f>I6*$C$6</f>
        <v>441464.85037499986</v>
      </c>
      <c r="L6" s="354"/>
      <c r="M6" s="354">
        <f>K6*$C$6</f>
        <v>452501.47163437482</v>
      </c>
      <c r="N6" s="354"/>
      <c r="O6" s="354">
        <f>M6*$C$6</f>
        <v>463814.00842523412</v>
      </c>
      <c r="P6" s="354"/>
      <c r="Q6" s="354">
        <f>O6*$C$6</f>
        <v>475409.35863586492</v>
      </c>
      <c r="R6" s="354"/>
      <c r="S6" s="354">
        <f>Q6*$C$6</f>
        <v>487294.59260176151</v>
      </c>
      <c r="T6" s="354"/>
      <c r="U6" s="354">
        <f>S6*$C$6</f>
        <v>499476.9574168055</v>
      </c>
      <c r="V6" s="354"/>
      <c r="W6" s="354">
        <f>U6*$C$6</f>
        <v>511963.88135222561</v>
      </c>
      <c r="X6" s="354"/>
      <c r="Y6" s="354">
        <f>W6*$C$6</f>
        <v>524762.97838603123</v>
      </c>
      <c r="Z6" s="354"/>
      <c r="AA6" s="354">
        <f>Y6*$C$6</f>
        <v>537882.05284568202</v>
      </c>
      <c r="AB6" s="354"/>
      <c r="AC6" s="354">
        <f>AA6*$C$6</f>
        <v>551329.10416682402</v>
      </c>
      <c r="AD6" s="354"/>
      <c r="AE6" s="354">
        <f>AC6*$C$6</f>
        <v>565112.33177099458</v>
      </c>
      <c r="AF6" s="354"/>
      <c r="AG6" s="354">
        <f>AE6*$C$6</f>
        <v>579240.14006526943</v>
      </c>
    </row>
    <row r="7" spans="1:34" s="339" customFormat="1" ht="14.25">
      <c r="B7" s="339" t="s">
        <v>885</v>
      </c>
      <c r="C7" s="372">
        <f>(5%*12+10%*35)/47</f>
        <v>8.7234042553191476E-2</v>
      </c>
      <c r="E7" s="353">
        <f>-E6*$C$7</f>
        <v>-35761.072340425526</v>
      </c>
      <c r="F7" s="353"/>
      <c r="G7" s="353">
        <f>-G6*$C$7</f>
        <v>-36655.099148936162</v>
      </c>
      <c r="H7" s="353"/>
      <c r="I7" s="353">
        <f>-I6*$C$7</f>
        <v>-37571.476627659562</v>
      </c>
      <c r="J7" s="353"/>
      <c r="K7" s="353">
        <f>-K6*$C$7</f>
        <v>-38510.763543351044</v>
      </c>
      <c r="L7" s="353"/>
      <c r="M7" s="353">
        <f>-M6*$C$7</f>
        <v>-39473.532631934817</v>
      </c>
      <c r="N7" s="353"/>
      <c r="O7" s="353">
        <f>-O6*$C$7</f>
        <v>-40460.370947733179</v>
      </c>
      <c r="P7" s="353"/>
      <c r="Q7" s="353">
        <f>-Q6*$C$7</f>
        <v>-41471.880221426509</v>
      </c>
      <c r="R7" s="353"/>
      <c r="S7" s="353">
        <f>-S6*$C$7</f>
        <v>-42508.677226962165</v>
      </c>
      <c r="T7" s="353"/>
      <c r="U7" s="353">
        <f>-U6*$C$7</f>
        <v>-43571.394157636219</v>
      </c>
      <c r="V7" s="353"/>
      <c r="W7" s="353">
        <f>-W6*$C$7</f>
        <v>-44660.679011577122</v>
      </c>
      <c r="X7" s="353"/>
      <c r="Y7" s="353">
        <f>-Y6*$C$7</f>
        <v>-45777.195986866551</v>
      </c>
      <c r="Z7" s="353"/>
      <c r="AA7" s="353">
        <f>-AA6*$C$7</f>
        <v>-46921.625886538211</v>
      </c>
      <c r="AB7" s="353"/>
      <c r="AC7" s="353">
        <f>-AC6*$C$7</f>
        <v>-48094.66653370166</v>
      </c>
      <c r="AD7" s="353"/>
      <c r="AE7" s="353">
        <f>-AE6*$C$7</f>
        <v>-49297.033197044198</v>
      </c>
      <c r="AF7" s="353"/>
      <c r="AG7" s="353">
        <f>-AG6*$C$7</f>
        <v>-50529.459026970304</v>
      </c>
    </row>
    <row r="8" spans="1:34" s="339" customFormat="1" ht="14.25">
      <c r="A8" s="339" t="s">
        <v>293</v>
      </c>
      <c r="C8" s="371">
        <v>1.0249999999999999</v>
      </c>
      <c r="E8" s="354">
        <f>Application!Z815</f>
        <v>3792</v>
      </c>
      <c r="F8" s="354"/>
      <c r="G8" s="354">
        <f>E8*$C$8</f>
        <v>3886.7999999999997</v>
      </c>
      <c r="H8" s="354"/>
      <c r="I8" s="354">
        <f>G8*$C$8</f>
        <v>3983.9699999999993</v>
      </c>
      <c r="J8" s="354"/>
      <c r="K8" s="354">
        <f>I8*$C$8</f>
        <v>4083.5692499999991</v>
      </c>
      <c r="L8" s="354"/>
      <c r="M8" s="354">
        <f>K8*$C$8</f>
        <v>4185.6584812499987</v>
      </c>
      <c r="N8" s="354"/>
      <c r="O8" s="354">
        <f>M8*$C$8</f>
        <v>4290.2999432812485</v>
      </c>
      <c r="P8" s="354"/>
      <c r="Q8" s="354">
        <f>O8*$C$8</f>
        <v>4397.5574418632796</v>
      </c>
      <c r="R8" s="354"/>
      <c r="S8" s="354">
        <f>Q8*$C$8</f>
        <v>4507.4963779098607</v>
      </c>
      <c r="T8" s="354"/>
      <c r="U8" s="354">
        <f>S8*$C$8</f>
        <v>4620.1837873576069</v>
      </c>
      <c r="V8" s="354"/>
      <c r="W8" s="354">
        <f>U8*$C$8</f>
        <v>4735.6883820415469</v>
      </c>
      <c r="X8" s="354"/>
      <c r="Y8" s="354">
        <f>W8*$C$8</f>
        <v>4854.0805915925848</v>
      </c>
      <c r="Z8" s="354"/>
      <c r="AA8" s="354">
        <f>Y8*$C$8</f>
        <v>4975.4326063823992</v>
      </c>
      <c r="AB8" s="354"/>
      <c r="AC8" s="354">
        <f>AA8*$C$8</f>
        <v>5099.8184215419587</v>
      </c>
      <c r="AD8" s="354"/>
      <c r="AE8" s="354">
        <f>AC8*$C$8</f>
        <v>5227.313882080507</v>
      </c>
      <c r="AF8" s="354"/>
      <c r="AG8" s="354">
        <f>AE8*$C$8</f>
        <v>5357.9967291325192</v>
      </c>
    </row>
    <row r="9" spans="1:34" s="339" customFormat="1" ht="14.25">
      <c r="B9" s="339" t="s">
        <v>885</v>
      </c>
      <c r="C9" s="372">
        <v>8.5150000000000003E-2</v>
      </c>
      <c r="E9" s="370">
        <f>-E8*$C$9</f>
        <v>-322.8888</v>
      </c>
      <c r="F9" s="353"/>
      <c r="G9" s="370">
        <f>-G8*$C$9</f>
        <v>-330.96101999999996</v>
      </c>
      <c r="H9" s="353"/>
      <c r="I9" s="370">
        <f>-I8*$C$9</f>
        <v>-339.23504549999996</v>
      </c>
      <c r="J9" s="353"/>
      <c r="K9" s="370">
        <f>-K8*$C$9</f>
        <v>-347.71592163749995</v>
      </c>
      <c r="L9" s="353"/>
      <c r="M9" s="370">
        <f>-M8*$C$9</f>
        <v>-356.4088196784374</v>
      </c>
      <c r="N9" s="353"/>
      <c r="O9" s="370">
        <f>-O8*$C$9</f>
        <v>-365.3190401703983</v>
      </c>
      <c r="P9" s="353"/>
      <c r="Q9" s="370">
        <f>-Q8*$C$9</f>
        <v>-374.4520161746583</v>
      </c>
      <c r="R9" s="353"/>
      <c r="S9" s="370">
        <f>-S8*$C$9</f>
        <v>-383.81331657902467</v>
      </c>
      <c r="T9" s="353"/>
      <c r="U9" s="370">
        <f>-U8*$C$9</f>
        <v>-393.40864949350026</v>
      </c>
      <c r="V9" s="353"/>
      <c r="W9" s="370">
        <f>-W8*$C$9</f>
        <v>-403.24386573083774</v>
      </c>
      <c r="X9" s="353"/>
      <c r="Y9" s="370">
        <f>-Y8*$C$9</f>
        <v>-413.32496237410862</v>
      </c>
      <c r="Z9" s="353"/>
      <c r="AA9" s="370">
        <f>-AA8*$C$9</f>
        <v>-423.65808643346128</v>
      </c>
      <c r="AB9" s="353"/>
      <c r="AC9" s="370">
        <f>-AC8*$C$9</f>
        <v>-434.2495385942978</v>
      </c>
      <c r="AD9" s="353"/>
      <c r="AE9" s="370">
        <f>-AE8*$C$9</f>
        <v>-445.10577705915517</v>
      </c>
      <c r="AF9" s="353"/>
      <c r="AG9" s="370">
        <f>-AG8*$C$9</f>
        <v>-456.23342148563404</v>
      </c>
    </row>
    <row r="10" spans="1:34" s="355" customFormat="1" ht="15">
      <c r="A10" s="355" t="s">
        <v>906</v>
      </c>
      <c r="C10" s="346"/>
      <c r="E10" s="355">
        <f>SUM(E4:E9)</f>
        <v>823015.65645957447</v>
      </c>
      <c r="G10" s="355">
        <f>SUM(G4:G9)</f>
        <v>843591.0478710637</v>
      </c>
      <c r="I10" s="355">
        <f>SUM(I4:I9)</f>
        <v>864680.82406784035</v>
      </c>
      <c r="K10" s="355">
        <f>SUM(K4:K9)</f>
        <v>886297.84466953611</v>
      </c>
      <c r="M10" s="355">
        <f>SUM(M4:M9)</f>
        <v>908455.29078627459</v>
      </c>
      <c r="O10" s="355">
        <f>SUM(O4:O9)</f>
        <v>931166.67305593134</v>
      </c>
      <c r="Q10" s="355">
        <f>SUM(Q4:Q9)</f>
        <v>954445.83988232957</v>
      </c>
      <c r="S10" s="355">
        <f>SUM(S4:S9)</f>
        <v>978306.98587938771</v>
      </c>
      <c r="U10" s="355">
        <f>SUM(U4:U9)</f>
        <v>1002764.6605263724</v>
      </c>
      <c r="W10" s="355">
        <f>SUM(W4:W9)</f>
        <v>1027833.7770395315</v>
      </c>
      <c r="Y10" s="355">
        <f>SUM(Y4:Y9)</f>
        <v>1053529.6214655198</v>
      </c>
      <c r="AA10" s="355">
        <f>SUM(AA4:AA9)</f>
        <v>1079867.8620021574</v>
      </c>
      <c r="AC10" s="355">
        <f>SUM(AC4:AC9)</f>
        <v>1106864.5585522114</v>
      </c>
      <c r="AE10" s="355">
        <f>SUM(AE4:AE9)</f>
        <v>1134536.1725160168</v>
      </c>
      <c r="AG10" s="355">
        <f>SUM(AG4:AG9)</f>
        <v>1162899.5768289173</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85420</v>
      </c>
      <c r="G14" s="351">
        <f>E14*$C$13</f>
        <v>88409.7</v>
      </c>
      <c r="I14" s="351">
        <f>G14*$C$13</f>
        <v>91504.039499999984</v>
      </c>
      <c r="K14" s="351">
        <f>I14*$C$13</f>
        <v>94706.680882499975</v>
      </c>
      <c r="M14" s="351">
        <f>K14*$C$13</f>
        <v>98021.414713387465</v>
      </c>
      <c r="O14" s="351">
        <f>M14*$C$13</f>
        <v>101452.16422835602</v>
      </c>
      <c r="Q14" s="351">
        <f>O14*$C$13</f>
        <v>105002.98997634847</v>
      </c>
      <c r="S14" s="351">
        <f>Q14*$C$13</f>
        <v>108678.09462552067</v>
      </c>
      <c r="U14" s="351">
        <f>S14*$C$13</f>
        <v>112481.82793741388</v>
      </c>
      <c r="W14" s="351">
        <f>U14*$C$13</f>
        <v>116418.69191522336</v>
      </c>
      <c r="Y14" s="351">
        <f>W14*$C$13</f>
        <v>120493.34613225616</v>
      </c>
      <c r="AA14" s="351">
        <f>Y14*$C$13</f>
        <v>124710.61324688511</v>
      </c>
      <c r="AC14" s="351">
        <f>AA14*$C$13</f>
        <v>129075.48471052609</v>
      </c>
      <c r="AE14" s="351">
        <f>AC14*$C$13</f>
        <v>133593.12667539448</v>
      </c>
      <c r="AG14" s="351">
        <f>AE14*$C$13</f>
        <v>138268.88610903328</v>
      </c>
    </row>
    <row r="15" spans="1:34" s="339" customFormat="1" ht="14.25">
      <c r="A15" s="339" t="s">
        <v>350</v>
      </c>
      <c r="C15" s="365"/>
      <c r="E15" s="354">
        <f>Application!W847</f>
        <v>37440</v>
      </c>
      <c r="F15" s="354"/>
      <c r="G15" s="354">
        <f t="shared" ref="G15:AG20" si="0">E15*$C$13</f>
        <v>38750.399999999994</v>
      </c>
      <c r="H15" s="354"/>
      <c r="I15" s="354">
        <f t="shared" si="0"/>
        <v>40106.66399999999</v>
      </c>
      <c r="J15" s="354"/>
      <c r="K15" s="354">
        <f t="shared" si="0"/>
        <v>41510.397239999984</v>
      </c>
      <c r="L15" s="354"/>
      <c r="M15" s="354">
        <f t="shared" si="0"/>
        <v>42963.261143399977</v>
      </c>
      <c r="N15" s="354"/>
      <c r="O15" s="354">
        <f t="shared" si="0"/>
        <v>44466.975283418971</v>
      </c>
      <c r="P15" s="354"/>
      <c r="Q15" s="354">
        <f t="shared" si="0"/>
        <v>46023.319418338629</v>
      </c>
      <c r="R15" s="354"/>
      <c r="S15" s="354">
        <f t="shared" si="0"/>
        <v>47634.135597980479</v>
      </c>
      <c r="T15" s="354"/>
      <c r="U15" s="354">
        <f t="shared" si="0"/>
        <v>49301.330343909794</v>
      </c>
      <c r="V15" s="354"/>
      <c r="W15" s="354">
        <f t="shared" si="0"/>
        <v>51026.876905946636</v>
      </c>
      <c r="X15" s="354"/>
      <c r="Y15" s="354">
        <f t="shared" si="0"/>
        <v>52812.817597654765</v>
      </c>
      <c r="Z15" s="354"/>
      <c r="AA15" s="354">
        <f t="shared" si="0"/>
        <v>54661.266213572679</v>
      </c>
      <c r="AB15" s="354"/>
      <c r="AC15" s="354">
        <f t="shared" si="0"/>
        <v>56574.410531047717</v>
      </c>
      <c r="AD15" s="354"/>
      <c r="AE15" s="354">
        <f t="shared" si="0"/>
        <v>58554.514899634385</v>
      </c>
      <c r="AF15" s="354"/>
      <c r="AG15" s="354">
        <f t="shared" si="0"/>
        <v>60603.922921121586</v>
      </c>
    </row>
    <row r="16" spans="1:34" s="339" customFormat="1" ht="14.25">
      <c r="A16" s="339" t="s">
        <v>586</v>
      </c>
      <c r="C16" s="365"/>
      <c r="E16" s="354">
        <f>Application!W853</f>
        <v>54050</v>
      </c>
      <c r="F16" s="354"/>
      <c r="G16" s="354">
        <f t="shared" si="0"/>
        <v>55941.749999999993</v>
      </c>
      <c r="H16" s="354"/>
      <c r="I16" s="354">
        <f t="shared" si="0"/>
        <v>57899.711249999986</v>
      </c>
      <c r="J16" s="354"/>
      <c r="K16" s="354">
        <f t="shared" si="0"/>
        <v>59926.201143749982</v>
      </c>
      <c r="L16" s="354"/>
      <c r="M16" s="354">
        <f t="shared" si="0"/>
        <v>62023.618183781226</v>
      </c>
      <c r="N16" s="354"/>
      <c r="O16" s="354">
        <f t="shared" si="0"/>
        <v>64194.444820213561</v>
      </c>
      <c r="P16" s="354"/>
      <c r="Q16" s="354">
        <f t="shared" si="0"/>
        <v>66441.250388921035</v>
      </c>
      <c r="R16" s="354"/>
      <c r="S16" s="354">
        <f t="shared" si="0"/>
        <v>68766.694152533266</v>
      </c>
      <c r="T16" s="354"/>
      <c r="U16" s="354">
        <f t="shared" si="0"/>
        <v>71173.528447871926</v>
      </c>
      <c r="V16" s="354"/>
      <c r="W16" s="354">
        <f t="shared" si="0"/>
        <v>73664.601943547445</v>
      </c>
      <c r="X16" s="354"/>
      <c r="Y16" s="354">
        <f t="shared" si="0"/>
        <v>76242.863011571593</v>
      </c>
      <c r="Z16" s="354"/>
      <c r="AA16" s="354">
        <f t="shared" si="0"/>
        <v>78911.363216976592</v>
      </c>
      <c r="AB16" s="354"/>
      <c r="AC16" s="354">
        <f t="shared" si="0"/>
        <v>81673.260929570766</v>
      </c>
      <c r="AD16" s="354"/>
      <c r="AE16" s="354">
        <f t="shared" si="0"/>
        <v>84531.825062105738</v>
      </c>
      <c r="AF16" s="354"/>
      <c r="AG16" s="354">
        <f t="shared" si="0"/>
        <v>87490.438939279426</v>
      </c>
    </row>
    <row r="17" spans="1:33" s="339" customFormat="1" ht="14.25">
      <c r="A17" s="339" t="s">
        <v>889</v>
      </c>
      <c r="C17" s="365"/>
      <c r="E17" s="354">
        <f>Application!W860</f>
        <v>82500</v>
      </c>
      <c r="F17" s="354"/>
      <c r="G17" s="354">
        <f t="shared" si="0"/>
        <v>85387.5</v>
      </c>
      <c r="H17" s="354"/>
      <c r="I17" s="354">
        <f t="shared" si="0"/>
        <v>88376.0625</v>
      </c>
      <c r="J17" s="354"/>
      <c r="K17" s="354">
        <f t="shared" si="0"/>
        <v>91469.224687499998</v>
      </c>
      <c r="L17" s="354"/>
      <c r="M17" s="354">
        <f t="shared" si="0"/>
        <v>94670.647551562492</v>
      </c>
      <c r="N17" s="354"/>
      <c r="O17" s="354">
        <f t="shared" si="0"/>
        <v>97984.120215867166</v>
      </c>
      <c r="P17" s="354"/>
      <c r="Q17" s="354">
        <f t="shared" si="0"/>
        <v>101413.5644234225</v>
      </c>
      <c r="R17" s="354"/>
      <c r="S17" s="354">
        <f t="shared" si="0"/>
        <v>104963.03917824228</v>
      </c>
      <c r="T17" s="354"/>
      <c r="U17" s="354">
        <f t="shared" si="0"/>
        <v>108636.74554948075</v>
      </c>
      <c r="V17" s="354"/>
      <c r="W17" s="354">
        <f t="shared" si="0"/>
        <v>112439.03164371257</v>
      </c>
      <c r="X17" s="354"/>
      <c r="Y17" s="354">
        <f t="shared" si="0"/>
        <v>116374.3977512425</v>
      </c>
      <c r="Z17" s="354"/>
      <c r="AA17" s="354">
        <f t="shared" si="0"/>
        <v>120447.50167253599</v>
      </c>
      <c r="AB17" s="354"/>
      <c r="AC17" s="354">
        <f t="shared" si="0"/>
        <v>124663.16423107474</v>
      </c>
      <c r="AD17" s="354"/>
      <c r="AE17" s="354">
        <f t="shared" si="0"/>
        <v>129026.37497916234</v>
      </c>
      <c r="AF17" s="354"/>
      <c r="AG17" s="354">
        <f t="shared" si="0"/>
        <v>133542.29810343302</v>
      </c>
    </row>
    <row r="18" spans="1:33" s="339" customFormat="1" ht="14.25">
      <c r="A18" s="339" t="s">
        <v>160</v>
      </c>
      <c r="C18" s="365"/>
      <c r="E18" s="354">
        <f>Application!W861</f>
        <v>32000</v>
      </c>
      <c r="F18" s="354"/>
      <c r="G18" s="354">
        <f t="shared" si="0"/>
        <v>33120</v>
      </c>
      <c r="H18" s="354"/>
      <c r="I18" s="354">
        <f t="shared" si="0"/>
        <v>34279.199999999997</v>
      </c>
      <c r="J18" s="354"/>
      <c r="K18" s="354">
        <f t="shared" si="0"/>
        <v>35478.971999999994</v>
      </c>
      <c r="L18" s="354"/>
      <c r="M18" s="354">
        <f t="shared" si="0"/>
        <v>36720.736019999989</v>
      </c>
      <c r="N18" s="354"/>
      <c r="O18" s="354">
        <f t="shared" si="0"/>
        <v>38005.961780699989</v>
      </c>
      <c r="P18" s="354"/>
      <c r="Q18" s="354">
        <f t="shared" si="0"/>
        <v>39336.170443024486</v>
      </c>
      <c r="R18" s="354"/>
      <c r="S18" s="354">
        <f t="shared" si="0"/>
        <v>40712.936408530339</v>
      </c>
      <c r="T18" s="354"/>
      <c r="U18" s="354">
        <f t="shared" si="0"/>
        <v>42137.889182828898</v>
      </c>
      <c r="V18" s="354"/>
      <c r="W18" s="354">
        <f t="shared" si="0"/>
        <v>43612.715304227902</v>
      </c>
      <c r="X18" s="354"/>
      <c r="Y18" s="354">
        <f t="shared" si="0"/>
        <v>45139.160339875874</v>
      </c>
      <c r="Z18" s="354"/>
      <c r="AA18" s="354">
        <f t="shared" si="0"/>
        <v>46719.030951771529</v>
      </c>
      <c r="AB18" s="354"/>
      <c r="AC18" s="354">
        <f t="shared" si="0"/>
        <v>48354.197035083525</v>
      </c>
      <c r="AD18" s="354"/>
      <c r="AE18" s="354">
        <f t="shared" si="0"/>
        <v>50046.593931311443</v>
      </c>
      <c r="AF18" s="354"/>
      <c r="AG18" s="354">
        <f t="shared" si="0"/>
        <v>51798.224718907339</v>
      </c>
    </row>
    <row r="19" spans="1:33" s="339" customFormat="1" ht="14.25">
      <c r="A19" s="339" t="s">
        <v>404</v>
      </c>
      <c r="C19" s="365"/>
      <c r="E19" s="354">
        <f>Application!W870</f>
        <v>82550</v>
      </c>
      <c r="F19" s="354"/>
      <c r="G19" s="354">
        <f t="shared" si="0"/>
        <v>85439.25</v>
      </c>
      <c r="H19" s="354"/>
      <c r="I19" s="354">
        <f t="shared" si="0"/>
        <v>88429.623749999999</v>
      </c>
      <c r="J19" s="354"/>
      <c r="K19" s="354">
        <f t="shared" si="0"/>
        <v>91524.660581249991</v>
      </c>
      <c r="L19" s="354"/>
      <c r="M19" s="354">
        <f t="shared" si="0"/>
        <v>94728.023701593731</v>
      </c>
      <c r="N19" s="354"/>
      <c r="O19" s="354">
        <f t="shared" si="0"/>
        <v>98043.504531149505</v>
      </c>
      <c r="P19" s="354"/>
      <c r="Q19" s="354">
        <f t="shared" si="0"/>
        <v>101475.02718973973</v>
      </c>
      <c r="R19" s="354"/>
      <c r="S19" s="354">
        <f t="shared" si="0"/>
        <v>105026.65314138061</v>
      </c>
      <c r="T19" s="354"/>
      <c r="U19" s="354">
        <f t="shared" si="0"/>
        <v>108702.58600132892</v>
      </c>
      <c r="V19" s="354"/>
      <c r="W19" s="354">
        <f t="shared" si="0"/>
        <v>112507.17651137542</v>
      </c>
      <c r="X19" s="354"/>
      <c r="Y19" s="354">
        <f t="shared" si="0"/>
        <v>116444.92768927355</v>
      </c>
      <c r="Z19" s="354"/>
      <c r="AA19" s="354">
        <f t="shared" si="0"/>
        <v>120520.50015839812</v>
      </c>
      <c r="AB19" s="354"/>
      <c r="AC19" s="354">
        <f t="shared" si="0"/>
        <v>124738.71766394205</v>
      </c>
      <c r="AD19" s="354"/>
      <c r="AE19" s="354">
        <f t="shared" si="0"/>
        <v>129104.57278218001</v>
      </c>
      <c r="AF19" s="354"/>
      <c r="AG19" s="354">
        <f t="shared" si="0"/>
        <v>133623.23282955631</v>
      </c>
    </row>
    <row r="20" spans="1:33" s="339" customFormat="1" ht="14.25">
      <c r="A20" s="358" t="s">
        <v>1021</v>
      </c>
      <c r="B20" s="358"/>
      <c r="C20" s="365"/>
      <c r="E20" s="364">
        <f>Application!W877</f>
        <v>15650</v>
      </c>
      <c r="F20" s="354"/>
      <c r="G20" s="364">
        <f t="shared" si="0"/>
        <v>16197.749999999998</v>
      </c>
      <c r="H20" s="354"/>
      <c r="I20" s="364">
        <f t="shared" si="0"/>
        <v>16764.671249999996</v>
      </c>
      <c r="J20" s="354"/>
      <c r="K20" s="364">
        <f t="shared" si="0"/>
        <v>17351.434743749993</v>
      </c>
      <c r="L20" s="354"/>
      <c r="M20" s="364">
        <f t="shared" si="0"/>
        <v>17958.734959781243</v>
      </c>
      <c r="N20" s="354"/>
      <c r="O20" s="364">
        <f t="shared" si="0"/>
        <v>18587.290683373583</v>
      </c>
      <c r="P20" s="354"/>
      <c r="Q20" s="364">
        <f t="shared" si="0"/>
        <v>19237.845857291657</v>
      </c>
      <c r="R20" s="354"/>
      <c r="S20" s="364">
        <f t="shared" si="0"/>
        <v>19911.170462296865</v>
      </c>
      <c r="T20" s="354"/>
      <c r="U20" s="364">
        <f t="shared" si="0"/>
        <v>20608.061428477253</v>
      </c>
      <c r="V20" s="354"/>
      <c r="W20" s="364">
        <f t="shared" si="0"/>
        <v>21329.343578473956</v>
      </c>
      <c r="X20" s="354"/>
      <c r="Y20" s="364">
        <f t="shared" si="0"/>
        <v>22075.870603720541</v>
      </c>
      <c r="Z20" s="354"/>
      <c r="AA20" s="364">
        <f t="shared" si="0"/>
        <v>22848.526074850757</v>
      </c>
      <c r="AB20" s="354"/>
      <c r="AC20" s="364">
        <f t="shared" si="0"/>
        <v>23648.224487470532</v>
      </c>
      <c r="AD20" s="354"/>
      <c r="AE20" s="364">
        <f t="shared" si="0"/>
        <v>24475.912344532</v>
      </c>
      <c r="AF20" s="354"/>
      <c r="AG20" s="364">
        <f t="shared" si="0"/>
        <v>25332.569276590617</v>
      </c>
    </row>
    <row r="21" spans="1:33" s="355" customFormat="1" ht="15">
      <c r="A21" s="355" t="s">
        <v>890</v>
      </c>
      <c r="C21" s="365"/>
      <c r="E21" s="355">
        <f>SUM(E14:E20)</f>
        <v>389610</v>
      </c>
      <c r="G21" s="355">
        <f>SUM(G14:G20)</f>
        <v>403246.35</v>
      </c>
      <c r="I21" s="355">
        <f>SUM(I14:I20)</f>
        <v>417359.97224999999</v>
      </c>
      <c r="K21" s="355">
        <f>SUM(K14:K20)</f>
        <v>431967.57127874991</v>
      </c>
      <c r="M21" s="355">
        <f>SUM(M14:M20)</f>
        <v>447086.43627350614</v>
      </c>
      <c r="O21" s="355">
        <f>SUM(O14:O20)</f>
        <v>462734.46154307877</v>
      </c>
      <c r="Q21" s="355">
        <f>SUM(Q14:Q20)</f>
        <v>478930.16769708652</v>
      </c>
      <c r="S21" s="355">
        <f>SUM(S14:S20)</f>
        <v>495692.72356648446</v>
      </c>
      <c r="U21" s="355">
        <f>SUM(U14:U20)</f>
        <v>513041.96889131138</v>
      </c>
      <c r="W21" s="355">
        <f>SUM(W14:W20)</f>
        <v>530998.43780250731</v>
      </c>
      <c r="Y21" s="355">
        <f>SUM(Y14:Y20)</f>
        <v>549583.38312559493</v>
      </c>
      <c r="AA21" s="355">
        <f>SUM(AA14:AA20)</f>
        <v>568818.80153499078</v>
      </c>
      <c r="AC21" s="355">
        <f>SUM(AC14:AC20)</f>
        <v>588727.45958871546</v>
      </c>
      <c r="AE21" s="355">
        <f>SUM(AE14:AE20)</f>
        <v>609332.92067432043</v>
      </c>
      <c r="AG21" s="355">
        <f>SUM(AG14:AG20)</f>
        <v>630659.57289792155</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62000</v>
      </c>
      <c r="F26" s="354"/>
      <c r="G26" s="354">
        <f>E26*$C$26</f>
        <v>64169.999999999993</v>
      </c>
      <c r="H26" s="354"/>
      <c r="I26" s="354">
        <f>G26*$C$26</f>
        <v>66415.949999999983</v>
      </c>
      <c r="J26" s="354"/>
      <c r="K26" s="354">
        <f>I26*$C$26</f>
        <v>68740.50824999997</v>
      </c>
      <c r="L26" s="354"/>
      <c r="M26" s="354">
        <f>K26*$C$26</f>
        <v>71146.426038749967</v>
      </c>
      <c r="N26" s="354"/>
      <c r="O26" s="354">
        <f>M26*$C$26</f>
        <v>73636.550950106204</v>
      </c>
      <c r="P26" s="354"/>
      <c r="Q26" s="354">
        <f>O26*$C$26</f>
        <v>76213.830233359913</v>
      </c>
      <c r="R26" s="354"/>
      <c r="S26" s="354">
        <f>Q26*$C$26</f>
        <v>78881.314291527509</v>
      </c>
      <c r="T26" s="354"/>
      <c r="U26" s="354">
        <f>S26*$C$26</f>
        <v>81642.160291730965</v>
      </c>
      <c r="V26" s="354"/>
      <c r="W26" s="354">
        <f>U26*$C$26</f>
        <v>84499.635901941539</v>
      </c>
      <c r="X26" s="354"/>
      <c r="Y26" s="354">
        <f>W26*$C$26</f>
        <v>87457.123158509494</v>
      </c>
      <c r="Z26" s="354"/>
      <c r="AA26" s="354">
        <f>Y26*$C$26</f>
        <v>90518.122469057314</v>
      </c>
      <c r="AB26" s="354"/>
      <c r="AC26" s="354">
        <f>AA26*$C$26</f>
        <v>93686.256755474315</v>
      </c>
      <c r="AD26" s="354"/>
      <c r="AE26" s="354">
        <f>AC26*$C$26</f>
        <v>96965.275741915902</v>
      </c>
      <c r="AF26" s="354"/>
      <c r="AG26" s="354">
        <f>AE26*$C$26</f>
        <v>100359.06039288295</v>
      </c>
    </row>
    <row r="27" spans="1:33" s="339" customFormat="1" ht="14.25">
      <c r="A27" s="339" t="s">
        <v>893</v>
      </c>
      <c r="C27" s="373"/>
      <c r="E27" s="354">
        <f>Application!AC887</f>
        <v>24000</v>
      </c>
      <c r="F27" s="354"/>
      <c r="G27" s="354">
        <f>$E$27</f>
        <v>24000</v>
      </c>
      <c r="H27" s="354"/>
      <c r="I27" s="354">
        <f>$E$27</f>
        <v>24000</v>
      </c>
      <c r="J27" s="354"/>
      <c r="K27" s="354">
        <f>$E$27</f>
        <v>24000</v>
      </c>
      <c r="L27" s="354"/>
      <c r="M27" s="354">
        <f>$E$27</f>
        <v>24000</v>
      </c>
      <c r="N27" s="354"/>
      <c r="O27" s="354">
        <f>$E$27</f>
        <v>24000</v>
      </c>
      <c r="P27" s="354"/>
      <c r="Q27" s="354">
        <f>$E$27</f>
        <v>24000</v>
      </c>
      <c r="R27" s="354"/>
      <c r="S27" s="354">
        <f>$E$27</f>
        <v>24000</v>
      </c>
      <c r="T27" s="354"/>
      <c r="U27" s="354">
        <f>$E$27</f>
        <v>24000</v>
      </c>
      <c r="V27" s="354"/>
      <c r="W27" s="354">
        <f>$E$27</f>
        <v>24000</v>
      </c>
      <c r="X27" s="354"/>
      <c r="Y27" s="354">
        <f>$E$27</f>
        <v>24000</v>
      </c>
      <c r="Z27" s="354"/>
      <c r="AA27" s="354">
        <f>$E$27</f>
        <v>24000</v>
      </c>
      <c r="AB27" s="354"/>
      <c r="AC27" s="354">
        <f>$E$27</f>
        <v>24000</v>
      </c>
      <c r="AD27" s="354"/>
      <c r="AE27" s="354">
        <f>$E$27</f>
        <v>24000</v>
      </c>
      <c r="AF27" s="354"/>
      <c r="AG27" s="354">
        <f>$E$27</f>
        <v>24000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6000</v>
      </c>
      <c r="F29" s="354"/>
      <c r="G29" s="354">
        <f>E29*$C$29</f>
        <v>6120</v>
      </c>
      <c r="H29" s="354"/>
      <c r="I29" s="354">
        <f>G29*$C$29</f>
        <v>6242.4000000000005</v>
      </c>
      <c r="J29" s="354"/>
      <c r="K29" s="354">
        <f>I29*$C$29</f>
        <v>6367.2480000000005</v>
      </c>
      <c r="L29" s="354"/>
      <c r="M29" s="354">
        <f>K29*$C$29</f>
        <v>6494.5929600000009</v>
      </c>
      <c r="N29" s="354"/>
      <c r="O29" s="354">
        <f>M29*$C$29</f>
        <v>6624.4848192000009</v>
      </c>
      <c r="P29" s="354"/>
      <c r="Q29" s="354">
        <f>O29*$C$29</f>
        <v>6756.974515584001</v>
      </c>
      <c r="R29" s="354"/>
      <c r="S29" s="354">
        <f>Q29*$C$29</f>
        <v>6892.1140058956807</v>
      </c>
      <c r="T29" s="354"/>
      <c r="U29" s="354">
        <f>S29*$C$29</f>
        <v>7029.9562860135948</v>
      </c>
      <c r="V29" s="354"/>
      <c r="W29" s="354">
        <f>U29*$C$29</f>
        <v>7170.555411733867</v>
      </c>
      <c r="X29" s="354"/>
      <c r="Y29" s="354">
        <f>W29*$C$29</f>
        <v>7313.9665199685442</v>
      </c>
      <c r="Z29" s="354"/>
      <c r="AA29" s="354">
        <f>Y29*$C$29</f>
        <v>7460.2458503679154</v>
      </c>
      <c r="AB29" s="354"/>
      <c r="AC29" s="354">
        <f>AA29*$C$29</f>
        <v>7609.4507673752742</v>
      </c>
      <c r="AD29" s="354"/>
      <c r="AE29" s="354">
        <f>AC29*$C$29</f>
        <v>7761.6397827227802</v>
      </c>
      <c r="AF29" s="354"/>
      <c r="AG29" s="354">
        <f>AE29*$C$29</f>
        <v>7916.8725783772361</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481610</v>
      </c>
      <c r="G34" s="355">
        <f>SUM(G21:G32)</f>
        <v>497536.35</v>
      </c>
      <c r="I34" s="355">
        <f>SUM(I21:I32)</f>
        <v>514018.32224999997</v>
      </c>
      <c r="K34" s="355">
        <f>SUM(K21:K32)</f>
        <v>531075.32752874994</v>
      </c>
      <c r="M34" s="355">
        <f>SUM(M21:M32)</f>
        <v>548727.45527225616</v>
      </c>
      <c r="O34" s="355">
        <f>SUM(O21:O32)</f>
        <v>566995.49731238501</v>
      </c>
      <c r="Q34" s="355">
        <f>SUM(Q21:Q32)</f>
        <v>585900.97244603036</v>
      </c>
      <c r="S34" s="355">
        <f>SUM(S21:S32)</f>
        <v>605466.1518639077</v>
      </c>
      <c r="U34" s="355">
        <f>SUM(U21:U32)</f>
        <v>625714.08546905592</v>
      </c>
      <c r="W34" s="355">
        <f>SUM(W21:W32)</f>
        <v>646668.6291161828</v>
      </c>
      <c r="Y34" s="355">
        <f>SUM(Y21:Y32)</f>
        <v>668354.47280407301</v>
      </c>
      <c r="AA34" s="355">
        <f>SUM(AA21:AA32)</f>
        <v>690797.16985441605</v>
      </c>
      <c r="AC34" s="355">
        <f>SUM(AC21:AC32)</f>
        <v>714023.16711156513</v>
      </c>
      <c r="AE34" s="355">
        <f>SUM(AE21:AE32)</f>
        <v>738059.83619895915</v>
      </c>
      <c r="AG34" s="355">
        <f>SUM(AG21:AG32)</f>
        <v>762935.50586918171</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341405.65645957447</v>
      </c>
      <c r="G36" s="355">
        <f>G10-G34</f>
        <v>346054.69787106372</v>
      </c>
      <c r="I36" s="355">
        <f>I10-I34</f>
        <v>350662.50181784038</v>
      </c>
      <c r="K36" s="355">
        <f>K10-K34</f>
        <v>355222.51714078616</v>
      </c>
      <c r="M36" s="355">
        <f>M10-M34</f>
        <v>359727.83551401843</v>
      </c>
      <c r="O36" s="355">
        <f>O10-O34</f>
        <v>364171.17574354634</v>
      </c>
      <c r="Q36" s="355">
        <f>Q10-Q34</f>
        <v>368544.86743629922</v>
      </c>
      <c r="S36" s="355">
        <f>S10-S34</f>
        <v>372840.83401548001</v>
      </c>
      <c r="U36" s="355">
        <f>U10-U34</f>
        <v>377050.57505731646</v>
      </c>
      <c r="W36" s="355">
        <f>W10-W34</f>
        <v>381165.1479233487</v>
      </c>
      <c r="Y36" s="355">
        <f>Y10-Y34</f>
        <v>385175.14866144676</v>
      </c>
      <c r="AA36" s="355">
        <f>AA10-AA34</f>
        <v>389070.69214774133</v>
      </c>
      <c r="AC36" s="355">
        <f>AC10-AC34</f>
        <v>392841.39144064626</v>
      </c>
      <c r="AE36" s="355">
        <f>AE10-AE34</f>
        <v>396476.3363170576</v>
      </c>
      <c r="AG36" s="355">
        <f>AG10-AG34</f>
        <v>399964.07095973555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Tax-Exempt Permanent Loan</v>
      </c>
      <c r="B39" s="358"/>
      <c r="C39" s="352"/>
      <c r="E39" s="354">
        <f>Application!AF637</f>
        <v>252040</v>
      </c>
      <c r="F39" s="354"/>
      <c r="G39" s="354">
        <f>$E$39</f>
        <v>252040</v>
      </c>
      <c r="H39" s="354"/>
      <c r="I39" s="354">
        <f>$E$39</f>
        <v>252040</v>
      </c>
      <c r="J39" s="354"/>
      <c r="K39" s="354">
        <f>$E$39</f>
        <v>252040</v>
      </c>
      <c r="L39" s="354"/>
      <c r="M39" s="354">
        <f>$E$39</f>
        <v>252040</v>
      </c>
      <c r="N39" s="354"/>
      <c r="O39" s="354">
        <f>$E$39</f>
        <v>252040</v>
      </c>
      <c r="P39" s="354"/>
      <c r="Q39" s="354">
        <f>$E$39</f>
        <v>252040</v>
      </c>
      <c r="R39" s="354"/>
      <c r="S39" s="354">
        <f>$E$39</f>
        <v>252040</v>
      </c>
      <c r="T39" s="354"/>
      <c r="U39" s="354">
        <f>$E$39</f>
        <v>252040</v>
      </c>
      <c r="V39" s="354"/>
      <c r="W39" s="354">
        <f>$E$39</f>
        <v>252040</v>
      </c>
      <c r="X39" s="354"/>
      <c r="Y39" s="354">
        <f>$E$39</f>
        <v>252040</v>
      </c>
      <c r="Z39" s="354"/>
      <c r="AA39" s="354">
        <f>$E$39</f>
        <v>252040</v>
      </c>
      <c r="AB39" s="354"/>
      <c r="AC39" s="354">
        <f>$E$39</f>
        <v>252040</v>
      </c>
      <c r="AD39" s="354"/>
      <c r="AE39" s="354">
        <f>$E$39</f>
        <v>252040</v>
      </c>
      <c r="AF39" s="354"/>
      <c r="AG39" s="354">
        <f>$E$39</f>
        <v>252040</v>
      </c>
    </row>
    <row r="40" spans="1:33" s="339" customFormat="1" ht="14.25">
      <c r="A40" s="357" t="s">
        <v>2750</v>
      </c>
      <c r="B40" s="358"/>
      <c r="C40" s="352"/>
      <c r="E40" s="354">
        <v>35288</v>
      </c>
      <c r="F40" s="354"/>
      <c r="G40" s="354">
        <f>$E$40</f>
        <v>35288</v>
      </c>
      <c r="H40" s="354"/>
      <c r="I40" s="354">
        <f>$E$40</f>
        <v>35288</v>
      </c>
      <c r="J40" s="354"/>
      <c r="K40" s="354">
        <f>$E$40</f>
        <v>35288</v>
      </c>
      <c r="L40" s="354"/>
      <c r="M40" s="354">
        <f>$E$40</f>
        <v>35288</v>
      </c>
      <c r="N40" s="354"/>
      <c r="O40" s="354">
        <f>$E$40</f>
        <v>35288</v>
      </c>
      <c r="P40" s="354"/>
      <c r="Q40" s="354">
        <f>$E$40</f>
        <v>35288</v>
      </c>
      <c r="R40" s="354"/>
      <c r="S40" s="354">
        <f>$E$40</f>
        <v>35288</v>
      </c>
      <c r="T40" s="354"/>
      <c r="U40" s="354">
        <f>$E$40</f>
        <v>35288</v>
      </c>
      <c r="V40" s="354"/>
      <c r="W40" s="354">
        <f>$E$40</f>
        <v>35288</v>
      </c>
      <c r="X40" s="354"/>
      <c r="Y40" s="354">
        <f>$E$40</f>
        <v>35288</v>
      </c>
      <c r="Z40" s="354"/>
      <c r="AA40" s="354">
        <f>$E$40</f>
        <v>35288</v>
      </c>
      <c r="AB40" s="354"/>
      <c r="AC40" s="354">
        <f>$E$40</f>
        <v>35288</v>
      </c>
      <c r="AD40" s="354"/>
      <c r="AE40" s="354">
        <f>$E$40</f>
        <v>35288</v>
      </c>
      <c r="AF40" s="354"/>
      <c r="AG40" s="354">
        <f>$E$40</f>
        <v>35288</v>
      </c>
    </row>
    <row r="41" spans="1:33" s="339" customFormat="1" ht="14.25">
      <c r="A41" s="357" t="s">
        <v>2751</v>
      </c>
      <c r="B41" s="358"/>
      <c r="C41" s="352"/>
      <c r="E41" s="364">
        <v>9500</v>
      </c>
      <c r="F41" s="354"/>
      <c r="G41" s="364">
        <f>$E$41</f>
        <v>9500</v>
      </c>
      <c r="H41" s="354"/>
      <c r="I41" s="364">
        <f>$E$41</f>
        <v>9500</v>
      </c>
      <c r="J41" s="354"/>
      <c r="K41" s="364">
        <f>$E$41</f>
        <v>9500</v>
      </c>
      <c r="L41" s="354"/>
      <c r="M41" s="364">
        <f>$E$41</f>
        <v>9500</v>
      </c>
      <c r="N41" s="354"/>
      <c r="O41" s="364">
        <f>$E$41</f>
        <v>9500</v>
      </c>
      <c r="P41" s="354"/>
      <c r="Q41" s="364">
        <f>$E$41</f>
        <v>9500</v>
      </c>
      <c r="R41" s="354"/>
      <c r="S41" s="364">
        <f>$E$41</f>
        <v>9500</v>
      </c>
      <c r="T41" s="354"/>
      <c r="U41" s="364">
        <f>$E$41</f>
        <v>9500</v>
      </c>
      <c r="V41" s="354"/>
      <c r="W41" s="364">
        <f>$E$41</f>
        <v>9500</v>
      </c>
      <c r="X41" s="354"/>
      <c r="Y41" s="364">
        <f>$E$41</f>
        <v>9500</v>
      </c>
      <c r="Z41" s="354"/>
      <c r="AA41" s="364">
        <f>$E$41</f>
        <v>9500</v>
      </c>
      <c r="AB41" s="354"/>
      <c r="AC41" s="364">
        <f>$E$41</f>
        <v>9500</v>
      </c>
      <c r="AD41" s="354"/>
      <c r="AE41" s="364">
        <f>$E$41</f>
        <v>9500</v>
      </c>
      <c r="AF41" s="354"/>
      <c r="AG41" s="364">
        <f>$E$41</f>
        <v>9500</v>
      </c>
    </row>
    <row r="42" spans="1:33" s="355" customFormat="1" ht="15">
      <c r="A42" s="355" t="s">
        <v>895</v>
      </c>
      <c r="C42" s="356"/>
      <c r="E42" s="355">
        <f>SUM(E39:E41)</f>
        <v>296828</v>
      </c>
      <c r="G42" s="355">
        <f>SUM(G39:G41)</f>
        <v>296828</v>
      </c>
      <c r="I42" s="355">
        <f>SUM(I39:I41)</f>
        <v>296828</v>
      </c>
      <c r="K42" s="355">
        <f>SUM(K39:K41)</f>
        <v>296828</v>
      </c>
      <c r="M42" s="355">
        <f>SUM(M39:M41)</f>
        <v>296828</v>
      </c>
      <c r="O42" s="355">
        <f>SUM(O39:O41)</f>
        <v>296828</v>
      </c>
      <c r="Q42" s="355">
        <f>SUM(Q39:Q41)</f>
        <v>296828</v>
      </c>
      <c r="S42" s="355">
        <f>SUM(S39:S41)</f>
        <v>296828</v>
      </c>
      <c r="U42" s="355">
        <f>SUM(U39:U41)</f>
        <v>296828</v>
      </c>
      <c r="W42" s="355">
        <f>SUM(W39:W41)</f>
        <v>296828</v>
      </c>
      <c r="Y42" s="355">
        <f>SUM(Y39:Y41)</f>
        <v>296828</v>
      </c>
      <c r="AA42" s="355">
        <f>SUM(AA39:AA41)</f>
        <v>296828</v>
      </c>
      <c r="AC42" s="355">
        <f>SUM(AC39:AC41)</f>
        <v>296828</v>
      </c>
      <c r="AE42" s="355">
        <f>SUM(AE39:AE41)</f>
        <v>296828</v>
      </c>
      <c r="AG42" s="355">
        <f>SUM(AG39:AG41)</f>
        <v>296828</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44577.656459574471</v>
      </c>
      <c r="G44" s="355">
        <f>G36-G42</f>
        <v>49226.69787106372</v>
      </c>
      <c r="I44" s="355">
        <f>I36-I42</f>
        <v>53834.501817840384</v>
      </c>
      <c r="K44" s="355">
        <f>K36-K42</f>
        <v>58394.517140786164</v>
      </c>
      <c r="M44" s="355">
        <f>M36-M42</f>
        <v>62899.835514018429</v>
      </c>
      <c r="O44" s="355">
        <f>O36-O42</f>
        <v>67343.175743546337</v>
      </c>
      <c r="Q44" s="355">
        <f>Q36-Q42</f>
        <v>71716.867436299217</v>
      </c>
      <c r="S44" s="355">
        <f>S36-S42</f>
        <v>76012.83401548001</v>
      </c>
      <c r="U44" s="355">
        <f>U36-U42</f>
        <v>80222.575057316455</v>
      </c>
      <c r="W44" s="355">
        <f>W36-W42</f>
        <v>84337.147923348704</v>
      </c>
      <c r="Y44" s="355">
        <f>Y36-Y42</f>
        <v>88347.148661446758</v>
      </c>
      <c r="AA44" s="355">
        <f>AA36-AA42</f>
        <v>92242.692147741327</v>
      </c>
      <c r="AC44" s="355">
        <f>AC36-AC42</f>
        <v>96013.391440646257</v>
      </c>
      <c r="AE44" s="355">
        <f>AE36-AE42</f>
        <v>99648.336317057605</v>
      </c>
      <c r="AG44" s="355">
        <f>AG36-AG42</f>
        <v>103136.07095973555</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4.9500369173101022E-2</v>
      </c>
      <c r="G46" s="359">
        <f>G44/(G4+G6+G8)</f>
        <v>5.3329565314914402E-2</v>
      </c>
      <c r="I46" s="359">
        <f>I44/(I4+I6+I8)</f>
        <v>5.6898939586037062E-2</v>
      </c>
      <c r="K46" s="359">
        <f>K44/(K4+K6+K8)</f>
        <v>6.0213196148448077E-2</v>
      </c>
      <c r="M46" s="359">
        <f>M44/(M4+M6+M8)</f>
        <v>6.3276908542453436E-2</v>
      </c>
      <c r="O46" s="359">
        <f>O44/(O4+O6+O8)</f>
        <v>6.6094522717371873E-2</v>
      </c>
      <c r="Q46" s="359">
        <f>Q44/(Q4+Q6+Q8)</f>
        <v>6.8670359986792315E-2</v>
      </c>
      <c r="S46" s="359">
        <f>S44/(S4+S6+S8)</f>
        <v>7.1008619910221421E-2</v>
      </c>
      <c r="U46" s="359">
        <f>U44/(U4+U6+U8)</f>
        <v>7.3113383102906188E-2</v>
      </c>
      <c r="W46" s="359">
        <f>W44/(W4+W6+W8)</f>
        <v>7.4988613975563764E-2</v>
      </c>
      <c r="Y46" s="359">
        <f>Y44/(Y4+Y6+Y8)</f>
        <v>7.6638163405719439E-2</v>
      </c>
      <c r="AA46" s="359">
        <f>AA44/(AA4+AA6+AA8)</f>
        <v>7.8065771342296322E-2</v>
      </c>
      <c r="AC46" s="359">
        <f>AC44/(AC4+AC6+AC8)</f>
        <v>7.9275069345081009E-2</v>
      </c>
      <c r="AE46" s="359">
        <f>AE44/(AE4+AE6+AE8)</f>
        <v>8.026958306062508E-2</v>
      </c>
      <c r="AG46" s="359">
        <f>AG44/(AG4+AG6+AG8)</f>
        <v>8.1052734636127582E-2</v>
      </c>
    </row>
    <row r="47" spans="1:33" s="359" customFormat="1" ht="14.25">
      <c r="A47" s="359" t="s">
        <v>899</v>
      </c>
      <c r="C47" s="352"/>
      <c r="E47" s="359">
        <f>E44/E42</f>
        <v>0.15018009237529636</v>
      </c>
      <c r="G47" s="359">
        <f>G44/G42</f>
        <v>0.16584250094689085</v>
      </c>
      <c r="I47" s="359">
        <f>I44/I42</f>
        <v>0.1813659823798307</v>
      </c>
      <c r="K47" s="359">
        <f>K44/K42</f>
        <v>0.19672846611770509</v>
      </c>
      <c r="M47" s="359">
        <f>M44/M42</f>
        <v>0.21190667832555699</v>
      </c>
      <c r="O47" s="359">
        <f>O44/O42</f>
        <v>0.22687608899277137</v>
      </c>
      <c r="Q47" s="359">
        <f>Q44/Q42</f>
        <v>0.2416108569147763</v>
      </c>
      <c r="S47" s="359">
        <f>S44/S42</f>
        <v>0.25608377247254305</v>
      </c>
      <c r="U47" s="359">
        <f>U44/U42</f>
        <v>0.27026619812590608</v>
      </c>
      <c r="W47" s="359">
        <f>W44/W42</f>
        <v>0.28412800653357739</v>
      </c>
      <c r="Y47" s="359">
        <f>Y44/Y42</f>
        <v>0.29763751620954476</v>
      </c>
      <c r="AA47" s="359">
        <f>AA44/AA42</f>
        <v>0.31076142462214257</v>
      </c>
      <c r="AC47" s="359">
        <f>AC44/AC42</f>
        <v>0.32346473863869396</v>
      </c>
      <c r="AE47" s="359">
        <f>AE44/AE42</f>
        <v>0.3357107022149447</v>
      </c>
      <c r="AG47" s="359">
        <f>AG44/AG42</f>
        <v>0.34746072122486943</v>
      </c>
    </row>
    <row r="48" spans="1:33" s="360" customFormat="1" ht="14.25">
      <c r="A48" s="360" t="s">
        <v>897</v>
      </c>
      <c r="C48" s="361"/>
      <c r="E48" s="360">
        <f>E36/E42</f>
        <v>1.1501800923752963</v>
      </c>
      <c r="G48" s="360">
        <f>G36/G42</f>
        <v>1.1658425009468909</v>
      </c>
      <c r="I48" s="360">
        <f>I36/I42</f>
        <v>1.1813659823798306</v>
      </c>
      <c r="K48" s="360">
        <f>K36/K42</f>
        <v>1.1967284661177051</v>
      </c>
      <c r="M48" s="360">
        <f>M36/M42</f>
        <v>1.211906678325557</v>
      </c>
      <c r="O48" s="360">
        <f>O36/O42</f>
        <v>1.2268760889927715</v>
      </c>
      <c r="Q48" s="360">
        <f>Q36/Q42</f>
        <v>1.2416108569147764</v>
      </c>
      <c r="S48" s="360">
        <f>S36/S42</f>
        <v>1.2560837724725431</v>
      </c>
      <c r="U48" s="360">
        <f>U36/U42</f>
        <v>1.270266198125906</v>
      </c>
      <c r="W48" s="360">
        <f>W36/W42</f>
        <v>1.2841280065335774</v>
      </c>
      <c r="Y48" s="360">
        <f>Y36/Y42</f>
        <v>1.2976375162095448</v>
      </c>
      <c r="AA48" s="360">
        <f>AA36/AA42</f>
        <v>1.3107614246221426</v>
      </c>
      <c r="AC48" s="360">
        <f>AC36/AC42</f>
        <v>1.323464738638694</v>
      </c>
      <c r="AE48" s="360">
        <f>AE36/AE42</f>
        <v>1.3357107022149446</v>
      </c>
      <c r="AG48" s="360">
        <f>AG36/AG42</f>
        <v>1.3474607212248695</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8" t="s">
        <v>2752</v>
      </c>
      <c r="B51" s="3478"/>
      <c r="C51" s="3478"/>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v>1</v>
      </c>
      <c r="E52" s="1526">
        <v>20000</v>
      </c>
      <c r="G52" s="1522">
        <f>E52*$C$52</f>
        <v>20000</v>
      </c>
      <c r="I52" s="1522">
        <f>G52*$C$52</f>
        <v>20000</v>
      </c>
      <c r="K52" s="1522">
        <f>I52*$C$52</f>
        <v>20000</v>
      </c>
      <c r="M52" s="1522">
        <f>K52*$C$52</f>
        <v>20000</v>
      </c>
      <c r="O52" s="1522">
        <f>M52*$C$52</f>
        <v>20000</v>
      </c>
      <c r="Q52" s="1522">
        <f>O52*$C$52</f>
        <v>20000</v>
      </c>
      <c r="S52" s="1522">
        <f>Q52*$C$52</f>
        <v>20000</v>
      </c>
      <c r="U52" s="1522">
        <f>S52*$C$52</f>
        <v>20000</v>
      </c>
      <c r="W52" s="1522">
        <f>U52*$C$52</f>
        <v>20000</v>
      </c>
      <c r="Y52" s="1522">
        <f>W52*$C$52</f>
        <v>20000</v>
      </c>
      <c r="AA52" s="1522">
        <f>Y52*$C$52</f>
        <v>20000</v>
      </c>
      <c r="AC52" s="1522">
        <f>AA52*$C$52</f>
        <v>20000</v>
      </c>
      <c r="AE52" s="1522">
        <f>AC52*$C$52</f>
        <v>20000</v>
      </c>
      <c r="AG52" s="1522">
        <f>AE52*$C$52</f>
        <v>20000</v>
      </c>
    </row>
    <row r="53" spans="1:35" s="6" customFormat="1">
      <c r="A53" s="6" t="s">
        <v>902</v>
      </c>
      <c r="C53" s="1520">
        <v>1</v>
      </c>
      <c r="E53" s="1527">
        <v>5000</v>
      </c>
      <c r="F53" s="1522"/>
      <c r="G53" s="1522">
        <f t="shared" ref="G53:AG56" si="1">E53*$C$52</f>
        <v>5000</v>
      </c>
      <c r="H53" s="1522"/>
      <c r="I53" s="1522">
        <f t="shared" si="1"/>
        <v>5000</v>
      </c>
      <c r="J53" s="1522"/>
      <c r="K53" s="1522">
        <f t="shared" si="1"/>
        <v>5000</v>
      </c>
      <c r="L53" s="1522"/>
      <c r="M53" s="1522">
        <f t="shared" si="1"/>
        <v>5000</v>
      </c>
      <c r="N53" s="1522"/>
      <c r="O53" s="1522">
        <f t="shared" si="1"/>
        <v>5000</v>
      </c>
      <c r="P53" s="1522"/>
      <c r="Q53" s="1522">
        <f t="shared" si="1"/>
        <v>5000</v>
      </c>
      <c r="R53" s="1522"/>
      <c r="S53" s="1522">
        <f t="shared" si="1"/>
        <v>5000</v>
      </c>
      <c r="T53" s="1522"/>
      <c r="U53" s="1522">
        <f t="shared" si="1"/>
        <v>5000</v>
      </c>
      <c r="V53" s="1522"/>
      <c r="W53" s="1522">
        <f t="shared" si="1"/>
        <v>5000</v>
      </c>
      <c r="X53" s="1522"/>
      <c r="Y53" s="1522">
        <f t="shared" si="1"/>
        <v>5000</v>
      </c>
      <c r="Z53" s="1522"/>
      <c r="AA53" s="1522">
        <f t="shared" si="1"/>
        <v>5000</v>
      </c>
      <c r="AB53" s="1522"/>
      <c r="AC53" s="1522">
        <f t="shared" si="1"/>
        <v>5000</v>
      </c>
      <c r="AD53" s="1522"/>
      <c r="AE53" s="1522">
        <f t="shared" si="1"/>
        <v>5000</v>
      </c>
      <c r="AF53" s="1522"/>
      <c r="AG53" s="1522">
        <f t="shared" si="1"/>
        <v>5000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25000</v>
      </c>
      <c r="F57" s="1522"/>
      <c r="G57" s="1522">
        <f>SUM(G52:G56)</f>
        <v>25000</v>
      </c>
      <c r="H57" s="1522"/>
      <c r="I57" s="1522">
        <f>SUM(I52:I56)</f>
        <v>25000</v>
      </c>
      <c r="J57" s="1522"/>
      <c r="K57" s="1522">
        <f>SUM(K52:K56)</f>
        <v>25000</v>
      </c>
      <c r="L57" s="1522"/>
      <c r="M57" s="1522">
        <f>SUM(M52:M56)</f>
        <v>25000</v>
      </c>
      <c r="N57" s="1522"/>
      <c r="O57" s="1522">
        <f>SUM(O52:O56)</f>
        <v>25000</v>
      </c>
      <c r="P57" s="1522"/>
      <c r="Q57" s="1522">
        <f>SUM(Q52:Q56)</f>
        <v>25000</v>
      </c>
      <c r="R57" s="1522"/>
      <c r="S57" s="1522">
        <f>SUM(S52:S56)</f>
        <v>25000</v>
      </c>
      <c r="T57" s="1522"/>
      <c r="U57" s="1522">
        <f>SUM(U52:U56)</f>
        <v>25000</v>
      </c>
      <c r="V57" s="1522"/>
      <c r="W57" s="1522">
        <f>SUM(W52:W56)</f>
        <v>25000</v>
      </c>
      <c r="X57" s="1522"/>
      <c r="Y57" s="1522">
        <f>SUM(Y52:Y56)</f>
        <v>25000</v>
      </c>
      <c r="Z57" s="1522"/>
      <c r="AA57" s="1522">
        <f>SUM(AA52:AA56)</f>
        <v>25000</v>
      </c>
      <c r="AB57" s="1522"/>
      <c r="AC57" s="1522">
        <f>SUM(AC52:AC56)</f>
        <v>25000</v>
      </c>
      <c r="AD57" s="1522"/>
      <c r="AE57" s="1522">
        <f>SUM(AE52:AE56)</f>
        <v>25000</v>
      </c>
      <c r="AF57" s="1522"/>
      <c r="AG57" s="1522">
        <f>SUM(AG52:AG56)</f>
        <v>25000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19577.656459574471</v>
      </c>
      <c r="G59" s="1524">
        <f>G44-G57</f>
        <v>24226.69787106372</v>
      </c>
      <c r="I59" s="1524">
        <f>I44-I57</f>
        <v>28834.501817840384</v>
      </c>
      <c r="K59" s="1524">
        <f>K44-K57</f>
        <v>33394.517140786164</v>
      </c>
      <c r="M59" s="1524">
        <f>M44-M57</f>
        <v>37899.835514018429</v>
      </c>
      <c r="O59" s="1524">
        <f>O44-O57</f>
        <v>42343.175743546337</v>
      </c>
      <c r="Q59" s="1524">
        <f>Q44-Q57</f>
        <v>46716.867436299217</v>
      </c>
      <c r="S59" s="1524">
        <f>S44-S57</f>
        <v>51012.83401548001</v>
      </c>
      <c r="U59" s="1524">
        <f>300000-S59-Q59-O59-M59-K59-I59-G59-E59</f>
        <v>15993.914001391269</v>
      </c>
      <c r="W59" s="1524">
        <f>W44-W57</f>
        <v>59337.147923348704</v>
      </c>
      <c r="Y59" s="1524">
        <f>Y44-Y57</f>
        <v>63347.148661446758</v>
      </c>
      <c r="AA59" s="1524">
        <f>AA44-AA57</f>
        <v>67242.692147741327</v>
      </c>
      <c r="AC59" s="1524">
        <f>AC44-AC57</f>
        <v>71013.391440646257</v>
      </c>
      <c r="AE59" s="1524">
        <f>AE44-AE57</f>
        <v>74648.336317057605</v>
      </c>
      <c r="AG59" s="1524">
        <f>AG44-AG57</f>
        <v>78136.070959735545</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26">
        <f>E59</f>
        <v>19577.656459574471</v>
      </c>
      <c r="G61" s="1532">
        <f>G59*$C$61</f>
        <v>24226.69787106372</v>
      </c>
      <c r="H61" s="1532"/>
      <c r="I61" s="1532">
        <f>I59*$C$61</f>
        <v>28834.501817840384</v>
      </c>
      <c r="J61" s="1532"/>
      <c r="K61" s="1532">
        <f>K59*$C$61</f>
        <v>33394.517140786164</v>
      </c>
      <c r="L61" s="1532"/>
      <c r="M61" s="1532">
        <f>M59*$C$61</f>
        <v>37899.835514018429</v>
      </c>
      <c r="N61" s="1532"/>
      <c r="O61" s="1532">
        <f>O59*$C$61</f>
        <v>42343.175743546337</v>
      </c>
      <c r="P61" s="1532"/>
      <c r="Q61" s="1532">
        <f>Q59*$C$61</f>
        <v>46716.867436299217</v>
      </c>
      <c r="R61" s="1532"/>
      <c r="S61" s="1532">
        <f>S59*$C$61</f>
        <v>51012.83401548001</v>
      </c>
      <c r="T61" s="1532"/>
      <c r="U61" s="1532">
        <f>U59*$C$61</f>
        <v>15993.914001391269</v>
      </c>
      <c r="V61" s="1532"/>
      <c r="W61" s="1532">
        <v>0</v>
      </c>
      <c r="Y61" s="1532">
        <v>0</v>
      </c>
      <c r="AA61" s="1532">
        <v>0</v>
      </c>
      <c r="AC61" s="1532">
        <v>0</v>
      </c>
      <c r="AE61" s="1532">
        <v>0</v>
      </c>
      <c r="AG61" s="1532">
        <v>0</v>
      </c>
    </row>
    <row r="62" spans="1:35" s="1532" customFormat="1">
      <c r="A62" s="3478" t="s">
        <v>2760</v>
      </c>
      <c r="B62" s="3478"/>
      <c r="C62" s="3478"/>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t="s">
        <v>2706</v>
      </c>
      <c r="C65" s="1896">
        <v>0.13</v>
      </c>
      <c r="E65" s="1526">
        <v>0</v>
      </c>
      <c r="G65" s="1522">
        <v>0</v>
      </c>
      <c r="I65" s="1522">
        <v>0</v>
      </c>
      <c r="K65" s="1522">
        <v>0</v>
      </c>
      <c r="M65" s="1522">
        <v>0</v>
      </c>
      <c r="O65" s="1522">
        <v>0</v>
      </c>
      <c r="Q65" s="1522">
        <v>0</v>
      </c>
      <c r="S65" s="1522">
        <v>0</v>
      </c>
      <c r="U65" s="1522">
        <v>0</v>
      </c>
      <c r="W65" s="1522">
        <f>$C$65*W$59</f>
        <v>7713.8292300353314</v>
      </c>
      <c r="Y65" s="1899">
        <f>$C$65*Y$59</f>
        <v>8235.1293259880786</v>
      </c>
      <c r="AA65" s="1899">
        <f>$C$65*AA$59</f>
        <v>8741.5499792063729</v>
      </c>
      <c r="AC65" s="1899">
        <f>$C$65*AC$59</f>
        <v>9231.7408872840133</v>
      </c>
      <c r="AE65" s="1899">
        <f>$C$65*AE$59</f>
        <v>9704.2837212174891</v>
      </c>
      <c r="AG65" s="1899">
        <f>$C$65*AG$59</f>
        <v>10157.689224765621</v>
      </c>
    </row>
    <row r="66" spans="1:33" s="1522" customFormat="1">
      <c r="A66" s="1527"/>
      <c r="B66" s="1527" t="s">
        <v>2753</v>
      </c>
      <c r="C66" s="1897">
        <v>0.32</v>
      </c>
      <c r="E66" s="1526">
        <v>0</v>
      </c>
      <c r="G66" s="1522">
        <v>0</v>
      </c>
      <c r="I66" s="1522">
        <v>0</v>
      </c>
      <c r="K66" s="1522">
        <v>0</v>
      </c>
      <c r="M66" s="1522">
        <v>0</v>
      </c>
      <c r="O66" s="1522">
        <v>0</v>
      </c>
      <c r="Q66" s="1522">
        <v>0</v>
      </c>
      <c r="S66" s="1522">
        <v>0</v>
      </c>
      <c r="U66" s="1522">
        <v>0</v>
      </c>
      <c r="W66" s="1522">
        <f>$C$66*W$59</f>
        <v>18987.887335471587</v>
      </c>
      <c r="Y66" s="1899">
        <f>$C$66*Y$59</f>
        <v>20271.087571662963</v>
      </c>
      <c r="AA66" s="1899">
        <f>$C$66*AA$59</f>
        <v>21517.661487277226</v>
      </c>
      <c r="AC66" s="1899">
        <f>$C$66*AC$59</f>
        <v>22724.285261006804</v>
      </c>
      <c r="AE66" s="1899">
        <f>$C$66*AE$59</f>
        <v>23887.467621458432</v>
      </c>
      <c r="AG66" s="1899">
        <f>$C$66*AG$59</f>
        <v>25003.542707115375</v>
      </c>
    </row>
    <row r="67" spans="1:33" s="1522" customFormat="1">
      <c r="A67" s="1527"/>
      <c r="B67" s="1527" t="s">
        <v>2754</v>
      </c>
      <c r="C67" s="1897">
        <v>0.55000000000000004</v>
      </c>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$C$67*W$59</f>
        <v>32635.43135784179</v>
      </c>
      <c r="Y67" s="1899">
        <f>$C$67*Y$59</f>
        <v>34840.931763795721</v>
      </c>
      <c r="AA67" s="1899">
        <f>$C$67*AA$59</f>
        <v>36983.48068125773</v>
      </c>
      <c r="AC67" s="1899">
        <f>$C$67*AC$59</f>
        <v>39057.365292355447</v>
      </c>
      <c r="AE67" s="1899">
        <f>$C$67*AE$59</f>
        <v>41056.584974381687</v>
      </c>
      <c r="AG67" s="1899">
        <f>$C$67*AG$59</f>
        <v>42974.839027854556</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59337.147923348704</v>
      </c>
      <c r="Y69" s="1534">
        <f>SUM(Y65:Y68)</f>
        <v>63347.148661446765</v>
      </c>
      <c r="AA69" s="1534">
        <f>SUM(AA65:AA68)</f>
        <v>67242.692147741327</v>
      </c>
      <c r="AC69" s="1534">
        <f>SUM(AC65:AC68)</f>
        <v>71013.391440646257</v>
      </c>
      <c r="AE69" s="1534">
        <f>SUM(AE65:AE68)</f>
        <v>74648.336317057605</v>
      </c>
      <c r="AG69" s="1534">
        <f>SUM(AG65:AG68)</f>
        <v>78136.070959735545</v>
      </c>
    </row>
    <row r="70" spans="1:33" s="1534" customFormat="1">
      <c r="A70" s="1524"/>
      <c r="C70" s="1533"/>
    </row>
    <row r="71" spans="1:33" s="1534" customFormat="1">
      <c r="A71" s="1524" t="s">
        <v>2038</v>
      </c>
      <c r="B71" s="1534" t="s">
        <v>255</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6" t="s">
        <v>2036</v>
      </c>
      <c r="B76" s="3477"/>
      <c r="C76" s="3477"/>
      <c r="D76" s="3477"/>
      <c r="E76" s="3477"/>
      <c r="F76" s="3477"/>
      <c r="G76" s="3477"/>
      <c r="H76" s="3477"/>
      <c r="I76" s="3477"/>
      <c r="J76" s="3477"/>
      <c r="K76" s="3477"/>
      <c r="L76" s="3477"/>
      <c r="M76" s="3477"/>
      <c r="N76" s="3477"/>
      <c r="O76" s="3477"/>
      <c r="P76" s="3477"/>
      <c r="Q76" s="3477"/>
      <c r="R76" s="3477"/>
      <c r="S76" s="3477"/>
      <c r="T76" s="3477"/>
      <c r="U76" s="3477"/>
      <c r="V76" s="3477"/>
      <c r="W76" s="3477"/>
      <c r="X76" s="3477"/>
      <c r="Y76" s="3477"/>
      <c r="Z76" s="3477"/>
      <c r="AA76" s="3477"/>
      <c r="AB76" s="3477"/>
      <c r="AC76" s="3477"/>
      <c r="AD76" s="3477"/>
      <c r="AE76" s="3477"/>
      <c r="AF76" s="3477"/>
      <c r="AG76" s="3477"/>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J13" sqref="J13"/>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9" t="s">
        <v>961</v>
      </c>
      <c r="B1" s="3479"/>
      <c r="C1" s="3479"/>
      <c r="D1" s="3479"/>
      <c r="E1" s="3479"/>
      <c r="F1" s="3479"/>
      <c r="G1" s="3479"/>
      <c r="H1" s="3479"/>
      <c r="I1" s="3479"/>
      <c r="J1" s="3479"/>
      <c r="K1" s="325"/>
      <c r="L1" s="325"/>
    </row>
    <row r="2" spans="1:12">
      <c r="A2" s="648"/>
      <c r="B2" s="648"/>
      <c r="C2" s="648"/>
      <c r="D2" s="648"/>
      <c r="E2" s="648"/>
      <c r="F2" s="648"/>
      <c r="G2" s="648"/>
      <c r="H2" s="648"/>
      <c r="I2" s="648"/>
      <c r="J2" s="648"/>
    </row>
    <row r="3" spans="1:12" ht="99.75">
      <c r="A3" s="649" t="s">
        <v>962</v>
      </c>
      <c r="B3" s="649" t="s">
        <v>963</v>
      </c>
      <c r="C3" s="649" t="s">
        <v>2409</v>
      </c>
      <c r="D3" s="649" t="s">
        <v>964</v>
      </c>
      <c r="E3" s="380"/>
      <c r="F3" s="649" t="s">
        <v>965</v>
      </c>
      <c r="G3" s="649" t="s">
        <v>966</v>
      </c>
      <c r="H3" s="650"/>
      <c r="I3" s="649" t="s">
        <v>967</v>
      </c>
      <c r="J3" s="649" t="s">
        <v>968</v>
      </c>
      <c r="K3" s="325"/>
      <c r="L3" s="470"/>
    </row>
    <row r="4" spans="1:12">
      <c r="A4" s="651" t="str">
        <f>Application!B728</f>
        <v>SRO/Studio</v>
      </c>
      <c r="B4" s="1816">
        <f>Application!G728</f>
        <v>7</v>
      </c>
      <c r="C4" s="1817" t="s">
        <v>399</v>
      </c>
      <c r="D4" s="651">
        <f>Application!O728</f>
        <v>579</v>
      </c>
      <c r="E4" s="652"/>
      <c r="F4" s="1818">
        <v>1519</v>
      </c>
      <c r="G4" s="653">
        <f>F4*B4</f>
        <v>10633</v>
      </c>
      <c r="H4" s="654"/>
      <c r="I4" s="651">
        <f>IF(F4=0," ",(F4-D4))</f>
        <v>940</v>
      </c>
      <c r="J4" s="653">
        <f>IF(F4=0," ",(I4*B4))</f>
        <v>6580</v>
      </c>
      <c r="K4" s="325"/>
      <c r="L4" s="470"/>
    </row>
    <row r="5" spans="1:12">
      <c r="A5" s="651" t="str">
        <f>Application!B729</f>
        <v>1 Bedroom</v>
      </c>
      <c r="B5" s="1816">
        <f>Application!G729</f>
        <v>9</v>
      </c>
      <c r="C5" s="1817" t="s">
        <v>399</v>
      </c>
      <c r="D5" s="651">
        <f>Application!O729</f>
        <v>608</v>
      </c>
      <c r="E5" s="652"/>
      <c r="F5" s="1818">
        <v>1864</v>
      </c>
      <c r="G5" s="653">
        <f t="shared" ref="G5:G28" si="0">F5*B5</f>
        <v>16776</v>
      </c>
      <c r="H5" s="654"/>
      <c r="I5" s="651">
        <f t="shared" ref="I5:I28" si="1">IF(F5=0," ",(F5-D5))</f>
        <v>1256</v>
      </c>
      <c r="J5" s="653">
        <f t="shared" ref="J5:J28" si="2">IF(F5=0," ",(I5*B5))</f>
        <v>11304</v>
      </c>
      <c r="K5" s="325"/>
      <c r="L5" s="470"/>
    </row>
    <row r="6" spans="1:12">
      <c r="A6" s="651" t="str">
        <f>Application!B730</f>
        <v>SRO/Studio</v>
      </c>
      <c r="B6" s="1816">
        <f>Application!G730</f>
        <v>1</v>
      </c>
      <c r="C6" s="1817" t="s">
        <v>399</v>
      </c>
      <c r="D6" s="651">
        <f>Application!O730</f>
        <v>579</v>
      </c>
      <c r="E6" s="652"/>
      <c r="F6" s="1818">
        <v>1519</v>
      </c>
      <c r="G6" s="653">
        <f t="shared" si="0"/>
        <v>1519</v>
      </c>
      <c r="H6" s="654"/>
      <c r="I6" s="651">
        <f t="shared" si="1"/>
        <v>940</v>
      </c>
      <c r="J6" s="653">
        <f t="shared" si="2"/>
        <v>940</v>
      </c>
      <c r="K6" s="325"/>
      <c r="L6" s="470"/>
    </row>
    <row r="7" spans="1:12">
      <c r="A7" s="651" t="str">
        <f>Application!B731</f>
        <v>1 Bedroom</v>
      </c>
      <c r="B7" s="1816">
        <f>Application!G731</f>
        <v>3</v>
      </c>
      <c r="C7" s="1817" t="s">
        <v>399</v>
      </c>
      <c r="D7" s="651">
        <f>Application!O731</f>
        <v>608</v>
      </c>
      <c r="E7" s="652"/>
      <c r="F7" s="1818">
        <v>1862</v>
      </c>
      <c r="G7" s="653">
        <f t="shared" si="0"/>
        <v>5586</v>
      </c>
      <c r="H7" s="654"/>
      <c r="I7" s="651">
        <f t="shared" si="1"/>
        <v>1254</v>
      </c>
      <c r="J7" s="653">
        <f t="shared" si="2"/>
        <v>3762</v>
      </c>
      <c r="K7" s="325"/>
      <c r="L7" s="470"/>
    </row>
    <row r="8" spans="1:12">
      <c r="A8" s="651" t="str">
        <f>Application!B732</f>
        <v>SRO/Studio</v>
      </c>
      <c r="B8" s="1816">
        <f>Application!G732</f>
        <v>2</v>
      </c>
      <c r="C8" s="1817" t="s">
        <v>399</v>
      </c>
      <c r="D8" s="651">
        <f>Application!O732</f>
        <v>996</v>
      </c>
      <c r="E8" s="652"/>
      <c r="F8" s="1818">
        <v>1519</v>
      </c>
      <c r="G8" s="653">
        <f t="shared" si="0"/>
        <v>3038</v>
      </c>
      <c r="H8" s="654"/>
      <c r="I8" s="651">
        <f t="shared" si="1"/>
        <v>523</v>
      </c>
      <c r="J8" s="653">
        <f t="shared" si="2"/>
        <v>1046</v>
      </c>
      <c r="K8" s="325"/>
      <c r="L8" s="470"/>
    </row>
    <row r="9" spans="1:12">
      <c r="A9" s="651" t="str">
        <f>Application!B733</f>
        <v>1 Bedroom</v>
      </c>
      <c r="B9" s="1816">
        <f>Application!G733</f>
        <v>13</v>
      </c>
      <c r="C9" s="1817" t="s">
        <v>399</v>
      </c>
      <c r="D9" s="651">
        <f>Application!O733</f>
        <v>1054</v>
      </c>
      <c r="E9" s="652"/>
      <c r="F9" s="1818">
        <v>1864</v>
      </c>
      <c r="G9" s="653">
        <f t="shared" si="0"/>
        <v>24232</v>
      </c>
      <c r="H9" s="654"/>
      <c r="I9" s="651">
        <f t="shared" si="1"/>
        <v>810</v>
      </c>
      <c r="J9" s="653">
        <f t="shared" si="2"/>
        <v>10530</v>
      </c>
      <c r="K9" s="325"/>
      <c r="L9" s="470"/>
    </row>
    <row r="10" spans="1:12">
      <c r="A10" s="651" t="str">
        <f>Application!B734</f>
        <v>SRO/Studio</v>
      </c>
      <c r="B10" s="1816">
        <f>Application!G734</f>
        <v>5</v>
      </c>
      <c r="C10" s="1817"/>
      <c r="D10" s="651">
        <f>Application!O734</f>
        <v>996</v>
      </c>
      <c r="E10" s="652"/>
      <c r="F10" s="1818"/>
      <c r="G10" s="653">
        <f t="shared" si="0"/>
        <v>0</v>
      </c>
      <c r="H10" s="654"/>
      <c r="I10" s="651" t="str">
        <f t="shared" si="1"/>
        <v xml:space="preserve"> </v>
      </c>
      <c r="J10" s="653" t="str">
        <f t="shared" si="2"/>
        <v xml:space="preserve"> </v>
      </c>
      <c r="K10" s="325"/>
      <c r="L10" s="470"/>
    </row>
    <row r="11" spans="1:12">
      <c r="A11" s="651" t="str">
        <f>Application!B735</f>
        <v>1 Bedroom</v>
      </c>
      <c r="B11" s="1816">
        <f>Application!G735</f>
        <v>5</v>
      </c>
      <c r="C11" s="1817"/>
      <c r="D11" s="651">
        <f>Application!O735</f>
        <v>1278</v>
      </c>
      <c r="E11" s="652"/>
      <c r="F11" s="1818"/>
      <c r="G11" s="653">
        <f t="shared" si="0"/>
        <v>0</v>
      </c>
      <c r="H11" s="654"/>
      <c r="I11" s="651" t="str">
        <f t="shared" si="1"/>
        <v xml:space="preserve"> </v>
      </c>
      <c r="J11" s="653" t="str">
        <f t="shared" si="2"/>
        <v xml:space="preserve"> </v>
      </c>
      <c r="K11" s="325"/>
      <c r="L11" s="470"/>
    </row>
    <row r="12" spans="1:12">
      <c r="A12" s="651" t="str">
        <f>Application!B736</f>
        <v>SRO/Studio</v>
      </c>
      <c r="B12" s="1816">
        <f>Application!G736</f>
        <v>2</v>
      </c>
      <c r="C12" s="1817"/>
      <c r="D12" s="651">
        <f>Application!O736</f>
        <v>788</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40568</v>
      </c>
      <c r="E30" s="652"/>
      <c r="F30" s="652"/>
      <c r="G30" s="657">
        <f>SUM(G4:G28)*12</f>
        <v>741408</v>
      </c>
      <c r="H30" s="658"/>
      <c r="I30" s="656"/>
      <c r="J30" s="657">
        <f>SUM(J4:J28)*12</f>
        <v>409944</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1287686</v>
      </c>
      <c r="C5" s="418">
        <f>'Sources and Uses Budget'!$C4</f>
        <v>1287686</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166328</v>
      </c>
      <c r="C6" s="418">
        <f>'Sources and Uses Budget'!$C5</f>
        <v>166328</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4262</v>
      </c>
      <c r="C7" s="418">
        <f>'Sources and Uses Budget'!$C6</f>
        <v>4262</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1458276</v>
      </c>
      <c r="C9" s="422">
        <f>SUM(C5:C8)</f>
        <v>1458276</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98175</v>
      </c>
      <c r="C11" s="418">
        <f>'Sources and Uses Budget'!$C10</f>
        <v>98175</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98175</v>
      </c>
      <c r="C12" s="422">
        <f>SUM(C10:C11)</f>
        <v>98175</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1556451</v>
      </c>
      <c r="C13" s="422">
        <f>SUM(C9+C12)</f>
        <v>1556451</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769497</v>
      </c>
      <c r="C14" s="418">
        <f>'Sources and Uses Budget'!$C13</f>
        <v>769497</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145314</v>
      </c>
      <c r="C16" s="418">
        <f>'Sources and Uses Budget'!$C15</f>
        <v>145314</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329187</v>
      </c>
      <c r="C30" s="418">
        <f>'Sources and Uses Budget'!$C29</f>
        <v>329187</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15372890</v>
      </c>
      <c r="C31" s="418">
        <f>'Sources and Uses Budget'!$C30</f>
        <v>15372890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957995</v>
      </c>
      <c r="C32" s="418">
        <f>'Sources and Uses Budget'!$C31</f>
        <v>957995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338491</v>
      </c>
      <c r="C33" s="418">
        <f>'Sources and Uses Budget'!$C32</f>
        <v>338491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938835</v>
      </c>
      <c r="C34" s="418">
        <f>'Sources and Uses Budget'!$C33</f>
        <v>938835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546058</v>
      </c>
      <c r="C36" s="418">
        <f>'Sources and Uses Budget'!$C35</f>
        <v>546058</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123500</v>
      </c>
      <c r="C37" s="418">
        <f>'Sources and Uses Budget'!$C36</f>
        <v>123500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18606956</v>
      </c>
      <c r="C39" s="422">
        <f>SUM(C30:C38)</f>
        <v>18606956</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853000</v>
      </c>
      <c r="C41" s="418">
        <f>'Sources and Uses Budget'!$C40</f>
        <v>853000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853000</v>
      </c>
      <c r="C43" s="422">
        <f>SUM(C41:C42)</f>
        <v>853000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330000</v>
      </c>
      <c r="C44" s="418">
        <f>'Sources and Uses Budget'!$C43</f>
        <v>330000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3166575</v>
      </c>
      <c r="C46" s="418">
        <f>'Sources and Uses Budget'!$C45</f>
        <v>3166575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172271</v>
      </c>
      <c r="C47" s="418">
        <f>'Sources and Uses Budget'!$C46</f>
        <v>172271</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242735</v>
      </c>
      <c r="C50" s="418">
        <f>'Sources and Uses Budget'!$C49</f>
        <v>242735</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75000</v>
      </c>
      <c r="C51" s="418">
        <f>'Sources and Uses Budget'!$C50</f>
        <v>75000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50000</v>
      </c>
      <c r="C52" s="418">
        <f>'Sources and Uses Budget'!$C51</f>
        <v>50000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215421</v>
      </c>
      <c r="C53" s="418">
        <f>'Sources and Uses Budget'!$C52</f>
        <v>215421</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Construction Lender Expenses</v>
      </c>
      <c r="B54" s="418">
        <f>'Sources and Uses Budget'!$C53</f>
        <v>50000</v>
      </c>
      <c r="C54" s="418">
        <f>'Sources and Uses Budget'!$C53</f>
        <v>50000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3972002</v>
      </c>
      <c r="C55" s="425">
        <f>SUM(C46:C54)</f>
        <v>3972002</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35710</v>
      </c>
      <c r="C57" s="418">
        <f>'Sources and Uses Budget'!$C56</f>
        <v>35710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25000</v>
      </c>
      <c r="C59" s="418">
        <f>'Sources and Uses Budget'!$C58</f>
        <v>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Perm Lender Expenses</v>
      </c>
      <c r="B62" s="418">
        <f>'Sources and Uses Budget'!$C61</f>
        <v>10000</v>
      </c>
      <c r="C62" s="418">
        <f>'Sources and Uses Budget'!$C61</f>
        <v>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70710</v>
      </c>
      <c r="C63" s="422">
        <f>SUM(C57:C62)</f>
        <v>70710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26158616</v>
      </c>
      <c r="C64" s="422">
        <f>SUM(C9+C12+C14+C15+C17+C26+C28+C39+C43+C44+C55+C63)</f>
        <v>26158616</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70000</v>
      </c>
      <c r="C66" s="418">
        <f>'Sources and Uses Budget'!$C65</f>
        <v>70000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70000</v>
      </c>
      <c r="C68" s="418">
        <f>'Sources and Uses Budget'!$C67</f>
        <v>70000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Owner Legal</v>
      </c>
      <c r="B70" s="418">
        <f>'Sources and Uses Budget'!$C69</f>
        <v>60000</v>
      </c>
      <c r="C70" s="418">
        <f>'Sources and Uses Budget'!$C69</f>
        <v>60000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200000</v>
      </c>
      <c r="C71" s="422">
        <f>SUM(C66:C70)</f>
        <v>200000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194610</v>
      </c>
      <c r="C76" s="418">
        <f>'Sources and Uses Budget'!$C75</f>
        <v>194610</v>
      </c>
      <c r="D76" s="422">
        <f t="shared" si="0"/>
        <v>0</v>
      </c>
      <c r="E76" s="420"/>
      <c r="F76" s="419"/>
      <c r="G76" s="546"/>
    </row>
    <row r="77" spans="1:253" s="540" customFormat="1">
      <c r="A77" s="424" t="s">
        <v>35</v>
      </c>
      <c r="B77" s="418">
        <f>'Sources and Uses Budget'!$C76</f>
        <v>347103</v>
      </c>
      <c r="C77" s="418">
        <f>'Sources and Uses Budget'!$C76</f>
        <v>347103</v>
      </c>
      <c r="D77" s="422">
        <f t="shared" si="0"/>
        <v>0</v>
      </c>
      <c r="E77" s="420"/>
      <c r="F77" s="419"/>
      <c r="G77" s="546"/>
    </row>
    <row r="78" spans="1:253" s="540" customFormat="1">
      <c r="A78" s="423" t="s">
        <v>632</v>
      </c>
      <c r="B78" s="422">
        <f>SUM(B73:B77)</f>
        <v>541713</v>
      </c>
      <c r="C78" s="422">
        <f>SUM(C73:C77)</f>
        <v>541713</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1874796</v>
      </c>
      <c r="C80" s="418">
        <f>'Sources and Uses Budget'!$C79</f>
        <v>1874796</v>
      </c>
      <c r="D80" s="422">
        <f t="shared" si="1"/>
        <v>0</v>
      </c>
      <c r="E80" s="420"/>
      <c r="F80" s="419"/>
      <c r="G80" s="546"/>
    </row>
    <row r="81" spans="1:7" s="540" customFormat="1">
      <c r="A81" s="853" t="s">
        <v>61</v>
      </c>
      <c r="B81" s="418">
        <f>'Sources and Uses Budget'!$C80</f>
        <v>179607</v>
      </c>
      <c r="C81" s="418">
        <f>'Sources and Uses Budget'!$C80</f>
        <v>179607</v>
      </c>
      <c r="D81" s="422">
        <f>C81-B81</f>
        <v>0</v>
      </c>
      <c r="E81" s="420"/>
      <c r="F81" s="419"/>
      <c r="G81" s="546"/>
    </row>
    <row r="82" spans="1:7" s="540" customFormat="1">
      <c r="A82" s="423" t="s">
        <v>1374</v>
      </c>
      <c r="B82" s="422">
        <f>SUM(B80:B81)</f>
        <v>2054403</v>
      </c>
      <c r="C82" s="422">
        <f>SUM(C80:C81)</f>
        <v>2054403</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35947</v>
      </c>
      <c r="C84" s="418">
        <f>'Sources and Uses Budget'!$C83</f>
        <v>35947</v>
      </c>
      <c r="D84" s="422">
        <f t="shared" si="1"/>
        <v>0</v>
      </c>
      <c r="E84" s="420"/>
      <c r="F84" s="419"/>
      <c r="G84" s="546"/>
    </row>
    <row r="85" spans="1:7" s="540" customFormat="1">
      <c r="A85" s="421" t="s">
        <v>809</v>
      </c>
      <c r="B85" s="418">
        <f>'Sources and Uses Budget'!$C84</f>
        <v>86000</v>
      </c>
      <c r="C85" s="418">
        <f>'Sources and Uses Budget'!$C84</f>
        <v>86000</v>
      </c>
      <c r="D85" s="422">
        <f t="shared" si="1"/>
        <v>0</v>
      </c>
      <c r="E85" s="420"/>
      <c r="F85" s="419"/>
      <c r="G85" s="546"/>
    </row>
    <row r="86" spans="1:7" s="540" customFormat="1">
      <c r="A86" s="421" t="s">
        <v>810</v>
      </c>
      <c r="B86" s="418">
        <f>'Sources and Uses Budget'!$C85</f>
        <v>251475</v>
      </c>
      <c r="C86" s="418">
        <f>'Sources and Uses Budget'!$C85</f>
        <v>251475</v>
      </c>
      <c r="D86" s="422">
        <f t="shared" si="1"/>
        <v>0</v>
      </c>
      <c r="E86" s="420"/>
      <c r="F86" s="419"/>
      <c r="G86" s="546"/>
    </row>
    <row r="87" spans="1:7" s="540" customFormat="1">
      <c r="A87" s="421" t="s">
        <v>811</v>
      </c>
      <c r="B87" s="418">
        <f>'Sources and Uses Budget'!$C86</f>
        <v>384000</v>
      </c>
      <c r="C87" s="418">
        <f>'Sources and Uses Budget'!$C86</f>
        <v>384000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80000</v>
      </c>
      <c r="C89" s="418">
        <f>'Sources and Uses Budget'!$C88</f>
        <v>80000</v>
      </c>
      <c r="D89" s="422">
        <f t="shared" si="1"/>
        <v>0</v>
      </c>
      <c r="E89" s="420"/>
      <c r="F89" s="419"/>
      <c r="G89" s="546"/>
    </row>
    <row r="90" spans="1:7" s="540" customFormat="1">
      <c r="A90" s="421" t="s">
        <v>814</v>
      </c>
      <c r="B90" s="418">
        <f>'Sources and Uses Budget'!$C89</f>
        <v>177000</v>
      </c>
      <c r="C90" s="418">
        <f>'Sources and Uses Budget'!$C89</f>
        <v>177000</v>
      </c>
      <c r="D90" s="422">
        <f t="shared" si="1"/>
        <v>0</v>
      </c>
      <c r="E90" s="420"/>
      <c r="F90" s="419"/>
      <c r="G90" s="546"/>
    </row>
    <row r="91" spans="1:7" s="540" customFormat="1">
      <c r="A91" s="421" t="s">
        <v>815</v>
      </c>
      <c r="B91" s="418">
        <f>'Sources and Uses Budget'!$C90</f>
        <v>25000</v>
      </c>
      <c r="C91" s="418">
        <f>'Sources and Uses Budget'!$C90</f>
        <v>25000</v>
      </c>
      <c r="D91" s="422">
        <f t="shared" si="1"/>
        <v>0</v>
      </c>
      <c r="E91" s="420"/>
      <c r="F91" s="419"/>
      <c r="G91" s="546"/>
    </row>
    <row r="92" spans="1:7" s="540" customFormat="1">
      <c r="A92" s="427" t="s">
        <v>386</v>
      </c>
      <c r="B92" s="418">
        <f>'Sources and Uses Budget'!$C91</f>
        <v>0</v>
      </c>
      <c r="C92" s="418">
        <f>'Sources and Uses Budget'!$C91</f>
        <v>0</v>
      </c>
      <c r="D92" s="422">
        <f t="shared" si="1"/>
        <v>0</v>
      </c>
      <c r="E92" s="420"/>
      <c r="F92" s="419"/>
      <c r="G92" s="546"/>
    </row>
    <row r="93" spans="1:7" s="540" customFormat="1">
      <c r="A93" s="852" t="s">
        <v>1376</v>
      </c>
      <c r="B93" s="418">
        <f>'Sources and Uses Budget'!$C92</f>
        <v>15000</v>
      </c>
      <c r="C93" s="418">
        <f>'Sources and Uses Budget'!$C92</f>
        <v>15000</v>
      </c>
      <c r="D93" s="422">
        <f t="shared" si="1"/>
        <v>0</v>
      </c>
      <c r="E93" s="420"/>
      <c r="F93" s="419"/>
      <c r="G93" s="546"/>
    </row>
    <row r="94" spans="1:7" s="540" customFormat="1">
      <c r="A94" s="424" t="s">
        <v>35</v>
      </c>
      <c r="B94" s="418">
        <f>'Sources and Uses Budget'!$C93</f>
        <v>213850</v>
      </c>
      <c r="C94" s="418">
        <f>'Sources and Uses Budget'!$C93</f>
        <v>213850</v>
      </c>
      <c r="D94" s="422">
        <f t="shared" si="1"/>
        <v>0</v>
      </c>
      <c r="E94" s="420"/>
      <c r="F94" s="419"/>
      <c r="G94" s="546"/>
    </row>
    <row r="95" spans="1:7" s="540" customFormat="1">
      <c r="A95" s="424" t="s">
        <v>35</v>
      </c>
      <c r="B95" s="418">
        <f>'Sources and Uses Budget'!$C94</f>
        <v>622247</v>
      </c>
      <c r="C95" s="418">
        <f>'Sources and Uses Budget'!$C94</f>
        <v>622247</v>
      </c>
      <c r="D95" s="422">
        <f t="shared" si="1"/>
        <v>0</v>
      </c>
      <c r="E95" s="420"/>
      <c r="F95" s="419"/>
      <c r="G95" s="546"/>
    </row>
    <row r="96" spans="1:7" s="540" customFormat="1">
      <c r="A96" s="424" t="s">
        <v>35</v>
      </c>
      <c r="B96" s="418">
        <f>'Sources and Uses Budget'!$C95</f>
        <v>54000</v>
      </c>
      <c r="C96" s="418">
        <f>'Sources and Uses Budget'!$C95</f>
        <v>54000</v>
      </c>
      <c r="D96" s="422">
        <f t="shared" si="1"/>
        <v>0</v>
      </c>
      <c r="E96" s="420"/>
      <c r="F96" s="419"/>
      <c r="G96" s="546"/>
    </row>
    <row r="97" spans="1:7" s="540" customFormat="1">
      <c r="A97" s="423" t="s">
        <v>816</v>
      </c>
      <c r="B97" s="422">
        <f>SUM(B84:B96)</f>
        <v>1944519</v>
      </c>
      <c r="C97" s="422">
        <f>SUM(C84:C96)</f>
        <v>1944519</v>
      </c>
      <c r="D97" s="422">
        <f t="shared" si="1"/>
        <v>0</v>
      </c>
      <c r="E97" s="420"/>
      <c r="F97" s="419"/>
      <c r="G97" s="546"/>
    </row>
    <row r="98" spans="1:7" s="540" customFormat="1">
      <c r="A98" s="423" t="s">
        <v>817</v>
      </c>
      <c r="B98" s="422">
        <f>SUM(B64+B71+B78+B82+B97)</f>
        <v>30899251</v>
      </c>
      <c r="C98" s="422">
        <f>SUM(C64+C71+C78+C82+C97)</f>
        <v>30899251</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3829476</v>
      </c>
      <c r="C100" s="418">
        <f>'Sources and Uses Budget'!$C99</f>
        <v>3829476</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3829476</v>
      </c>
      <c r="C105" s="422">
        <f>SUM(C100:C104)</f>
        <v>3829476</v>
      </c>
      <c r="D105" s="422">
        <f t="shared" si="1"/>
        <v>0</v>
      </c>
      <c r="E105" s="420"/>
      <c r="F105" s="419"/>
      <c r="G105" s="544"/>
    </row>
    <row r="106" spans="1:7" s="539" customFormat="1">
      <c r="A106" s="423" t="s">
        <v>822</v>
      </c>
      <c r="B106" s="425">
        <f>SUM(B98+B105)</f>
        <v>34728727</v>
      </c>
      <c r="C106" s="425">
        <f>SUM(C98+C105)</f>
        <v>34728727</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5" t="s">
        <v>1126</v>
      </c>
      <c r="B2" s="1955"/>
      <c r="C2" s="1956"/>
      <c r="D2" s="1956"/>
      <c r="E2" s="1956"/>
      <c r="F2" s="1956"/>
      <c r="G2" s="1956"/>
    </row>
    <row r="3" spans="1:9" s="256" customFormat="1">
      <c r="A3" s="1955" t="s">
        <v>1061</v>
      </c>
      <c r="B3" s="1955"/>
      <c r="C3" s="1956"/>
      <c r="D3" s="1956"/>
      <c r="E3" s="1956"/>
      <c r="F3" s="1956"/>
      <c r="G3" s="1956"/>
      <c r="I3" s="669" t="s">
        <v>312</v>
      </c>
    </row>
    <row r="4" spans="1:9">
      <c r="I4" s="670" t="s">
        <v>1127</v>
      </c>
    </row>
    <row r="5" spans="1:9" s="39" customFormat="1">
      <c r="A5" s="1959" t="s">
        <v>1062</v>
      </c>
      <c r="B5" s="1959"/>
      <c r="C5" s="1960"/>
      <c r="D5" s="1960"/>
      <c r="E5" s="1960"/>
      <c r="F5" s="1960"/>
      <c r="G5" s="1960"/>
      <c r="I5" s="670" t="s">
        <v>1128</v>
      </c>
    </row>
    <row r="6" spans="1:9" s="39" customFormat="1">
      <c r="A6" s="1959" t="s">
        <v>864</v>
      </c>
      <c r="B6" s="1959"/>
      <c r="C6" s="1960"/>
      <c r="D6" s="1960"/>
      <c r="E6" s="1960"/>
      <c r="F6" s="1960"/>
      <c r="G6" s="1960"/>
      <c r="I6" s="669" t="s">
        <v>617</v>
      </c>
    </row>
    <row r="7" spans="1:9" ht="11.85" customHeight="1"/>
    <row r="8" spans="1:9" s="39" customFormat="1">
      <c r="A8" s="1957" t="s">
        <v>1223</v>
      </c>
      <c r="B8" s="1957"/>
      <c r="C8" s="1958"/>
      <c r="D8" s="1958"/>
      <c r="E8" s="1958"/>
      <c r="F8" s="1958"/>
      <c r="G8" s="1958"/>
    </row>
    <row r="9" spans="1:9" s="39" customFormat="1">
      <c r="A9" s="1957" t="s">
        <v>1224</v>
      </c>
      <c r="B9" s="1957"/>
      <c r="C9" s="1958"/>
      <c r="D9" s="1958"/>
      <c r="E9" s="1958"/>
      <c r="F9" s="1958"/>
      <c r="G9" s="1958"/>
    </row>
    <row r="10" spans="1:9">
      <c r="A10" s="258"/>
      <c r="B10" s="258"/>
      <c r="C10" s="255"/>
      <c r="D10" s="255"/>
      <c r="E10" s="255"/>
      <c r="F10" s="255"/>
    </row>
    <row r="11" spans="1:9">
      <c r="A11" s="1961" t="s">
        <v>1226</v>
      </c>
      <c r="B11" s="1961"/>
      <c r="C11" s="1961"/>
      <c r="D11" s="1961"/>
      <c r="E11" s="1961"/>
      <c r="F11" s="1961"/>
      <c r="G11" s="1961"/>
    </row>
    <row r="12" spans="1:9">
      <c r="A12" s="255"/>
      <c r="B12" s="665"/>
      <c r="E12" s="50"/>
    </row>
    <row r="13" spans="1:9" ht="13.15" customHeight="1">
      <c r="C13" s="255"/>
      <c r="D13" s="1979" t="s">
        <v>1225</v>
      </c>
      <c r="E13" s="1979"/>
      <c r="F13" s="1979"/>
    </row>
    <row r="14" spans="1:9">
      <c r="C14" s="255"/>
      <c r="D14" s="1979"/>
      <c r="E14" s="1979"/>
      <c r="F14" s="1979"/>
    </row>
    <row r="15" spans="1:9">
      <c r="A15" s="260"/>
      <c r="B15" s="260"/>
      <c r="C15" s="260"/>
      <c r="D15" s="1918" t="s">
        <v>1208</v>
      </c>
      <c r="E15" s="1918"/>
      <c r="F15" s="1918"/>
    </row>
    <row r="16" spans="1:9">
      <c r="A16" s="260"/>
      <c r="B16" s="260"/>
      <c r="C16" s="260"/>
      <c r="D16" s="327"/>
    </row>
    <row r="17" spans="1:7" ht="14.25">
      <c r="A17" s="261"/>
      <c r="B17" s="671" t="s">
        <v>312</v>
      </c>
      <c r="C17" s="313"/>
      <c r="D17" s="1905" t="s">
        <v>1209</v>
      </c>
      <c r="E17" s="1905"/>
      <c r="F17" s="1905"/>
    </row>
    <row r="18" spans="1:7">
      <c r="A18" s="260"/>
      <c r="B18" s="260"/>
      <c r="C18" s="313"/>
      <c r="D18" s="1905"/>
      <c r="E18" s="1905"/>
      <c r="F18" s="1905"/>
    </row>
    <row r="19" spans="1:7">
      <c r="A19" s="260"/>
      <c r="B19" s="260"/>
      <c r="C19" s="313"/>
      <c r="D19" s="1905"/>
      <c r="E19" s="1905"/>
      <c r="F19" s="1905"/>
    </row>
    <row r="20" spans="1:7">
      <c r="A20" s="260"/>
      <c r="B20" s="260"/>
      <c r="C20" s="260"/>
    </row>
    <row r="21" spans="1:7" ht="14.25">
      <c r="A21" s="261"/>
      <c r="B21" s="671" t="s">
        <v>312</v>
      </c>
      <c r="D21" s="1971" t="s">
        <v>1210</v>
      </c>
      <c r="E21" s="1971"/>
      <c r="F21" s="1971"/>
    </row>
    <row r="22" spans="1:7" ht="14.25">
      <c r="A22" s="261"/>
      <c r="B22" s="261"/>
      <c r="D22" s="135"/>
    </row>
    <row r="23" spans="1:7" ht="14.25">
      <c r="A23" s="261"/>
      <c r="B23" s="671" t="s">
        <v>312</v>
      </c>
      <c r="D23" s="1905" t="s">
        <v>1211</v>
      </c>
      <c r="E23" s="1905"/>
      <c r="F23" s="1905"/>
    </row>
    <row r="24" spans="1:7" ht="14.25">
      <c r="A24" s="261"/>
      <c r="B24" s="261"/>
      <c r="D24" s="1905"/>
      <c r="E24" s="1905"/>
      <c r="F24" s="1905"/>
    </row>
    <row r="25" spans="1:7"/>
    <row r="26" spans="1:7" ht="14.25">
      <c r="A26" s="261"/>
      <c r="B26" s="671" t="s">
        <v>312</v>
      </c>
      <c r="D26" s="1940" t="s">
        <v>1212</v>
      </c>
      <c r="E26" s="1940"/>
      <c r="F26" s="1940"/>
    </row>
    <row r="27" spans="1:7">
      <c r="D27" s="1940"/>
      <c r="E27" s="1940"/>
      <c r="F27" s="1940"/>
    </row>
    <row r="28" spans="1:7">
      <c r="D28" s="1940"/>
      <c r="E28" s="1940"/>
      <c r="F28" s="1940"/>
    </row>
    <row r="29" spans="1:7">
      <c r="A29" s="551"/>
      <c r="C29" s="551"/>
      <c r="D29" s="1940"/>
      <c r="E29" s="1940"/>
      <c r="F29" s="1940"/>
    </row>
    <row r="30" spans="1:7">
      <c r="A30" s="551"/>
      <c r="C30" s="551"/>
      <c r="D30" s="1940"/>
      <c r="E30" s="1940"/>
      <c r="F30" s="1940"/>
    </row>
    <row r="31" spans="1:7" s="39" customFormat="1">
      <c r="A31" s="273"/>
      <c r="B31" s="273"/>
      <c r="C31" s="273"/>
      <c r="D31" s="440"/>
      <c r="E31" s="130"/>
      <c r="F31" s="130"/>
      <c r="G31" s="130"/>
    </row>
    <row r="32" spans="1:7" s="39" customFormat="1">
      <c r="A32" s="273"/>
      <c r="B32" s="671" t="s">
        <v>312</v>
      </c>
      <c r="C32" s="273"/>
      <c r="D32" s="1906" t="s">
        <v>1213</v>
      </c>
      <c r="E32" s="1906"/>
      <c r="F32" s="1906"/>
      <c r="G32" s="130"/>
    </row>
    <row r="33" spans="1:7" s="39" customFormat="1">
      <c r="A33" s="273"/>
      <c r="B33" s="273"/>
      <c r="C33" s="273"/>
      <c r="D33" s="1906"/>
      <c r="E33" s="1906"/>
      <c r="F33" s="1906"/>
      <c r="G33" s="130"/>
    </row>
    <row r="34" spans="1:7" ht="14.25">
      <c r="A34" s="261"/>
      <c r="B34" s="261"/>
      <c r="D34" s="401"/>
    </row>
    <row r="35" spans="1:7" ht="14.45" customHeight="1">
      <c r="A35" s="261"/>
      <c r="B35" s="671" t="s">
        <v>312</v>
      </c>
      <c r="C35" s="547"/>
      <c r="D35" s="1906" t="s">
        <v>1214</v>
      </c>
      <c r="E35" s="1906"/>
      <c r="F35" s="1906"/>
    </row>
    <row r="36" spans="1:7" ht="14.25">
      <c r="A36" s="261"/>
      <c r="B36" s="261"/>
      <c r="C36" s="547"/>
      <c r="D36" s="1906"/>
      <c r="E36" s="1906"/>
      <c r="F36" s="1906"/>
    </row>
    <row r="37" spans="1:7" ht="14.25">
      <c r="A37" s="261"/>
      <c r="B37" s="261"/>
      <c r="C37" s="547"/>
      <c r="D37" s="1906"/>
      <c r="E37" s="1906"/>
      <c r="F37" s="1906"/>
    </row>
    <row r="38" spans="1:7" ht="14.25">
      <c r="A38" s="261"/>
      <c r="B38" s="261"/>
      <c r="C38" s="547"/>
      <c r="D38" s="12"/>
    </row>
    <row r="39" spans="1:7" s="674" customFormat="1" ht="14.25">
      <c r="A39" s="261"/>
      <c r="B39" s="671" t="s">
        <v>312</v>
      </c>
      <c r="C39" s="691"/>
      <c r="D39" s="1906" t="s">
        <v>1215</v>
      </c>
      <c r="E39" s="1906"/>
      <c r="F39" s="1906"/>
      <c r="G39" s="7"/>
    </row>
    <row r="40" spans="1:7" s="674" customFormat="1" ht="14.25">
      <c r="A40" s="261"/>
      <c r="B40" s="261"/>
      <c r="C40" s="691"/>
      <c r="D40" s="1906"/>
      <c r="E40" s="1906"/>
      <c r="F40" s="1906"/>
      <c r="G40" s="7"/>
    </row>
    <row r="41" spans="1:7" s="674" customFormat="1" ht="14.25">
      <c r="A41" s="261"/>
      <c r="B41" s="261"/>
      <c r="C41" s="691"/>
      <c r="D41" s="1906"/>
      <c r="E41" s="1906"/>
      <c r="F41" s="1906"/>
      <c r="G41" s="7"/>
    </row>
    <row r="42" spans="1:7" s="674" customFormat="1" ht="14.25">
      <c r="A42" s="261"/>
      <c r="B42" s="261"/>
      <c r="C42" s="691"/>
      <c r="D42" s="1906"/>
      <c r="E42" s="1906"/>
      <c r="F42" s="1906"/>
      <c r="G42" s="7"/>
    </row>
    <row r="43" spans="1:7" s="674" customFormat="1" ht="14.25">
      <c r="A43" s="261"/>
      <c r="B43" s="261"/>
      <c r="C43" s="691"/>
      <c r="D43" s="1906"/>
      <c r="E43" s="1906"/>
      <c r="F43" s="1906"/>
      <c r="G43" s="7"/>
    </row>
    <row r="44" spans="1:7" s="674" customFormat="1" ht="14.25">
      <c r="A44" s="261"/>
      <c r="B44" s="261"/>
      <c r="C44" s="691"/>
      <c r="D44" s="690"/>
      <c r="E44" s="690"/>
      <c r="F44" s="690"/>
      <c r="G44" s="7"/>
    </row>
    <row r="45" spans="1:7" ht="14.25">
      <c r="A45" s="261"/>
      <c r="B45" s="671" t="s">
        <v>312</v>
      </c>
      <c r="C45" s="547"/>
      <c r="D45" s="1906" t="s">
        <v>1216</v>
      </c>
      <c r="E45" s="1906"/>
      <c r="F45" s="1906"/>
    </row>
    <row r="46" spans="1:7" ht="14.25">
      <c r="A46" s="261"/>
      <c r="B46" s="261"/>
      <c r="C46" s="547"/>
      <c r="D46" s="1906"/>
      <c r="E46" s="1906"/>
      <c r="F46" s="1906"/>
    </row>
    <row r="47" spans="1:7" ht="14.25">
      <c r="A47" s="261"/>
      <c r="B47" s="261"/>
      <c r="C47" s="547"/>
      <c r="D47" s="1906"/>
      <c r="E47" s="1906"/>
      <c r="F47" s="1906"/>
    </row>
    <row r="48" spans="1:7" ht="23.25" customHeight="1">
      <c r="A48" s="261"/>
      <c r="B48" s="261"/>
      <c r="C48" s="547"/>
      <c r="D48" s="1906"/>
      <c r="E48" s="1906"/>
      <c r="F48" s="1906"/>
    </row>
    <row r="49" spans="1:7" ht="14.25">
      <c r="A49" s="261"/>
      <c r="B49" s="261"/>
      <c r="D49" s="151"/>
    </row>
    <row r="50" spans="1:7" ht="14.45" customHeight="1">
      <c r="A50" s="261"/>
      <c r="B50" s="671" t="s">
        <v>312</v>
      </c>
      <c r="D50" s="1906" t="s">
        <v>1217</v>
      </c>
      <c r="E50" s="1906"/>
      <c r="F50" s="1906"/>
    </row>
    <row r="51" spans="1:7" ht="14.25">
      <c r="A51" s="261"/>
      <c r="B51" s="261"/>
      <c r="D51" s="1906"/>
      <c r="E51" s="1906"/>
      <c r="F51" s="1906"/>
    </row>
    <row r="52" spans="1:7" ht="14.25">
      <c r="A52" s="261"/>
      <c r="B52" s="261"/>
      <c r="D52" s="1906"/>
      <c r="E52" s="1906"/>
      <c r="F52" s="1906"/>
    </row>
    <row r="53" spans="1:7" s="2" customFormat="1" ht="14.25">
      <c r="A53" s="261"/>
      <c r="B53" s="261"/>
      <c r="C53" s="549"/>
      <c r="D53" s="239"/>
      <c r="E53" s="22"/>
      <c r="F53" s="22"/>
      <c r="G53" s="22"/>
    </row>
    <row r="54" spans="1:7" s="2" customFormat="1" ht="14.25">
      <c r="A54" s="400"/>
      <c r="B54" s="671" t="s">
        <v>312</v>
      </c>
      <c r="C54" s="550"/>
      <c r="D54" s="1906" t="s">
        <v>1218</v>
      </c>
      <c r="E54" s="1906"/>
      <c r="F54" s="1906"/>
      <c r="G54" s="22"/>
    </row>
    <row r="55" spans="1:7" s="2" customFormat="1" ht="14.25">
      <c r="A55" s="400"/>
      <c r="B55" s="400"/>
      <c r="C55" s="550"/>
      <c r="D55" s="1906"/>
      <c r="E55" s="1906"/>
      <c r="F55" s="1906"/>
      <c r="G55" s="22"/>
    </row>
    <row r="56" spans="1:7" s="39" customFormat="1">
      <c r="A56" s="273"/>
      <c r="B56" s="273"/>
      <c r="C56" s="273"/>
      <c r="D56" s="440"/>
      <c r="E56" s="130"/>
      <c r="F56" s="130"/>
      <c r="G56" s="130"/>
    </row>
    <row r="57" spans="1:7" ht="14.25">
      <c r="A57" s="261"/>
      <c r="B57" s="671" t="s">
        <v>312</v>
      </c>
      <c r="D57" s="1906" t="s">
        <v>1219</v>
      </c>
      <c r="E57" s="1906"/>
      <c r="F57" s="1906"/>
    </row>
    <row r="58" spans="1:7">
      <c r="D58" s="1906"/>
      <c r="E58" s="1906"/>
      <c r="F58" s="1906"/>
    </row>
    <row r="59" spans="1:7">
      <c r="D59" s="1906"/>
      <c r="E59" s="1906"/>
      <c r="F59" s="1906"/>
    </row>
    <row r="60" spans="1:7" s="674" customFormat="1">
      <c r="A60" s="691"/>
      <c r="B60" s="691"/>
      <c r="C60" s="691"/>
      <c r="D60" s="670"/>
      <c r="E60" s="7"/>
      <c r="F60" s="7"/>
      <c r="G60" s="7"/>
    </row>
    <row r="61" spans="1:7" ht="14.25">
      <c r="A61" s="261"/>
      <c r="B61" s="671" t="s">
        <v>312</v>
      </c>
      <c r="D61" s="1906" t="s">
        <v>1220</v>
      </c>
      <c r="E61" s="1906"/>
      <c r="F61" s="1906"/>
    </row>
    <row r="62" spans="1:7">
      <c r="D62" s="1906"/>
      <c r="E62" s="1906"/>
      <c r="F62" s="1906"/>
    </row>
    <row r="63" spans="1:7"/>
    <row r="64" spans="1:7" ht="14.25">
      <c r="A64" s="261"/>
      <c r="B64" s="671" t="s">
        <v>312</v>
      </c>
      <c r="D64" s="1906" t="s">
        <v>1221</v>
      </c>
      <c r="E64" s="1906"/>
      <c r="F64" s="1906"/>
    </row>
    <row r="65" spans="1:7">
      <c r="D65" s="1906"/>
      <c r="E65" s="1906"/>
      <c r="F65" s="1906"/>
    </row>
    <row r="66" spans="1:7">
      <c r="A66" s="548"/>
      <c r="C66" s="548"/>
      <c r="D66" s="1906"/>
      <c r="E66" s="1906"/>
      <c r="F66" s="1906"/>
    </row>
    <row r="67" spans="1:7">
      <c r="D67" s="12"/>
    </row>
    <row r="68" spans="1:7" ht="14.25">
      <c r="A68" s="261"/>
      <c r="B68" s="671" t="s">
        <v>312</v>
      </c>
      <c r="D68" s="1905" t="s">
        <v>1222</v>
      </c>
      <c r="E68" s="1905"/>
      <c r="F68" s="1905"/>
    </row>
    <row r="69" spans="1:7">
      <c r="D69" s="1905"/>
      <c r="E69" s="1905"/>
      <c r="F69" s="1905"/>
    </row>
    <row r="70" spans="1:7" ht="14.25">
      <c r="A70" s="261"/>
      <c r="B70" s="261"/>
      <c r="D70" s="135"/>
    </row>
    <row r="71" spans="1:7">
      <c r="A71" s="1925" t="s">
        <v>1129</v>
      </c>
      <c r="B71" s="1925"/>
      <c r="C71" s="1925"/>
      <c r="D71" s="1925"/>
      <c r="E71" s="1925"/>
      <c r="F71" s="1925"/>
      <c r="G71" s="1925"/>
    </row>
    <row r="72" spans="1:7"/>
    <row r="73" spans="1:7">
      <c r="C73" s="262"/>
      <c r="D73" s="1954" t="s">
        <v>1227</v>
      </c>
      <c r="E73" s="1954"/>
      <c r="F73" s="1954"/>
    </row>
    <row r="74" spans="1:7">
      <c r="A74" s="135"/>
      <c r="B74" s="135"/>
      <c r="D74" s="1905" t="s">
        <v>1254</v>
      </c>
      <c r="E74" s="1905"/>
      <c r="F74" s="1905"/>
    </row>
    <row r="75" spans="1:7">
      <c r="A75" s="135"/>
      <c r="B75" s="135"/>
    </row>
    <row r="76" spans="1:7" ht="14.25">
      <c r="A76" s="261"/>
      <c r="B76" s="671" t="s">
        <v>312</v>
      </c>
      <c r="D76" s="1905" t="s">
        <v>1228</v>
      </c>
      <c r="E76" s="1905"/>
      <c r="F76" s="1905"/>
    </row>
    <row r="77" spans="1:7" ht="14.25">
      <c r="A77" s="261"/>
      <c r="B77" s="261"/>
      <c r="D77" s="1905"/>
      <c r="E77" s="1905"/>
      <c r="F77" s="1905"/>
    </row>
    <row r="78" spans="1:7" ht="14.25">
      <c r="A78" s="261"/>
      <c r="B78" s="261"/>
      <c r="D78" s="1905"/>
      <c r="E78" s="1905"/>
      <c r="F78" s="1905"/>
    </row>
    <row r="79" spans="1:7" ht="14.25">
      <c r="A79" s="261"/>
      <c r="B79" s="261"/>
      <c r="D79" s="1905"/>
      <c r="E79" s="1905"/>
      <c r="F79" s="1905"/>
    </row>
    <row r="80" spans="1:7" ht="14.25">
      <c r="A80" s="261"/>
      <c r="B80" s="261"/>
      <c r="D80" s="1905"/>
      <c r="E80" s="1905"/>
      <c r="F80" s="1905"/>
    </row>
    <row r="81" spans="1:7" ht="14.25">
      <c r="A81" s="261"/>
      <c r="B81" s="261"/>
      <c r="D81" s="1905"/>
      <c r="E81" s="1905"/>
      <c r="F81" s="1905"/>
    </row>
    <row r="82" spans="1:7" s="698" customFormat="1" ht="14.25">
      <c r="A82" s="699"/>
      <c r="B82" s="699"/>
      <c r="C82" s="697"/>
      <c r="D82" s="701"/>
      <c r="E82" s="701"/>
      <c r="F82" s="701"/>
      <c r="G82" s="7"/>
    </row>
    <row r="83" spans="1:7" s="698" customFormat="1" ht="14.45" customHeight="1">
      <c r="A83" s="699"/>
      <c r="B83" s="704" t="s">
        <v>312</v>
      </c>
      <c r="C83" s="697"/>
      <c r="D83" s="1934" t="s">
        <v>1327</v>
      </c>
      <c r="E83" s="1934"/>
      <c r="F83" s="1934"/>
      <c r="G83" s="7"/>
    </row>
    <row r="84" spans="1:7" s="698" customFormat="1" ht="14.25">
      <c r="A84" s="699"/>
      <c r="B84" s="699"/>
      <c r="C84" s="697"/>
      <c r="D84" s="1934"/>
      <c r="E84" s="1934"/>
      <c r="F84" s="1934"/>
      <c r="G84" s="7"/>
    </row>
    <row r="85" spans="1:7" s="698" customFormat="1" ht="14.25">
      <c r="A85" s="699"/>
      <c r="B85" s="699"/>
      <c r="C85" s="697"/>
      <c r="D85" s="1934"/>
      <c r="E85" s="1934"/>
      <c r="F85" s="1934"/>
      <c r="G85" s="7"/>
    </row>
    <row r="86" spans="1:7" s="698" customFormat="1" ht="14.25">
      <c r="A86" s="699"/>
      <c r="B86" s="699"/>
      <c r="C86" s="697"/>
      <c r="D86" s="1934"/>
      <c r="E86" s="1934"/>
      <c r="F86" s="1934"/>
      <c r="G86" s="7"/>
    </row>
    <row r="87" spans="1:7" s="698" customFormat="1" ht="14.25">
      <c r="A87" s="699"/>
      <c r="B87" s="699"/>
      <c r="C87" s="697"/>
      <c r="D87" s="1934"/>
      <c r="E87" s="1934"/>
      <c r="F87" s="1934"/>
      <c r="G87" s="7"/>
    </row>
    <row r="88" spans="1:7" s="711" customFormat="1" ht="14.25">
      <c r="A88" s="706"/>
      <c r="B88" s="706"/>
      <c r="C88" s="737"/>
      <c r="D88" s="1934"/>
      <c r="E88" s="1934"/>
      <c r="F88" s="1934"/>
      <c r="G88" s="7"/>
    </row>
    <row r="89" spans="1:7" s="711" customFormat="1" ht="14.25">
      <c r="A89" s="706"/>
      <c r="B89" s="706"/>
      <c r="C89" s="737"/>
      <c r="D89" s="1934"/>
      <c r="E89" s="1934"/>
      <c r="F89" s="1934"/>
      <c r="G89" s="7"/>
    </row>
    <row r="90" spans="1:7" s="711" customFormat="1" ht="14.25">
      <c r="A90" s="706"/>
      <c r="B90" s="706"/>
      <c r="C90" s="737"/>
      <c r="D90" s="1934"/>
      <c r="E90" s="1934"/>
      <c r="F90" s="1934"/>
      <c r="G90" s="7"/>
    </row>
    <row r="91" spans="1:7" ht="14.25">
      <c r="A91" s="261"/>
      <c r="B91" s="261"/>
      <c r="D91" s="1934"/>
      <c r="E91" s="1934"/>
      <c r="F91" s="1934"/>
    </row>
    <row r="92" spans="1:7" ht="14.25">
      <c r="A92" s="261"/>
      <c r="B92" s="261"/>
      <c r="D92" s="1934"/>
      <c r="E92" s="1934"/>
      <c r="F92" s="1934"/>
    </row>
    <row r="93" spans="1:7" ht="14.25">
      <c r="A93" s="261"/>
      <c r="B93" s="261"/>
      <c r="D93" s="1934"/>
      <c r="E93" s="1934"/>
      <c r="F93" s="1934"/>
    </row>
    <row r="94" spans="1:7" ht="14.25">
      <c r="A94" s="261"/>
      <c r="B94" s="261"/>
      <c r="D94" s="1934"/>
      <c r="E94" s="1934"/>
      <c r="F94" s="1934"/>
    </row>
    <row r="95" spans="1:7" ht="14.25">
      <c r="A95" s="261"/>
      <c r="B95" s="261"/>
      <c r="D95" s="1934"/>
      <c r="E95" s="1934"/>
      <c r="F95" s="1934"/>
    </row>
    <row r="96" spans="1:7" ht="14.25">
      <c r="A96" s="261"/>
      <c r="B96" s="261"/>
      <c r="D96" s="1934"/>
      <c r="E96" s="1934"/>
      <c r="F96" s="1934"/>
    </row>
    <row r="97" spans="1:11" s="702" customFormat="1" ht="14.25">
      <c r="A97" s="703"/>
      <c r="B97" s="707" t="s">
        <v>312</v>
      </c>
      <c r="C97" s="697"/>
      <c r="D97" s="1905" t="s">
        <v>1229</v>
      </c>
      <c r="E97" s="1905"/>
      <c r="F97" s="1905"/>
      <c r="G97" s="7"/>
    </row>
    <row r="98" spans="1:11" s="702" customFormat="1" ht="14.25">
      <c r="A98" s="703"/>
      <c r="B98" s="703"/>
      <c r="C98" s="697"/>
      <c r="D98" s="1905"/>
      <c r="E98" s="1905"/>
      <c r="F98" s="1905"/>
      <c r="G98" s="7"/>
    </row>
    <row r="99" spans="1:11" s="702" customFormat="1" ht="14.25">
      <c r="A99" s="703"/>
      <c r="B99" s="703"/>
      <c r="C99" s="697"/>
      <c r="D99" s="1905"/>
      <c r="E99" s="1905"/>
      <c r="F99" s="1905"/>
      <c r="G99" s="7"/>
    </row>
    <row r="100" spans="1:11" s="702" customFormat="1" ht="14.25">
      <c r="A100" s="703"/>
      <c r="B100" s="703"/>
      <c r="C100" s="697"/>
      <c r="D100" s="1905"/>
      <c r="E100" s="1905"/>
      <c r="F100" s="1905"/>
      <c r="G100" s="7"/>
    </row>
    <row r="101" spans="1:11" s="702" customFormat="1" ht="14.25">
      <c r="A101" s="703"/>
      <c r="B101" s="703"/>
      <c r="C101" s="697"/>
      <c r="D101" s="1905"/>
      <c r="E101" s="1905"/>
      <c r="F101" s="1905"/>
      <c r="G101" s="7"/>
    </row>
    <row r="102" spans="1:11" s="702" customFormat="1" ht="14.25">
      <c r="A102" s="703"/>
      <c r="B102" s="703"/>
      <c r="C102" s="697"/>
      <c r="D102" s="1905"/>
      <c r="E102" s="1905"/>
      <c r="F102" s="1905"/>
      <c r="G102" s="7"/>
    </row>
    <row r="103" spans="1:11" s="702" customFormat="1" ht="14.25">
      <c r="A103" s="703"/>
      <c r="B103" s="703"/>
      <c r="C103" s="697"/>
      <c r="D103" s="1905"/>
      <c r="E103" s="1905"/>
      <c r="F103" s="1905"/>
      <c r="G103" s="7"/>
    </row>
    <row r="104" spans="1:11" s="702" customFormat="1" ht="14.25">
      <c r="A104" s="703"/>
      <c r="B104" s="703"/>
      <c r="C104" s="697"/>
      <c r="D104" s="1905"/>
      <c r="E104" s="1905"/>
      <c r="F104" s="1905"/>
      <c r="G104" s="7"/>
    </row>
    <row r="105" spans="1:11" s="705" customFormat="1" ht="14.25">
      <c r="A105" s="706"/>
      <c r="B105" s="706"/>
      <c r="C105" s="697"/>
      <c r="D105" s="708"/>
      <c r="E105" s="708"/>
      <c r="F105" s="708"/>
      <c r="G105" s="7"/>
    </row>
    <row r="106" spans="1:11" ht="14.25">
      <c r="A106" s="400"/>
      <c r="B106" s="700" t="s">
        <v>312</v>
      </c>
      <c r="C106" s="466"/>
      <c r="D106" s="1962" t="s">
        <v>1230</v>
      </c>
      <c r="E106" s="1962"/>
      <c r="F106" s="1962"/>
      <c r="G106" s="467"/>
      <c r="H106" s="465"/>
      <c r="I106" s="465"/>
      <c r="J106" s="465"/>
      <c r="K106" s="465"/>
    </row>
    <row r="107" spans="1:11" ht="14.25">
      <c r="A107" s="261"/>
      <c r="B107" s="261"/>
      <c r="C107" s="315"/>
      <c r="D107" s="1962"/>
      <c r="E107" s="1962"/>
      <c r="F107" s="1962"/>
      <c r="G107" s="467"/>
      <c r="H107" s="465"/>
      <c r="I107" s="465"/>
      <c r="J107" s="465"/>
      <c r="K107" s="465"/>
    </row>
    <row r="108" spans="1:11" ht="14.25">
      <c r="A108" s="261"/>
      <c r="B108" s="261"/>
      <c r="C108" s="315"/>
      <c r="D108" s="1962"/>
      <c r="E108" s="1962"/>
      <c r="F108" s="1962"/>
      <c r="G108" s="467"/>
      <c r="H108" s="465"/>
      <c r="I108" s="465"/>
      <c r="J108" s="465"/>
      <c r="K108" s="465"/>
    </row>
    <row r="109" spans="1:11" ht="14.25">
      <c r="A109" s="261"/>
      <c r="B109" s="261"/>
      <c r="C109" s="315"/>
      <c r="D109" s="1962"/>
      <c r="E109" s="1962"/>
      <c r="F109" s="1962"/>
      <c r="G109" s="467"/>
      <c r="H109" s="465"/>
      <c r="I109" s="465"/>
      <c r="J109" s="465"/>
      <c r="K109" s="465"/>
    </row>
    <row r="110" spans="1:11" ht="14.25">
      <c r="A110" s="261"/>
      <c r="B110" s="261"/>
      <c r="C110" s="315"/>
      <c r="D110" s="1962"/>
      <c r="E110" s="1962"/>
      <c r="F110" s="1962"/>
      <c r="G110" s="467"/>
      <c r="H110" s="465"/>
      <c r="I110" s="465"/>
      <c r="J110" s="465"/>
      <c r="K110" s="465"/>
    </row>
    <row r="111" spans="1:11">
      <c r="C111"/>
      <c r="D111" s="1962"/>
      <c r="E111" s="1962"/>
      <c r="F111" s="1962"/>
      <c r="G111"/>
      <c r="H111"/>
      <c r="I111"/>
      <c r="J111"/>
      <c r="K111"/>
    </row>
    <row r="112" spans="1:11">
      <c r="C112"/>
      <c r="D112" s="1962"/>
      <c r="E112" s="1962"/>
      <c r="F112" s="1962"/>
      <c r="G112"/>
      <c r="H112"/>
      <c r="I112"/>
      <c r="J112"/>
      <c r="K112"/>
    </row>
    <row r="113" spans="1:11">
      <c r="C113"/>
      <c r="D113" s="472"/>
      <c r="E113"/>
      <c r="F113"/>
      <c r="G113"/>
      <c r="H113"/>
      <c r="I113"/>
      <c r="J113"/>
      <c r="K113"/>
    </row>
    <row r="114" spans="1:11" ht="14.25">
      <c r="A114" s="261"/>
      <c r="B114" s="671" t="s">
        <v>312</v>
      </c>
      <c r="C114"/>
      <c r="D114" s="1963" t="s">
        <v>1231</v>
      </c>
      <c r="E114" s="1963"/>
      <c r="F114" s="1963"/>
      <c r="G114"/>
      <c r="H114"/>
      <c r="I114"/>
      <c r="J114"/>
      <c r="K114"/>
    </row>
    <row r="115" spans="1:11" ht="14.25">
      <c r="A115" s="261"/>
      <c r="B115" s="261"/>
      <c r="C115"/>
      <c r="D115" s="1963"/>
      <c r="E115" s="1963"/>
      <c r="F115" s="1963"/>
      <c r="G115"/>
      <c r="H115"/>
      <c r="I115"/>
      <c r="J115"/>
      <c r="K115"/>
    </row>
    <row r="116" spans="1:11"/>
    <row r="117" spans="1:11" ht="14.25">
      <c r="A117" s="261"/>
      <c r="B117" s="671" t="s">
        <v>312</v>
      </c>
      <c r="C117" s="10"/>
      <c r="D117" s="1905" t="s">
        <v>1232</v>
      </c>
      <c r="E117" s="1905"/>
      <c r="F117" s="1905"/>
    </row>
    <row r="118" spans="1:11">
      <c r="C118" s="10"/>
      <c r="D118" s="1905"/>
      <c r="E118" s="1905"/>
      <c r="F118" s="1905"/>
    </row>
    <row r="119" spans="1:11">
      <c r="C119" s="10"/>
      <c r="D119" s="1905"/>
      <c r="E119" s="1905"/>
      <c r="F119" s="1905"/>
    </row>
    <row r="120" spans="1:11">
      <c r="C120" s="10"/>
      <c r="D120" s="1905"/>
      <c r="E120" s="1905"/>
      <c r="F120" s="1905"/>
    </row>
    <row r="121" spans="1:11">
      <c r="C121" s="10"/>
      <c r="D121" s="1905"/>
      <c r="E121" s="1905"/>
      <c r="F121" s="1905"/>
    </row>
    <row r="122" spans="1:11">
      <c r="C122" s="10"/>
      <c r="D122" s="149"/>
      <c r="E122" s="149"/>
      <c r="F122" s="149"/>
    </row>
    <row r="123" spans="1:11" customFormat="1" ht="14.25">
      <c r="A123" s="261"/>
      <c r="B123" s="671" t="s">
        <v>312</v>
      </c>
      <c r="C123" s="10"/>
      <c r="D123" s="1906" t="s">
        <v>1233</v>
      </c>
      <c r="E123" s="1906"/>
      <c r="F123" s="1906"/>
      <c r="G123" s="149"/>
    </row>
    <row r="124" spans="1:11" s="296" customFormat="1" ht="13.7" customHeight="1">
      <c r="A124" s="293"/>
      <c r="B124" s="293"/>
      <c r="C124" s="294"/>
      <c r="D124" s="1906"/>
      <c r="E124" s="1906"/>
      <c r="F124" s="1906"/>
      <c r="G124" s="295"/>
    </row>
    <row r="125" spans="1:11" customFormat="1" ht="13.7" customHeight="1">
      <c r="A125" s="132"/>
      <c r="B125" s="668"/>
      <c r="C125" s="10"/>
      <c r="D125" s="1906"/>
      <c r="E125" s="1906"/>
      <c r="F125" s="1906"/>
      <c r="G125" s="149"/>
    </row>
    <row r="126" spans="1:11" customFormat="1" ht="13.7" customHeight="1">
      <c r="A126" s="132"/>
      <c r="B126" s="668"/>
      <c r="C126" s="10"/>
      <c r="D126" s="1906"/>
      <c r="E126" s="1906"/>
      <c r="F126" s="1906"/>
      <c r="G126" s="149"/>
    </row>
    <row r="127" spans="1:11" customFormat="1" ht="13.7" customHeight="1">
      <c r="A127" s="132"/>
      <c r="B127" s="668"/>
      <c r="C127" s="10"/>
      <c r="D127" s="1906"/>
      <c r="E127" s="1906"/>
      <c r="F127" s="1906"/>
      <c r="G127" s="149"/>
    </row>
    <row r="128" spans="1:11" customFormat="1" ht="13.7" customHeight="1">
      <c r="A128" s="375"/>
      <c r="B128" s="375"/>
      <c r="C128" s="10"/>
      <c r="D128" s="1906"/>
      <c r="E128" s="1906"/>
      <c r="F128" s="1906"/>
      <c r="G128" s="149"/>
    </row>
    <row r="129" spans="1:7" s="2" customFormat="1" ht="13.7" customHeight="1">
      <c r="A129" s="273"/>
      <c r="B129" s="273"/>
      <c r="C129" s="439"/>
      <c r="D129" s="1906"/>
      <c r="E129" s="1906"/>
      <c r="F129" s="1906"/>
      <c r="G129" s="182"/>
    </row>
    <row r="130" spans="1:7" s="2" customFormat="1" ht="13.7" customHeight="1">
      <c r="A130" s="273"/>
      <c r="B130" s="273"/>
      <c r="C130" s="439"/>
      <c r="D130" s="1906"/>
      <c r="E130" s="1906"/>
      <c r="F130" s="1906"/>
      <c r="G130" s="182"/>
    </row>
    <row r="131" spans="1:7" customFormat="1" ht="13.7" customHeight="1">
      <c r="A131" s="132"/>
      <c r="B131" s="668"/>
      <c r="C131" s="10"/>
      <c r="D131" s="1906"/>
      <c r="E131" s="1906"/>
      <c r="F131" s="1906"/>
      <c r="G131" s="149"/>
    </row>
    <row r="132" spans="1:7" customFormat="1" ht="13.7" customHeight="1">
      <c r="A132" s="132"/>
      <c r="B132" s="668"/>
      <c r="C132" s="10"/>
      <c r="D132" s="1906"/>
      <c r="E132" s="1906"/>
      <c r="F132" s="1906"/>
      <c r="G132" s="149"/>
    </row>
    <row r="133" spans="1:7" customFormat="1" ht="13.7" customHeight="1">
      <c r="A133" s="132"/>
      <c r="B133" s="668"/>
      <c r="C133" s="10"/>
      <c r="D133" s="1906"/>
      <c r="E133" s="1906"/>
      <c r="F133" s="1906"/>
      <c r="G133" s="149"/>
    </row>
    <row r="134" spans="1:7" customFormat="1" ht="13.7" customHeight="1">
      <c r="A134" s="132"/>
      <c r="B134" s="668"/>
      <c r="C134" s="10"/>
      <c r="D134" s="1906"/>
      <c r="E134" s="1906"/>
      <c r="F134" s="1906"/>
      <c r="G134" s="149"/>
    </row>
    <row r="135" spans="1:7" customFormat="1" ht="13.7" customHeight="1">
      <c r="A135" s="132"/>
      <c r="B135" s="668"/>
      <c r="C135" s="10"/>
      <c r="D135" s="327"/>
      <c r="E135" s="151"/>
      <c r="F135" s="151"/>
      <c r="G135" s="149"/>
    </row>
    <row r="136" spans="1:7" s="709" customFormat="1" ht="13.7" customHeight="1">
      <c r="A136" s="697"/>
      <c r="B136" s="710" t="s">
        <v>312</v>
      </c>
      <c r="C136" s="10"/>
      <c r="D136" s="1905" t="s">
        <v>1341</v>
      </c>
      <c r="E136" s="1905"/>
      <c r="F136" s="1905"/>
      <c r="G136" s="149"/>
    </row>
    <row r="137" spans="1:7" s="709" customFormat="1" ht="13.7" customHeight="1">
      <c r="A137" s="697"/>
      <c r="B137" s="697"/>
      <c r="C137" s="10"/>
      <c r="D137" s="1905"/>
      <c r="E137" s="1905"/>
      <c r="F137" s="1905"/>
      <c r="G137" s="149"/>
    </row>
    <row r="138" spans="1:7" s="709" customFormat="1" ht="13.7" customHeight="1">
      <c r="A138" s="697"/>
      <c r="B138" s="697"/>
      <c r="C138" s="10"/>
      <c r="D138" s="1905"/>
      <c r="E138" s="1905"/>
      <c r="F138" s="1905"/>
      <c r="G138" s="149"/>
    </row>
    <row r="139" spans="1:7" s="709" customFormat="1" ht="13.7" customHeight="1">
      <c r="A139" s="697"/>
      <c r="B139" s="697"/>
      <c r="C139" s="10"/>
      <c r="D139" s="1905"/>
      <c r="E139" s="1905"/>
      <c r="F139" s="1905"/>
      <c r="G139" s="149"/>
    </row>
    <row r="140" spans="1:7" s="709" customFormat="1" ht="13.7" customHeight="1">
      <c r="A140" s="697"/>
      <c r="B140" s="697"/>
      <c r="C140" s="10"/>
      <c r="D140" s="1905"/>
      <c r="E140" s="1905"/>
      <c r="F140" s="1905"/>
      <c r="G140" s="149"/>
    </row>
    <row r="141" spans="1:7" s="709" customFormat="1" ht="13.7" customHeight="1">
      <c r="A141" s="697"/>
      <c r="B141" s="697"/>
      <c r="C141" s="10"/>
      <c r="D141" s="1905"/>
      <c r="E141" s="1905"/>
      <c r="F141" s="1905"/>
      <c r="G141" s="149"/>
    </row>
    <row r="142" spans="1:7" s="709" customFormat="1" ht="13.7" customHeight="1">
      <c r="A142" s="697"/>
      <c r="B142" s="697"/>
      <c r="C142" s="10"/>
      <c r="D142" s="1905"/>
      <c r="E142" s="1905"/>
      <c r="F142" s="1905"/>
      <c r="G142" s="149"/>
    </row>
    <row r="143" spans="1:7" s="709" customFormat="1" ht="13.7" customHeight="1">
      <c r="A143" s="697"/>
      <c r="B143" s="697"/>
      <c r="C143" s="10"/>
      <c r="D143" s="1905"/>
      <c r="E143" s="1905"/>
      <c r="F143" s="1905"/>
      <c r="G143" s="149"/>
    </row>
    <row r="144" spans="1:7" s="709" customFormat="1" ht="13.7" customHeight="1">
      <c r="A144" s="697"/>
      <c r="B144" s="697"/>
      <c r="C144" s="10"/>
      <c r="D144" s="1905"/>
      <c r="E144" s="1905"/>
      <c r="F144" s="1905"/>
      <c r="G144" s="149"/>
    </row>
    <row r="145" spans="1:7" s="709" customFormat="1" ht="13.7" customHeight="1">
      <c r="A145" s="697"/>
      <c r="B145" s="697"/>
      <c r="C145" s="10"/>
      <c r="D145" s="1905"/>
      <c r="E145" s="1905"/>
      <c r="F145" s="1905"/>
      <c r="G145" s="149"/>
    </row>
    <row r="146" spans="1:7" s="709" customFormat="1" ht="13.7" customHeight="1">
      <c r="A146" s="739"/>
      <c r="B146" s="739"/>
      <c r="C146" s="10"/>
      <c r="D146" s="1905"/>
      <c r="E146" s="1905"/>
      <c r="F146" s="1905"/>
      <c r="G146" s="149"/>
    </row>
    <row r="147" spans="1:7" s="709" customFormat="1" ht="13.7" customHeight="1">
      <c r="A147" s="739"/>
      <c r="B147" s="739"/>
      <c r="C147" s="10"/>
      <c r="D147" s="1905"/>
      <c r="E147" s="1905"/>
      <c r="F147" s="1905"/>
      <c r="G147" s="149"/>
    </row>
    <row r="148" spans="1:7" s="709" customFormat="1" ht="13.7" customHeight="1">
      <c r="A148" s="697"/>
      <c r="B148" s="697"/>
      <c r="C148" s="10"/>
      <c r="D148" s="1905"/>
      <c r="E148" s="1905"/>
      <c r="F148" s="1905"/>
      <c r="G148" s="149"/>
    </row>
    <row r="149" spans="1:7" s="709" customFormat="1" ht="13.7" customHeight="1">
      <c r="A149" s="697"/>
      <c r="B149" s="697"/>
      <c r="C149" s="10"/>
      <c r="D149" s="1905"/>
      <c r="E149" s="1905"/>
      <c r="F149" s="1905"/>
      <c r="G149" s="149"/>
    </row>
    <row r="150" spans="1:7" s="709" customFormat="1" ht="13.7" customHeight="1">
      <c r="A150" s="697"/>
      <c r="B150" s="697"/>
      <c r="C150" s="10"/>
      <c r="D150" s="1905"/>
      <c r="E150" s="1905"/>
      <c r="F150" s="1905"/>
      <c r="G150" s="149"/>
    </row>
    <row r="151" spans="1:7" s="709" customFormat="1" ht="13.7" customHeight="1">
      <c r="A151" s="697"/>
      <c r="B151" s="697"/>
      <c r="C151" s="10"/>
      <c r="D151" s="1905"/>
      <c r="E151" s="1905"/>
      <c r="F151" s="1905"/>
      <c r="G151" s="149"/>
    </row>
    <row r="152" spans="1:7" s="709" customFormat="1" ht="13.7" customHeight="1">
      <c r="A152" s="697"/>
      <c r="B152" s="697"/>
      <c r="C152" s="10"/>
      <c r="D152" s="1905"/>
      <c r="E152" s="1905"/>
      <c r="F152" s="1905"/>
      <c r="G152" s="149"/>
    </row>
    <row r="153" spans="1:7" s="709" customFormat="1" ht="13.7" customHeight="1">
      <c r="A153" s="697"/>
      <c r="B153" s="697"/>
      <c r="C153" s="10"/>
      <c r="D153" s="1905"/>
      <c r="E153" s="1905"/>
      <c r="F153" s="1905"/>
      <c r="G153" s="149"/>
    </row>
    <row r="154" spans="1:7" s="709" customFormat="1" ht="13.7" customHeight="1">
      <c r="A154" s="697"/>
      <c r="B154" s="697"/>
      <c r="C154" s="10"/>
      <c r="D154" s="1905"/>
      <c r="E154" s="1905"/>
      <c r="F154" s="1905"/>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17" t="s">
        <v>1234</v>
      </c>
      <c r="E156" s="1917"/>
      <c r="F156" s="1917"/>
      <c r="G156" s="441"/>
    </row>
    <row r="157" spans="1:7" customFormat="1" ht="13.7" customHeight="1">
      <c r="A157" s="375"/>
      <c r="B157" s="375"/>
      <c r="C157" s="325"/>
      <c r="D157" s="1917"/>
      <c r="E157" s="1917"/>
      <c r="F157" s="1917"/>
      <c r="G157" s="441"/>
    </row>
    <row r="158" spans="1:7" customFormat="1" ht="13.7" customHeight="1">
      <c r="A158" s="375"/>
      <c r="B158" s="375"/>
      <c r="C158" s="325"/>
      <c r="D158" s="327"/>
      <c r="E158" s="325"/>
      <c r="F158" s="325"/>
      <c r="G158" s="441"/>
    </row>
    <row r="159" spans="1:7" customFormat="1" ht="13.7" customHeight="1">
      <c r="A159" s="375"/>
      <c r="B159" s="671" t="s">
        <v>312</v>
      </c>
      <c r="C159" s="325"/>
      <c r="D159" s="1913" t="s">
        <v>1235</v>
      </c>
      <c r="E159" s="1913"/>
      <c r="F159" s="1913"/>
      <c r="G159" s="441"/>
    </row>
    <row r="160" spans="1:7" customFormat="1" ht="13.7" customHeight="1">
      <c r="A160" s="375"/>
      <c r="B160" s="375"/>
      <c r="C160" s="325"/>
      <c r="D160" s="1913"/>
      <c r="E160" s="1913"/>
      <c r="F160" s="1913"/>
      <c r="G160" s="441"/>
    </row>
    <row r="161" spans="1:7" customFormat="1" ht="13.7" customHeight="1">
      <c r="A161" s="375"/>
      <c r="B161" s="375"/>
      <c r="C161" s="325"/>
      <c r="D161" s="1913"/>
      <c r="E161" s="1913"/>
      <c r="F161" s="1913"/>
      <c r="G161" s="441"/>
    </row>
    <row r="162" spans="1:7" customFormat="1" ht="13.7" customHeight="1">
      <c r="A162" s="375"/>
      <c r="B162" s="375"/>
      <c r="C162" s="325"/>
      <c r="D162" s="1913"/>
      <c r="E162" s="1913"/>
      <c r="F162" s="1913"/>
      <c r="G162" s="441"/>
    </row>
    <row r="163" spans="1:7" customFormat="1" ht="13.7" customHeight="1">
      <c r="A163" s="132"/>
      <c r="B163" s="668"/>
      <c r="C163" s="10"/>
      <c r="D163" s="151"/>
      <c r="E163" s="151"/>
      <c r="F163" s="151"/>
      <c r="G163" s="149"/>
    </row>
    <row r="164" spans="1:7" customFormat="1" ht="13.7" customHeight="1">
      <c r="A164" s="132"/>
      <c r="B164" s="671" t="s">
        <v>312</v>
      </c>
      <c r="C164" s="10"/>
      <c r="D164" s="1948" t="s">
        <v>1236</v>
      </c>
      <c r="E164" s="1948"/>
      <c r="F164" s="1948"/>
      <c r="G164" s="149"/>
    </row>
    <row r="165" spans="1:7" customFormat="1" ht="13.7" customHeight="1">
      <c r="A165" s="132"/>
      <c r="B165" s="668"/>
      <c r="C165" s="10"/>
      <c r="D165" s="1948"/>
      <c r="E165" s="1948"/>
      <c r="F165" s="1948"/>
      <c r="G165" s="149"/>
    </row>
    <row r="166" spans="1:7" customFormat="1" ht="13.7" customHeight="1">
      <c r="A166" s="132"/>
      <c r="B166" s="668"/>
      <c r="C166" s="10"/>
      <c r="D166" s="1948"/>
      <c r="E166" s="1948"/>
      <c r="F166" s="1948"/>
      <c r="G166" s="149"/>
    </row>
    <row r="167" spans="1:7" customFormat="1" ht="13.7" customHeight="1">
      <c r="A167" s="23"/>
      <c r="B167" s="667"/>
      <c r="C167" s="10"/>
      <c r="D167" s="7"/>
      <c r="E167" s="151"/>
      <c r="F167" s="151"/>
      <c r="G167" s="149"/>
    </row>
    <row r="168" spans="1:7">
      <c r="A168" s="1925" t="s">
        <v>1130</v>
      </c>
      <c r="B168" s="1925"/>
      <c r="C168" s="1925"/>
      <c r="D168" s="1925"/>
      <c r="E168" s="1925"/>
      <c r="F168" s="1925"/>
      <c r="G168" s="1925"/>
    </row>
    <row r="169" spans="1:7" ht="12" customHeight="1">
      <c r="D169" s="135"/>
      <c r="E169" s="135"/>
      <c r="F169" s="135"/>
    </row>
    <row r="170" spans="1:7">
      <c r="B170" s="1953" t="s">
        <v>464</v>
      </c>
      <c r="C170" s="1953"/>
      <c r="D170" s="1953"/>
      <c r="E170" s="1953"/>
      <c r="F170" s="1953"/>
    </row>
    <row r="171" spans="1:7" ht="12" customHeight="1">
      <c r="A171" s="255"/>
      <c r="B171" s="665"/>
      <c r="C171" s="255"/>
    </row>
    <row r="172" spans="1:7">
      <c r="A172" s="1925" t="s">
        <v>1131</v>
      </c>
      <c r="B172" s="1925"/>
      <c r="C172" s="1925"/>
      <c r="D172" s="1925"/>
      <c r="E172" s="1925"/>
      <c r="F172" s="1925"/>
      <c r="G172" s="1925"/>
    </row>
    <row r="173" spans="1:7" ht="12" customHeight="1">
      <c r="A173" s="264"/>
      <c r="B173" s="264"/>
      <c r="C173" s="265"/>
      <c r="D173" s="57"/>
      <c r="E173" s="49"/>
      <c r="F173" s="57"/>
      <c r="G173" s="57"/>
    </row>
    <row r="174" spans="1:7" ht="13.15" customHeight="1">
      <c r="A174" s="264"/>
      <c r="B174" s="264"/>
      <c r="C174" s="265"/>
      <c r="D174" s="1949" t="s">
        <v>1239</v>
      </c>
      <c r="E174" s="1949"/>
      <c r="F174" s="1949"/>
      <c r="G174" s="57"/>
    </row>
    <row r="175" spans="1:7">
      <c r="A175" s="264"/>
      <c r="B175" s="264"/>
      <c r="C175" s="265"/>
      <c r="D175" s="1949"/>
      <c r="E175" s="1949"/>
      <c r="F175" s="1949"/>
      <c r="G175" s="57"/>
    </row>
    <row r="176" spans="1:7" s="711" customFormat="1">
      <c r="A176" s="713"/>
      <c r="B176" s="713"/>
      <c r="C176" s="265"/>
      <c r="D176" s="1950" t="s">
        <v>1240</v>
      </c>
      <c r="E176" s="1950"/>
      <c r="F176" s="1950"/>
      <c r="G176" s="57"/>
    </row>
    <row r="177" spans="1:7" ht="12" customHeight="1">
      <c r="A177" s="264"/>
      <c r="B177" s="264"/>
      <c r="C177" s="265"/>
      <c r="D177" s="57"/>
      <c r="E177" s="49"/>
      <c r="F177" s="57"/>
      <c r="G177" s="57"/>
    </row>
    <row r="178" spans="1:7" ht="14.25">
      <c r="A178" s="261"/>
      <c r="B178" s="671" t="s">
        <v>312</v>
      </c>
      <c r="C178" s="265"/>
      <c r="D178" s="1943" t="s">
        <v>1238</v>
      </c>
      <c r="E178" s="1943"/>
      <c r="F178" s="1943"/>
      <c r="G178" s="57"/>
    </row>
    <row r="179" spans="1:7" ht="14.25">
      <c r="A179" s="261"/>
      <c r="B179" s="261"/>
      <c r="C179" s="265"/>
      <c r="D179" s="1943"/>
      <c r="E179" s="1943"/>
      <c r="F179" s="1943"/>
      <c r="G179" s="57"/>
    </row>
    <row r="180" spans="1:7" ht="14.25">
      <c r="A180" s="261"/>
      <c r="B180" s="261"/>
      <c r="C180" s="265"/>
      <c r="D180" s="1943"/>
      <c r="E180" s="1943"/>
      <c r="F180" s="1943"/>
      <c r="G180" s="57"/>
    </row>
    <row r="181" spans="1:7">
      <c r="A181" s="265"/>
      <c r="B181" s="265"/>
      <c r="C181" s="265"/>
      <c r="D181" s="1943"/>
      <c r="E181" s="1943"/>
      <c r="F181" s="1943"/>
    </row>
    <row r="182" spans="1:7">
      <c r="A182" s="265"/>
      <c r="B182" s="265"/>
      <c r="C182" s="265"/>
      <c r="D182" s="401"/>
      <c r="E182" s="57"/>
      <c r="F182" s="57"/>
    </row>
    <row r="183" spans="1:7">
      <c r="A183" s="265"/>
      <c r="B183" s="265"/>
      <c r="C183" s="265"/>
      <c r="D183" s="1952" t="s">
        <v>1147</v>
      </c>
      <c r="E183" s="1952"/>
      <c r="F183" s="1952"/>
    </row>
    <row r="184" spans="1:7">
      <c r="A184" s="265"/>
      <c r="B184" s="265"/>
      <c r="C184" s="265"/>
      <c r="D184" s="1952"/>
      <c r="E184" s="1952"/>
      <c r="F184" s="1952"/>
    </row>
    <row r="185" spans="1:7" s="674" customFormat="1">
      <c r="A185" s="265"/>
      <c r="B185" s="265"/>
      <c r="C185" s="265"/>
      <c r="D185" s="688"/>
      <c r="E185" s="688"/>
      <c r="F185" s="688"/>
      <c r="G185" s="7"/>
    </row>
    <row r="186" spans="1:7" s="669" customFormat="1" ht="14.25">
      <c r="A186" s="261"/>
      <c r="B186" s="671" t="s">
        <v>312</v>
      </c>
      <c r="C186" s="550"/>
      <c r="D186" s="1905" t="s">
        <v>1237</v>
      </c>
      <c r="E186" s="1905"/>
      <c r="F186" s="1905"/>
      <c r="G186" s="670"/>
    </row>
    <row r="187" spans="1:7" s="669" customFormat="1" ht="14.45" customHeight="1">
      <c r="A187" s="261"/>
      <c r="C187" s="550"/>
      <c r="D187" s="1905"/>
      <c r="E187" s="1905"/>
      <c r="F187" s="1905"/>
      <c r="G187" s="670"/>
    </row>
    <row r="188" spans="1:7" s="669" customFormat="1" ht="14.25">
      <c r="A188" s="261"/>
      <c r="B188" s="689"/>
      <c r="C188" s="550"/>
      <c r="D188" s="1905"/>
      <c r="E188" s="1905"/>
      <c r="F188" s="1905"/>
      <c r="G188" s="670"/>
    </row>
    <row r="189" spans="1:7" s="669" customFormat="1" ht="14.25">
      <c r="A189" s="261"/>
      <c r="B189" s="689"/>
      <c r="C189" s="550"/>
      <c r="D189" s="1905"/>
      <c r="E189" s="1905"/>
      <c r="F189" s="1905"/>
      <c r="G189" s="670"/>
    </row>
    <row r="190" spans="1:7" s="674" customFormat="1">
      <c r="A190" s="265"/>
      <c r="B190" s="265"/>
      <c r="C190" s="265"/>
      <c r="D190" s="688"/>
      <c r="E190" s="688"/>
      <c r="F190" s="688"/>
      <c r="G190" s="7"/>
    </row>
    <row r="191" spans="1:7">
      <c r="A191" s="1925" t="s">
        <v>1132</v>
      </c>
      <c r="B191" s="1925"/>
      <c r="C191" s="1925"/>
      <c r="D191" s="1925"/>
      <c r="E191" s="1925"/>
      <c r="F191" s="1925"/>
      <c r="G191" s="1925"/>
    </row>
    <row r="192" spans="1:7" ht="12" customHeight="1">
      <c r="D192" s="135"/>
      <c r="E192" s="135"/>
      <c r="F192" s="135"/>
    </row>
    <row r="193" spans="1:6">
      <c r="C193" s="262"/>
      <c r="D193" s="1951" t="s">
        <v>213</v>
      </c>
      <c r="E193" s="1951"/>
      <c r="F193" s="1951"/>
    </row>
    <row r="194" spans="1:6">
      <c r="A194" s="255"/>
      <c r="B194" s="665"/>
      <c r="C194" s="255"/>
      <c r="D194" s="1920" t="s">
        <v>1261</v>
      </c>
      <c r="E194" s="1930"/>
      <c r="F194" s="1930"/>
    </row>
    <row r="195" spans="1:6" ht="12" customHeight="1">
      <c r="A195" s="23"/>
      <c r="B195" s="667"/>
      <c r="C195" s="23"/>
    </row>
    <row r="196" spans="1:6" ht="13.15" customHeight="1">
      <c r="A196" s="23"/>
      <c r="C196" s="23"/>
      <c r="D196" s="1928" t="s">
        <v>571</v>
      </c>
      <c r="E196" s="1928"/>
      <c r="F196" s="1928"/>
    </row>
    <row r="197" spans="1:6" ht="14.25">
      <c r="A197" s="261"/>
      <c r="B197" s="671" t="s">
        <v>312</v>
      </c>
      <c r="D197" s="1905" t="s">
        <v>1255</v>
      </c>
      <c r="E197" s="1905"/>
      <c r="F197" s="1905"/>
    </row>
    <row r="198" spans="1:6" ht="14.25">
      <c r="A198" s="261"/>
      <c r="B198" s="261"/>
      <c r="D198" s="1905"/>
      <c r="E198" s="1905"/>
      <c r="F198" s="1905"/>
    </row>
    <row r="199" spans="1:6"/>
    <row r="200" spans="1:6" ht="14.25">
      <c r="A200" s="261"/>
      <c r="B200" s="671" t="s">
        <v>312</v>
      </c>
      <c r="D200" s="1905" t="s">
        <v>1256</v>
      </c>
      <c r="E200" s="1905"/>
      <c r="F200" s="1905"/>
    </row>
    <row r="201" spans="1:6" ht="14.25">
      <c r="A201" s="261"/>
      <c r="B201" s="261"/>
      <c r="D201" s="1905"/>
      <c r="E201" s="1905"/>
      <c r="F201" s="1905"/>
    </row>
    <row r="202" spans="1:6" ht="14.25">
      <c r="A202" s="261"/>
      <c r="B202" s="261"/>
      <c r="D202" s="1905"/>
      <c r="E202" s="1905"/>
      <c r="F202" s="1905"/>
    </row>
    <row r="203" spans="1:6" ht="5.0999999999999996" customHeight="1">
      <c r="A203" s="261"/>
      <c r="B203" s="261"/>
      <c r="D203" s="151"/>
      <c r="E203" s="135"/>
      <c r="F203" s="135"/>
    </row>
    <row r="204" spans="1:6" ht="14.25">
      <c r="A204" s="261"/>
      <c r="B204" s="261"/>
      <c r="D204" s="1905" t="s">
        <v>1257</v>
      </c>
      <c r="E204" s="1905"/>
      <c r="F204" s="1905"/>
    </row>
    <row r="205" spans="1:6" ht="14.25">
      <c r="A205" s="261"/>
      <c r="B205" s="261"/>
      <c r="D205" s="1905"/>
      <c r="E205" s="1905"/>
      <c r="F205" s="1905"/>
    </row>
    <row r="206" spans="1:6" ht="14.25">
      <c r="A206" s="261"/>
      <c r="B206" s="261"/>
      <c r="D206" s="1905"/>
      <c r="E206" s="1905"/>
      <c r="F206" s="1905"/>
    </row>
    <row r="207" spans="1:6" ht="14.25">
      <c r="A207" s="261"/>
      <c r="B207" s="261"/>
      <c r="D207" s="1905"/>
      <c r="E207" s="1905"/>
      <c r="F207" s="1905"/>
    </row>
    <row r="208" spans="1:6" ht="14.25">
      <c r="A208" s="261"/>
      <c r="B208" s="261"/>
      <c r="D208" s="1905"/>
      <c r="E208" s="1905"/>
      <c r="F208" s="1905"/>
    </row>
    <row r="209" spans="1:7" ht="14.25">
      <c r="A209" s="261"/>
      <c r="B209" s="261"/>
      <c r="D209" s="135"/>
      <c r="E209" s="135"/>
      <c r="F209" s="135"/>
    </row>
    <row r="210" spans="1:7" ht="14.25">
      <c r="A210" s="261"/>
      <c r="B210" s="671" t="s">
        <v>312</v>
      </c>
      <c r="D210" s="1919" t="s">
        <v>1258</v>
      </c>
      <c r="E210" s="1919"/>
      <c r="F210" s="1919"/>
    </row>
    <row r="211" spans="1:7" ht="14.25">
      <c r="A211" s="261"/>
      <c r="B211" s="261"/>
      <c r="D211" s="1919"/>
      <c r="E211" s="1919"/>
      <c r="F211" s="1919"/>
    </row>
    <row r="212" spans="1:7" ht="14.25">
      <c r="A212" s="261"/>
      <c r="B212" s="261"/>
      <c r="D212" s="1953" t="s">
        <v>946</v>
      </c>
      <c r="E212" s="1953"/>
      <c r="F212" s="1953"/>
    </row>
    <row r="213" spans="1:7" ht="14.25">
      <c r="A213" s="261"/>
      <c r="B213" s="261"/>
      <c r="D213" s="135"/>
      <c r="E213" s="135"/>
      <c r="F213" s="135"/>
    </row>
    <row r="214" spans="1:7" ht="14.45" customHeight="1">
      <c r="A214" s="261"/>
      <c r="B214" s="671" t="s">
        <v>312</v>
      </c>
      <c r="D214" s="1919" t="s">
        <v>1260</v>
      </c>
      <c r="E214" s="1919"/>
      <c r="F214" s="1919"/>
    </row>
    <row r="215" spans="1:7" ht="14.25">
      <c r="A215" s="261"/>
      <c r="B215" s="261"/>
      <c r="D215" s="1919"/>
      <c r="E215" s="1919"/>
      <c r="F215" s="1919"/>
    </row>
    <row r="216" spans="1:7" ht="14.25">
      <c r="A216" s="261"/>
      <c r="B216" s="261"/>
      <c r="D216" s="1919"/>
      <c r="E216" s="1919"/>
      <c r="F216" s="1919"/>
    </row>
    <row r="217" spans="1:7" ht="14.25">
      <c r="A217" s="261"/>
      <c r="B217" s="261"/>
      <c r="D217" s="1919"/>
      <c r="E217" s="1919"/>
      <c r="F217" s="1919"/>
    </row>
    <row r="218" spans="1:7" ht="14.25">
      <c r="A218" s="261"/>
      <c r="B218" s="261"/>
      <c r="D218" s="1919"/>
      <c r="E218" s="1919"/>
      <c r="F218" s="1919"/>
    </row>
    <row r="219" spans="1:7">
      <c r="D219" s="135"/>
      <c r="E219" s="135"/>
      <c r="F219" s="135"/>
    </row>
    <row r="220" spans="1:7" ht="14.25">
      <c r="A220" s="261"/>
      <c r="B220" s="671" t="s">
        <v>312</v>
      </c>
      <c r="D220" s="1905" t="s">
        <v>1259</v>
      </c>
      <c r="E220" s="1905"/>
      <c r="F220" s="1905"/>
    </row>
    <row r="221" spans="1:7" ht="14.25">
      <c r="A221" s="261"/>
      <c r="B221" s="261"/>
      <c r="D221" s="1905"/>
      <c r="E221" s="1905"/>
      <c r="F221" s="1905"/>
    </row>
    <row r="222" spans="1:7">
      <c r="D222" s="29"/>
    </row>
    <row r="223" spans="1:7">
      <c r="A223" s="1925" t="s">
        <v>1133</v>
      </c>
      <c r="B223" s="1925"/>
      <c r="C223" s="1925"/>
      <c r="D223" s="1925"/>
      <c r="E223" s="1925"/>
      <c r="F223" s="1925"/>
      <c r="G223" s="1925"/>
    </row>
    <row r="224" spans="1:7">
      <c r="D224" s="29"/>
    </row>
    <row r="225" spans="1:6">
      <c r="C225" s="262"/>
      <c r="D225" s="1928" t="s">
        <v>1262</v>
      </c>
      <c r="E225" s="1928"/>
      <c r="F225" s="1928"/>
    </row>
    <row r="226" spans="1:6">
      <c r="A226" s="255"/>
      <c r="B226" s="665"/>
      <c r="C226" s="255"/>
      <c r="D226" s="135"/>
      <c r="E226" s="135"/>
      <c r="F226" s="135"/>
    </row>
    <row r="227" spans="1:6">
      <c r="A227" s="260"/>
      <c r="B227" s="260"/>
      <c r="C227" s="260"/>
      <c r="D227" s="1928" t="s">
        <v>274</v>
      </c>
      <c r="E227" s="1928"/>
      <c r="F227" s="1928"/>
    </row>
    <row r="228" spans="1:6" ht="14.25">
      <c r="A228" s="261"/>
      <c r="B228" s="671" t="s">
        <v>312</v>
      </c>
      <c r="D228" s="1929" t="s">
        <v>1263</v>
      </c>
      <c r="E228" s="1929"/>
      <c r="F228" s="1929"/>
    </row>
    <row r="229" spans="1:6" ht="14.25">
      <c r="A229" s="261"/>
      <c r="B229" s="261"/>
      <c r="D229" s="1929"/>
      <c r="E229" s="1929"/>
      <c r="F229" s="1929"/>
    </row>
    <row r="230" spans="1:6">
      <c r="D230" s="135"/>
      <c r="E230" s="135"/>
      <c r="F230" s="135"/>
    </row>
    <row r="231" spans="1:6" ht="14.45" customHeight="1">
      <c r="A231" s="261"/>
      <c r="B231" s="671" t="s">
        <v>312</v>
      </c>
      <c r="D231" s="1919" t="s">
        <v>1264</v>
      </c>
      <c r="E231" s="1919"/>
      <c r="F231" s="1919"/>
    </row>
    <row r="232" spans="1:6">
      <c r="D232" s="1919"/>
      <c r="E232" s="1919"/>
      <c r="F232" s="1919"/>
    </row>
    <row r="233" spans="1:6">
      <c r="D233" s="1930" t="s">
        <v>937</v>
      </c>
      <c r="E233" s="1930"/>
      <c r="F233" s="1930"/>
    </row>
    <row r="234" spans="1:6">
      <c r="D234" s="135"/>
      <c r="E234" s="135"/>
      <c r="F234" s="135"/>
    </row>
    <row r="235" spans="1:6" ht="14.45" customHeight="1">
      <c r="A235" s="261"/>
      <c r="B235" s="671" t="s">
        <v>312</v>
      </c>
      <c r="D235" s="1919" t="s">
        <v>1266</v>
      </c>
      <c r="E235" s="1919"/>
      <c r="F235" s="1919"/>
    </row>
    <row r="236" spans="1:6">
      <c r="D236" s="1919"/>
      <c r="E236" s="1919"/>
      <c r="F236" s="1919"/>
    </row>
    <row r="237" spans="1:6">
      <c r="D237" s="1919"/>
      <c r="E237" s="1919"/>
      <c r="F237" s="1919"/>
    </row>
    <row r="238" spans="1:6">
      <c r="D238" s="1919"/>
      <c r="E238" s="1919"/>
      <c r="F238" s="1919"/>
    </row>
    <row r="239" spans="1:6">
      <c r="D239" s="1919"/>
      <c r="E239" s="1919"/>
      <c r="F239" s="1919"/>
    </row>
    <row r="240" spans="1:6">
      <c r="D240" s="135"/>
      <c r="E240" s="135"/>
      <c r="F240" s="135"/>
    </row>
    <row r="241" spans="1:7" ht="14.25">
      <c r="A241" s="261"/>
      <c r="B241" s="671" t="s">
        <v>312</v>
      </c>
      <c r="D241" s="1905" t="s">
        <v>1265</v>
      </c>
      <c r="E241" s="1905"/>
      <c r="F241" s="1905"/>
    </row>
    <row r="242" spans="1:7">
      <c r="D242" s="1905"/>
      <c r="E242" s="1905"/>
      <c r="F242" s="1905"/>
    </row>
    <row r="243" spans="1:7">
      <c r="D243" s="1905"/>
      <c r="E243" s="1905"/>
      <c r="F243" s="1905"/>
    </row>
    <row r="244" spans="1:7">
      <c r="D244" s="263"/>
      <c r="E244" s="135"/>
      <c r="F244" s="135"/>
    </row>
    <row r="245" spans="1:7">
      <c r="A245" s="1925" t="s">
        <v>1134</v>
      </c>
      <c r="B245" s="1925"/>
      <c r="C245" s="1925"/>
      <c r="D245" s="1925"/>
      <c r="E245" s="1925"/>
      <c r="F245" s="1925"/>
      <c r="G245" s="1925"/>
    </row>
    <row r="246" spans="1:7">
      <c r="D246" s="263"/>
      <c r="E246" s="135"/>
      <c r="F246" s="135"/>
    </row>
    <row r="247" spans="1:7">
      <c r="C247" s="255"/>
      <c r="D247" s="1954" t="s">
        <v>1267</v>
      </c>
      <c r="E247" s="1954"/>
      <c r="F247" s="1954"/>
    </row>
    <row r="248" spans="1:7">
      <c r="C248" s="255"/>
      <c r="D248" s="1954"/>
      <c r="E248" s="1954"/>
      <c r="F248" s="1954"/>
    </row>
    <row r="249" spans="1:7">
      <c r="A249" s="260"/>
      <c r="B249" s="260"/>
      <c r="C249" s="260"/>
      <c r="D249" s="5"/>
      <c r="E249" s="6"/>
      <c r="F249" s="6"/>
    </row>
    <row r="250" spans="1:7">
      <c r="C250" s="260"/>
      <c r="D250" s="1928" t="s">
        <v>214</v>
      </c>
      <c r="E250" s="1928"/>
      <c r="F250" s="1928"/>
    </row>
    <row r="251" spans="1:7" ht="15.75" customHeight="1">
      <c r="A251" s="261"/>
      <c r="B251" s="261"/>
      <c r="D251" s="1936" t="s">
        <v>1268</v>
      </c>
      <c r="E251" s="1936"/>
      <c r="F251" s="1936"/>
    </row>
    <row r="252" spans="1:7">
      <c r="E252" s="135"/>
      <c r="F252" s="135"/>
    </row>
    <row r="253" spans="1:7" ht="14.25">
      <c r="A253" s="261"/>
      <c r="B253" s="671" t="s">
        <v>312</v>
      </c>
      <c r="D253" s="1905" t="s">
        <v>1269</v>
      </c>
      <c r="E253" s="1905"/>
      <c r="F253" s="1905"/>
    </row>
    <row r="254" spans="1:7" ht="14.25">
      <c r="A254" s="261"/>
      <c r="B254" s="261"/>
      <c r="D254" s="1905"/>
      <c r="E254" s="1905"/>
      <c r="F254" s="1905"/>
    </row>
    <row r="255" spans="1:7">
      <c r="D255" s="135"/>
      <c r="E255" s="135"/>
      <c r="F255" s="135"/>
    </row>
    <row r="256" spans="1:7" ht="14.25">
      <c r="A256" s="261"/>
      <c r="B256" s="671" t="s">
        <v>312</v>
      </c>
      <c r="D256" s="1919" t="s">
        <v>1270</v>
      </c>
      <c r="E256" s="1919"/>
      <c r="F256" s="1919"/>
    </row>
    <row r="257" spans="1:7" ht="14.25">
      <c r="A257" s="261"/>
      <c r="B257" s="261"/>
      <c r="D257" s="1919"/>
      <c r="E257" s="1919"/>
      <c r="F257" s="1919"/>
    </row>
    <row r="258" spans="1:7" ht="14.25">
      <c r="A258" s="261"/>
      <c r="B258" s="261"/>
      <c r="D258" s="1919"/>
      <c r="E258" s="1919"/>
      <c r="F258" s="1919"/>
    </row>
    <row r="259" spans="1:7">
      <c r="D259" s="135"/>
      <c r="E259" s="135"/>
      <c r="F259" s="135"/>
    </row>
    <row r="260" spans="1:7" ht="14.25">
      <c r="A260" s="261"/>
      <c r="B260" s="671" t="s">
        <v>312</v>
      </c>
      <c r="D260" s="1905" t="s">
        <v>1271</v>
      </c>
      <c r="E260" s="1905"/>
      <c r="F260" s="1905"/>
    </row>
    <row r="261" spans="1:7" ht="14.25">
      <c r="A261" s="261"/>
      <c r="B261" s="261"/>
      <c r="D261" s="1905"/>
      <c r="E261" s="1905"/>
      <c r="F261" s="1905"/>
    </row>
    <row r="262" spans="1:7">
      <c r="A262" s="23"/>
      <c r="B262" s="667"/>
      <c r="E262" s="135"/>
      <c r="F262" s="135"/>
    </row>
    <row r="263" spans="1:7">
      <c r="A263" s="1925" t="s">
        <v>1135</v>
      </c>
      <c r="B263" s="1925"/>
      <c r="C263" s="1925"/>
      <c r="D263" s="1925"/>
      <c r="E263" s="1925"/>
      <c r="F263" s="1925"/>
      <c r="G263" s="1925"/>
    </row>
    <row r="264" spans="1:7">
      <c r="A264" s="23"/>
      <c r="B264" s="667"/>
      <c r="D264" s="135"/>
      <c r="E264" s="135"/>
      <c r="F264" s="135"/>
    </row>
    <row r="265" spans="1:7">
      <c r="C265" s="23"/>
      <c r="D265" s="1928" t="s">
        <v>708</v>
      </c>
      <c r="E265" s="1928"/>
      <c r="F265" s="1928"/>
    </row>
    <row r="266" spans="1:7">
      <c r="C266" s="23"/>
      <c r="D266" s="1918" t="s">
        <v>1272</v>
      </c>
      <c r="E266" s="1918"/>
      <c r="F266" s="1918"/>
    </row>
    <row r="267" spans="1:7">
      <c r="C267" s="23"/>
      <c r="D267" s="259"/>
    </row>
    <row r="268" spans="1:7">
      <c r="A268" s="273"/>
      <c r="B268" s="671" t="s">
        <v>312</v>
      </c>
      <c r="D268" s="1918" t="s">
        <v>1273</v>
      </c>
      <c r="E268" s="1918"/>
      <c r="F268" s="1918"/>
    </row>
    <row r="269" spans="1:7" s="39" customFormat="1" ht="14.25">
      <c r="A269" s="400"/>
      <c r="B269" s="400"/>
      <c r="C269" s="273"/>
      <c r="D269" s="490"/>
      <c r="E269" s="491"/>
      <c r="F269" s="491"/>
      <c r="G269" s="130"/>
    </row>
    <row r="270" spans="1:7" s="39" customFormat="1" ht="13.15" customHeight="1">
      <c r="A270" s="273"/>
      <c r="B270" s="671" t="s">
        <v>312</v>
      </c>
      <c r="C270" s="273"/>
      <c r="D270" s="1931" t="s">
        <v>1274</v>
      </c>
      <c r="E270" s="1931"/>
      <c r="F270" s="1931"/>
      <c r="G270" s="130"/>
    </row>
    <row r="271" spans="1:7" s="39" customFormat="1" ht="14.25">
      <c r="A271" s="400"/>
      <c r="B271" s="400"/>
      <c r="C271" s="273"/>
      <c r="D271" s="1931"/>
      <c r="E271" s="1931"/>
      <c r="F271" s="1931"/>
      <c r="G271" s="130"/>
    </row>
    <row r="272" spans="1:7" s="39" customFormat="1" ht="14.25">
      <c r="A272" s="400"/>
      <c r="B272" s="400"/>
      <c r="C272" s="273"/>
      <c r="D272" s="1931"/>
      <c r="E272" s="1931"/>
      <c r="F272" s="1931"/>
      <c r="G272" s="130"/>
    </row>
    <row r="273" spans="1:7" s="39" customFormat="1" ht="14.25">
      <c r="A273" s="400"/>
      <c r="B273" s="400"/>
      <c r="C273" s="273"/>
      <c r="D273" s="1931"/>
      <c r="E273" s="1931"/>
      <c r="F273" s="1931"/>
      <c r="G273" s="130"/>
    </row>
    <row r="274" spans="1:7" s="39" customFormat="1" ht="14.25">
      <c r="A274" s="400"/>
      <c r="B274" s="400"/>
      <c r="C274" s="273"/>
      <c r="D274" s="1931"/>
      <c r="E274" s="1931"/>
      <c r="F274" s="1931"/>
      <c r="G274" s="130"/>
    </row>
    <row r="275" spans="1:7" s="39" customFormat="1" ht="14.25">
      <c r="A275" s="400"/>
      <c r="B275" s="400"/>
      <c r="C275" s="273"/>
      <c r="D275" s="490"/>
      <c r="E275" s="491"/>
      <c r="F275" s="491"/>
      <c r="G275" s="130"/>
    </row>
    <row r="276" spans="1:7" s="39" customFormat="1" ht="13.15" customHeight="1">
      <c r="A276" s="273"/>
      <c r="B276" s="671" t="s">
        <v>312</v>
      </c>
      <c r="C276" s="273"/>
      <c r="D276" s="1931" t="s">
        <v>1275</v>
      </c>
      <c r="E276" s="1931"/>
      <c r="F276" s="1931"/>
      <c r="G276" s="130"/>
    </row>
    <row r="277" spans="1:7" s="39" customFormat="1">
      <c r="A277" s="273"/>
      <c r="B277" s="273"/>
      <c r="C277" s="273"/>
      <c r="D277" s="1931"/>
      <c r="E277" s="1931"/>
      <c r="F277" s="1931"/>
      <c r="G277" s="130"/>
    </row>
    <row r="278" spans="1:7" s="39" customFormat="1" ht="14.25">
      <c r="A278" s="400"/>
      <c r="B278" s="400"/>
      <c r="C278" s="273"/>
      <c r="D278" s="490"/>
      <c r="E278" s="491"/>
      <c r="F278" s="491"/>
      <c r="G278" s="130"/>
    </row>
    <row r="279" spans="1:7">
      <c r="A279" s="273"/>
      <c r="B279" s="671" t="s">
        <v>312</v>
      </c>
      <c r="D279" s="1918" t="s">
        <v>1276</v>
      </c>
      <c r="E279" s="1918"/>
      <c r="F279" s="1918"/>
    </row>
    <row r="280" spans="1:7">
      <c r="E280" s="135"/>
      <c r="F280" s="135"/>
    </row>
    <row r="281" spans="1:7" ht="14.25">
      <c r="A281" s="261"/>
      <c r="B281" s="671" t="s">
        <v>312</v>
      </c>
      <c r="D281" s="1919" t="s">
        <v>1277</v>
      </c>
      <c r="E281" s="1919"/>
      <c r="F281" s="1919"/>
    </row>
    <row r="282" spans="1:7" ht="14.25">
      <c r="A282" s="261"/>
      <c r="B282" s="261"/>
      <c r="D282" s="1919"/>
      <c r="E282" s="1919"/>
      <c r="F282" s="1919"/>
    </row>
    <row r="283" spans="1:7" s="711" customFormat="1" ht="14.25">
      <c r="A283" s="706"/>
      <c r="B283" s="706"/>
      <c r="C283" s="723"/>
      <c r="D283" s="1919"/>
      <c r="E283" s="1919"/>
      <c r="F283" s="1919"/>
      <c r="G283" s="7"/>
    </row>
    <row r="284" spans="1:7" s="711" customFormat="1" ht="14.25">
      <c r="A284" s="706"/>
      <c r="B284" s="706"/>
      <c r="C284" s="723"/>
      <c r="D284" s="1919"/>
      <c r="E284" s="1919"/>
      <c r="F284" s="1919"/>
      <c r="G284" s="7"/>
    </row>
    <row r="285" spans="1:7" s="711" customFormat="1" ht="14.25">
      <c r="A285" s="706"/>
      <c r="B285" s="706"/>
      <c r="C285" s="723"/>
      <c r="D285" s="1919"/>
      <c r="E285" s="1919"/>
      <c r="F285" s="1919"/>
      <c r="G285" s="7"/>
    </row>
    <row r="286" spans="1:7" s="711" customFormat="1" ht="14.25">
      <c r="A286" s="706"/>
      <c r="B286" s="706"/>
      <c r="C286" s="723"/>
      <c r="D286" s="1919"/>
      <c r="E286" s="1919"/>
      <c r="F286" s="1919"/>
      <c r="G286" s="7"/>
    </row>
    <row r="287" spans="1:7" s="711" customFormat="1" ht="14.25">
      <c r="A287" s="706"/>
      <c r="B287" s="706"/>
      <c r="C287" s="723"/>
      <c r="D287" s="1919"/>
      <c r="E287" s="1919"/>
      <c r="F287" s="1919"/>
      <c r="G287" s="7"/>
    </row>
    <row r="288" spans="1:7" s="711" customFormat="1" ht="14.25">
      <c r="A288" s="706"/>
      <c r="B288" s="706"/>
      <c r="C288" s="723"/>
      <c r="D288" s="1919"/>
      <c r="E288" s="1919"/>
      <c r="F288" s="1919"/>
      <c r="G288" s="7"/>
    </row>
    <row r="289" spans="1:7" s="711" customFormat="1" ht="14.25">
      <c r="A289" s="706"/>
      <c r="B289" s="706"/>
      <c r="C289" s="723"/>
      <c r="D289" s="1919"/>
      <c r="E289" s="1919"/>
      <c r="F289" s="1919"/>
      <c r="G289" s="7"/>
    </row>
    <row r="290" spans="1:7" s="711" customFormat="1" ht="14.25">
      <c r="A290" s="706"/>
      <c r="B290" s="706"/>
      <c r="C290" s="723"/>
      <c r="D290" s="1919"/>
      <c r="E290" s="1919"/>
      <c r="F290" s="1919"/>
      <c r="G290" s="7"/>
    </row>
    <row r="291" spans="1:7" s="711" customFormat="1" ht="14.25">
      <c r="A291" s="706"/>
      <c r="B291" s="706"/>
      <c r="C291" s="723"/>
      <c r="D291" s="1919"/>
      <c r="E291" s="1919"/>
      <c r="F291" s="1919"/>
      <c r="G291" s="7"/>
    </row>
    <row r="292" spans="1:7" s="711" customFormat="1" ht="14.25">
      <c r="A292" s="706"/>
      <c r="B292" s="706"/>
      <c r="C292" s="723"/>
      <c r="D292" s="1919"/>
      <c r="E292" s="1919"/>
      <c r="F292" s="1919"/>
      <c r="G292" s="7"/>
    </row>
    <row r="293" spans="1:7" ht="14.25">
      <c r="A293" s="261"/>
      <c r="B293" s="261"/>
      <c r="D293" s="1919"/>
      <c r="E293" s="1919"/>
      <c r="F293" s="1919"/>
    </row>
    <row r="294" spans="1:7" ht="14.25">
      <c r="A294" s="261"/>
      <c r="B294" s="261"/>
      <c r="D294" s="1919"/>
      <c r="E294" s="1919"/>
      <c r="F294" s="1919"/>
    </row>
    <row r="295" spans="1:7" ht="14.25">
      <c r="A295" s="261"/>
      <c r="B295" s="261"/>
      <c r="D295" s="1919"/>
      <c r="E295" s="1919"/>
      <c r="F295" s="1919"/>
    </row>
    <row r="296" spans="1:7">
      <c r="D296" s="135"/>
      <c r="E296" s="135"/>
      <c r="F296" s="135"/>
    </row>
    <row r="297" spans="1:7" ht="14.25">
      <c r="A297" s="261"/>
      <c r="B297" s="671" t="s">
        <v>312</v>
      </c>
      <c r="D297" s="1919" t="s">
        <v>1278</v>
      </c>
      <c r="E297" s="1919"/>
      <c r="F297" s="1919"/>
    </row>
    <row r="298" spans="1:7">
      <c r="D298" s="1919"/>
      <c r="E298" s="1919"/>
      <c r="F298" s="1919"/>
    </row>
    <row r="299" spans="1:7">
      <c r="D299" s="1919"/>
      <c r="E299" s="1919"/>
      <c r="F299" s="1919"/>
    </row>
    <row r="300" spans="1:7">
      <c r="D300" s="1919"/>
      <c r="E300" s="1919"/>
      <c r="F300" s="1919"/>
    </row>
    <row r="301" spans="1:7">
      <c r="D301" s="1919"/>
      <c r="E301" s="1919"/>
      <c r="F301" s="1919"/>
    </row>
    <row r="302" spans="1:7">
      <c r="D302" s="1919"/>
      <c r="E302" s="1919"/>
      <c r="F302" s="1919"/>
    </row>
    <row r="303" spans="1:7">
      <c r="D303" s="1919"/>
      <c r="E303" s="1919"/>
      <c r="F303" s="1919"/>
    </row>
    <row r="304" spans="1:7">
      <c r="D304" s="1919"/>
      <c r="E304" s="1919"/>
      <c r="F304" s="1919"/>
    </row>
    <row r="305" spans="1:7">
      <c r="D305" s="1919"/>
      <c r="E305" s="1919"/>
      <c r="F305" s="1919"/>
    </row>
    <row r="306" spans="1:7">
      <c r="D306" s="135"/>
      <c r="E306" s="135"/>
      <c r="F306" s="135"/>
    </row>
    <row r="307" spans="1:7" ht="14.25">
      <c r="A307" s="261"/>
      <c r="B307" s="671" t="s">
        <v>312</v>
      </c>
      <c r="D307" s="1905" t="s">
        <v>1279</v>
      </c>
      <c r="E307" s="1905"/>
      <c r="F307" s="1905"/>
    </row>
    <row r="308" spans="1:7">
      <c r="D308" s="1905"/>
      <c r="E308" s="1905"/>
      <c r="F308" s="1905"/>
      <c r="G308" s="12"/>
    </row>
    <row r="309" spans="1:7">
      <c r="D309" s="1905"/>
      <c r="E309" s="1905"/>
      <c r="F309" s="1905"/>
      <c r="G309" s="12"/>
    </row>
    <row r="310" spans="1:7">
      <c r="D310" s="1905"/>
      <c r="E310" s="1905"/>
      <c r="F310" s="1905"/>
      <c r="G310" s="12"/>
    </row>
    <row r="311" spans="1:7">
      <c r="D311" s="1905"/>
      <c r="E311" s="1905"/>
      <c r="F311" s="1905"/>
      <c r="G311" s="12"/>
    </row>
    <row r="312" spans="1:7">
      <c r="D312" s="1905"/>
      <c r="E312" s="1905"/>
      <c r="F312" s="1905"/>
      <c r="G312" s="12"/>
    </row>
    <row r="313" spans="1:7" s="711" customFormat="1">
      <c r="A313" s="723"/>
      <c r="B313" s="723"/>
      <c r="C313" s="723"/>
      <c r="D313" s="720"/>
      <c r="E313" s="720"/>
      <c r="F313" s="720"/>
    </row>
    <row r="314" spans="1:7" ht="13.5" thickBot="1">
      <c r="D314" s="1937" t="s">
        <v>1038</v>
      </c>
      <c r="E314" s="1937"/>
      <c r="F314" s="1937"/>
      <c r="G314" s="12"/>
    </row>
    <row r="315" spans="1:7" s="711" customFormat="1" ht="13.5" thickTop="1">
      <c r="A315" s="723"/>
      <c r="B315" s="723"/>
      <c r="C315" s="723"/>
      <c r="D315" s="1938" t="s">
        <v>1280</v>
      </c>
      <c r="E315" s="1938"/>
      <c r="F315" s="1938"/>
    </row>
    <row r="316" spans="1:7">
      <c r="A316" s="325"/>
      <c r="B316" s="325"/>
      <c r="C316" s="325"/>
      <c r="D316" s="464"/>
      <c r="E316" s="464"/>
      <c r="F316" s="135"/>
      <c r="G316" s="12"/>
    </row>
    <row r="317" spans="1:7" ht="14.25">
      <c r="A317" s="261"/>
      <c r="B317" s="671" t="s">
        <v>312</v>
      </c>
      <c r="C317" s="325"/>
      <c r="D317" s="1939" t="s">
        <v>1281</v>
      </c>
      <c r="E317" s="1939"/>
      <c r="F317" s="1939"/>
      <c r="G317" s="12"/>
    </row>
    <row r="318" spans="1:7">
      <c r="A318" s="325"/>
      <c r="B318" s="325"/>
      <c r="C318" s="325"/>
      <c r="D318" s="464"/>
      <c r="E318" s="464"/>
      <c r="F318" s="135"/>
      <c r="G318" s="12"/>
    </row>
    <row r="319" spans="1:7">
      <c r="A319" s="325"/>
      <c r="B319" s="671" t="s">
        <v>312</v>
      </c>
      <c r="C319" s="325"/>
      <c r="D319" s="1934" t="s">
        <v>1282</v>
      </c>
      <c r="E319" s="1934"/>
      <c r="F319" s="1934"/>
      <c r="G319" s="12"/>
    </row>
    <row r="320" spans="1:7">
      <c r="A320" s="325"/>
      <c r="B320" s="325"/>
      <c r="C320" s="325"/>
      <c r="D320" s="1934"/>
      <c r="E320" s="1934"/>
      <c r="F320" s="1934"/>
      <c r="G320" s="12"/>
    </row>
    <row r="321" spans="1:7">
      <c r="A321" s="325"/>
      <c r="B321" s="325"/>
      <c r="C321" s="325"/>
      <c r="D321" s="1934"/>
      <c r="E321" s="1934"/>
      <c r="F321" s="1934"/>
      <c r="G321" s="12"/>
    </row>
    <row r="322" spans="1:7">
      <c r="A322" s="325"/>
      <c r="B322" s="325"/>
      <c r="C322" s="325"/>
      <c r="D322" s="1934"/>
      <c r="E322" s="1934"/>
      <c r="F322" s="1934"/>
      <c r="G322" s="12"/>
    </row>
    <row r="323" spans="1:7" s="711" customFormat="1">
      <c r="A323" s="325"/>
      <c r="B323" s="325"/>
      <c r="C323" s="325"/>
      <c r="D323" s="1934"/>
      <c r="E323" s="1934"/>
      <c r="F323" s="1934"/>
    </row>
    <row r="324" spans="1:7" s="711" customFormat="1">
      <c r="A324" s="325"/>
      <c r="B324" s="325"/>
      <c r="C324" s="325"/>
      <c r="D324" s="1934"/>
      <c r="E324" s="1934"/>
      <c r="F324" s="1934"/>
    </row>
    <row r="325" spans="1:7" s="711" customFormat="1">
      <c r="A325" s="325"/>
      <c r="B325" s="325"/>
      <c r="C325" s="325"/>
      <c r="D325" s="1934"/>
      <c r="E325" s="1934"/>
      <c r="F325" s="1934"/>
    </row>
    <row r="326" spans="1:7" s="711" customFormat="1">
      <c r="A326" s="325"/>
      <c r="B326" s="325"/>
      <c r="C326" s="325"/>
      <c r="D326" s="1934"/>
      <c r="E326" s="1934"/>
      <c r="F326" s="1934"/>
    </row>
    <row r="327" spans="1:7">
      <c r="A327" s="325"/>
      <c r="B327" s="325"/>
      <c r="C327" s="325"/>
      <c r="D327" s="1934"/>
      <c r="E327" s="1934"/>
      <c r="F327" s="1934"/>
      <c r="G327" s="12"/>
    </row>
    <row r="328" spans="1:7">
      <c r="A328" s="325"/>
      <c r="B328" s="325"/>
      <c r="C328" s="325"/>
      <c r="D328" s="1934"/>
      <c r="E328" s="1934"/>
      <c r="F328" s="1934"/>
      <c r="G328" s="12"/>
    </row>
    <row r="329" spans="1:7">
      <c r="A329" s="325"/>
      <c r="B329" s="325"/>
      <c r="C329" s="325"/>
      <c r="D329" s="1934"/>
      <c r="E329" s="1934"/>
      <c r="F329" s="1934"/>
      <c r="G329" s="12"/>
    </row>
    <row r="330" spans="1:7">
      <c r="A330" s="325"/>
      <c r="B330" s="325"/>
      <c r="C330" s="325"/>
      <c r="D330" s="12"/>
      <c r="E330" s="464"/>
      <c r="F330" s="135"/>
      <c r="G330" s="12"/>
    </row>
    <row r="331" spans="1:7" ht="14.25">
      <c r="A331" s="261"/>
      <c r="B331" s="671" t="s">
        <v>312</v>
      </c>
      <c r="C331" s="325"/>
      <c r="D331" s="1932" t="s">
        <v>1283</v>
      </c>
      <c r="E331" s="1932"/>
      <c r="F331" s="1932"/>
      <c r="G331" s="12"/>
    </row>
    <row r="332" spans="1:7">
      <c r="A332" s="325"/>
      <c r="B332" s="325"/>
      <c r="C332" s="325"/>
      <c r="D332" s="1932"/>
      <c r="E332" s="1932"/>
      <c r="F332" s="1932"/>
      <c r="G332" s="12"/>
    </row>
    <row r="333" spans="1:7">
      <c r="A333" s="325"/>
      <c r="B333" s="325"/>
      <c r="C333" s="325"/>
      <c r="D333" s="1932"/>
      <c r="E333" s="1932"/>
      <c r="F333" s="1932"/>
      <c r="G333" s="12"/>
    </row>
    <row r="334" spans="1:7">
      <c r="A334" s="325"/>
      <c r="B334" s="325"/>
      <c r="C334" s="325"/>
      <c r="D334" s="1932"/>
      <c r="E334" s="1932"/>
      <c r="F334" s="1932"/>
      <c r="G334" s="12"/>
    </row>
    <row r="335" spans="1:7">
      <c r="A335" s="325"/>
      <c r="B335" s="325"/>
      <c r="C335" s="325"/>
      <c r="D335" s="498"/>
      <c r="E335" s="464"/>
      <c r="F335" s="135"/>
      <c r="G335" s="12"/>
    </row>
    <row r="336" spans="1:7">
      <c r="A336" s="325"/>
      <c r="B336" s="325"/>
      <c r="C336" s="325"/>
      <c r="D336" s="1932" t="s">
        <v>1284</v>
      </c>
      <c r="E336" s="1932"/>
      <c r="F336" s="1932"/>
      <c r="G336" s="12"/>
    </row>
    <row r="337" spans="1:7">
      <c r="A337" s="325"/>
      <c r="B337" s="325"/>
      <c r="C337" s="325"/>
      <c r="D337" s="1932"/>
      <c r="E337" s="1932"/>
      <c r="F337" s="1932"/>
      <c r="G337" s="12"/>
    </row>
    <row r="338" spans="1:7">
      <c r="A338" s="325"/>
      <c r="B338" s="325"/>
      <c r="C338" s="325"/>
      <c r="D338" s="1932"/>
      <c r="E338" s="1932"/>
      <c r="F338" s="1932"/>
      <c r="G338" s="12"/>
    </row>
    <row r="339" spans="1:7">
      <c r="A339" s="325"/>
      <c r="B339" s="325"/>
      <c r="C339" s="325"/>
      <c r="D339" s="1932"/>
      <c r="E339" s="1932"/>
      <c r="F339" s="1932"/>
      <c r="G339" s="12"/>
    </row>
    <row r="340" spans="1:7" ht="18" customHeight="1">
      <c r="A340" s="325"/>
      <c r="B340" s="325"/>
      <c r="C340" s="325"/>
      <c r="D340" s="1932"/>
      <c r="E340" s="1932"/>
      <c r="F340" s="1932"/>
      <c r="G340" s="12"/>
    </row>
    <row r="341" spans="1:7">
      <c r="A341" s="325"/>
      <c r="B341" s="325"/>
      <c r="C341" s="325"/>
      <c r="D341" s="1932"/>
      <c r="E341" s="1932"/>
      <c r="F341" s="1932"/>
      <c r="G341" s="12"/>
    </row>
    <row r="342" spans="1:7">
      <c r="A342" s="325"/>
      <c r="B342" s="325"/>
      <c r="C342" s="325"/>
      <c r="D342" s="1932"/>
      <c r="E342" s="1932"/>
      <c r="F342" s="1932"/>
      <c r="G342" s="12"/>
    </row>
    <row r="343" spans="1:7">
      <c r="A343" s="325"/>
      <c r="B343" s="325"/>
      <c r="C343" s="325"/>
      <c r="D343" s="1932"/>
      <c r="E343" s="1932"/>
      <c r="F343" s="1932"/>
      <c r="G343" s="12"/>
    </row>
    <row r="344" spans="1:7" ht="8.25" customHeight="1">
      <c r="A344" s="325"/>
      <c r="B344" s="325"/>
      <c r="C344" s="325"/>
      <c r="D344" s="1932"/>
      <c r="E344" s="1932"/>
      <c r="F344" s="1932"/>
      <c r="G344" s="12"/>
    </row>
    <row r="345" spans="1:7" ht="13.15" customHeight="1">
      <c r="A345" s="325"/>
      <c r="B345" s="325"/>
      <c r="C345" s="325"/>
      <c r="D345" s="1933" t="s">
        <v>1285</v>
      </c>
      <c r="E345" s="1933"/>
      <c r="F345" s="1933"/>
      <c r="G345" s="12"/>
    </row>
    <row r="346" spans="1:7">
      <c r="A346" s="325"/>
      <c r="B346" s="325"/>
      <c r="C346" s="325"/>
      <c r="D346" s="1933"/>
      <c r="E346" s="1933"/>
      <c r="F346" s="1933"/>
      <c r="G346" s="12"/>
    </row>
    <row r="347" spans="1:7">
      <c r="A347" s="325"/>
      <c r="B347" s="325"/>
      <c r="C347" s="325"/>
      <c r="D347" s="1933"/>
      <c r="E347" s="1933"/>
      <c r="F347" s="1933"/>
      <c r="G347" s="12"/>
    </row>
    <row r="348" spans="1:7" s="711" customFormat="1">
      <c r="A348" s="325"/>
      <c r="B348" s="325"/>
      <c r="C348" s="325"/>
      <c r="D348" s="1933"/>
      <c r="E348" s="1933"/>
      <c r="F348" s="1933"/>
    </row>
    <row r="349" spans="1:7" s="711" customFormat="1">
      <c r="A349" s="325"/>
      <c r="B349" s="325"/>
      <c r="C349" s="325"/>
      <c r="D349" s="1933"/>
      <c r="E349" s="1933"/>
      <c r="F349" s="1933"/>
    </row>
    <row r="350" spans="1:7" s="711" customFormat="1">
      <c r="A350" s="325"/>
      <c r="B350" s="325"/>
      <c r="C350" s="325"/>
      <c r="D350" s="1933"/>
      <c r="E350" s="1933"/>
      <c r="F350" s="1933"/>
    </row>
    <row r="351" spans="1:7" s="711" customFormat="1">
      <c r="A351" s="325"/>
      <c r="B351" s="325"/>
      <c r="C351" s="325"/>
      <c r="D351" s="1933"/>
      <c r="E351" s="1933"/>
      <c r="F351" s="1933"/>
    </row>
    <row r="352" spans="1:7" s="711" customFormat="1">
      <c r="A352" s="325"/>
      <c r="B352" s="325"/>
      <c r="C352" s="325"/>
      <c r="D352" s="1933"/>
      <c r="E352" s="1933"/>
      <c r="F352" s="1933"/>
    </row>
    <row r="353" spans="1:7">
      <c r="A353" s="325"/>
      <c r="B353" s="325"/>
      <c r="C353" s="325"/>
      <c r="D353" s="1933"/>
      <c r="E353" s="1933"/>
      <c r="F353" s="1933"/>
      <c r="G353" s="12"/>
    </row>
    <row r="354" spans="1:7">
      <c r="A354" s="325"/>
      <c r="B354" s="325"/>
      <c r="C354" s="325"/>
      <c r="D354" s="1933"/>
      <c r="E354" s="1933"/>
      <c r="F354" s="1933"/>
      <c r="G354" s="12"/>
    </row>
    <row r="355" spans="1:7">
      <c r="A355" s="325"/>
      <c r="B355" s="325"/>
      <c r="C355" s="325"/>
      <c r="D355" s="1933"/>
      <c r="E355" s="1933"/>
      <c r="F355" s="1933"/>
      <c r="G355" s="12"/>
    </row>
    <row r="356" spans="1:7">
      <c r="A356" s="325"/>
      <c r="B356" s="325"/>
      <c r="C356" s="325"/>
      <c r="D356" s="1933"/>
      <c r="E356" s="1933"/>
      <c r="F356" s="1933"/>
      <c r="G356" s="12"/>
    </row>
    <row r="357" spans="1:7">
      <c r="A357" s="325"/>
      <c r="B357" s="325"/>
      <c r="C357" s="500"/>
      <c r="D357" s="1933"/>
      <c r="E357" s="1933"/>
      <c r="F357" s="1933"/>
      <c r="G357" s="12"/>
    </row>
    <row r="358" spans="1:7">
      <c r="A358" s="325"/>
      <c r="B358" s="325"/>
      <c r="C358" s="500"/>
      <c r="D358" s="1933"/>
      <c r="E358" s="1933"/>
      <c r="F358" s="1933"/>
      <c r="G358" s="12"/>
    </row>
    <row r="359" spans="1:7">
      <c r="A359" s="325"/>
      <c r="B359" s="325"/>
      <c r="C359" s="325"/>
      <c r="D359" s="1933"/>
      <c r="E359" s="1933"/>
      <c r="F359" s="1933"/>
      <c r="G359" s="12"/>
    </row>
    <row r="360" spans="1:7">
      <c r="A360" s="325"/>
      <c r="B360" s="325"/>
      <c r="C360" s="500"/>
      <c r="D360" s="1933"/>
      <c r="E360" s="1933"/>
      <c r="F360" s="1933"/>
      <c r="G360" s="12"/>
    </row>
    <row r="361" spans="1:7">
      <c r="A361" s="325"/>
      <c r="B361" s="325"/>
      <c r="C361" s="500"/>
      <c r="D361" s="1933"/>
      <c r="E361" s="1933"/>
      <c r="F361" s="1933"/>
      <c r="G361" s="12"/>
    </row>
    <row r="362" spans="1:7">
      <c r="A362" s="325"/>
      <c r="B362" s="325"/>
      <c r="C362" s="500"/>
      <c r="D362" s="1933"/>
      <c r="E362" s="1933"/>
      <c r="F362" s="1933"/>
      <c r="G362" s="12"/>
    </row>
    <row r="363" spans="1:7">
      <c r="A363" s="325"/>
      <c r="B363" s="325"/>
      <c r="C363" s="325"/>
      <c r="D363" s="498"/>
      <c r="E363" s="464"/>
      <c r="F363" s="135"/>
      <c r="G363" s="12"/>
    </row>
    <row r="364" spans="1:7">
      <c r="A364" s="325"/>
      <c r="B364" s="671" t="s">
        <v>312</v>
      </c>
      <c r="C364" s="325"/>
      <c r="D364" s="1933" t="s">
        <v>1286</v>
      </c>
      <c r="E364" s="1933"/>
      <c r="F364" s="1933"/>
      <c r="G364" s="12"/>
    </row>
    <row r="365" spans="1:7">
      <c r="A365" s="325"/>
      <c r="B365" s="325"/>
      <c r="C365" s="325"/>
      <c r="D365" s="1933"/>
      <c r="E365" s="1933"/>
      <c r="F365" s="1933"/>
      <c r="G365" s="12"/>
    </row>
    <row r="366" spans="1:7">
      <c r="A366" s="325"/>
      <c r="B366" s="325"/>
      <c r="C366" s="325"/>
      <c r="D366" s="464"/>
      <c r="E366" s="464"/>
      <c r="F366" s="135"/>
      <c r="G366" s="12"/>
    </row>
    <row r="367" spans="1:7" ht="14.25">
      <c r="A367" s="261"/>
      <c r="B367" s="671" t="s">
        <v>312</v>
      </c>
      <c r="C367" s="325"/>
      <c r="D367" s="1934" t="s">
        <v>1287</v>
      </c>
      <c r="E367" s="1934"/>
      <c r="F367" s="1934"/>
      <c r="G367" s="12"/>
    </row>
    <row r="368" spans="1:7" ht="14.25">
      <c r="A368" s="499"/>
      <c r="B368" s="499"/>
      <c r="C368" s="325"/>
      <c r="D368" s="1934"/>
      <c r="E368" s="1934"/>
      <c r="F368" s="1934"/>
      <c r="G368" s="12"/>
    </row>
    <row r="369" spans="1:7" ht="14.25">
      <c r="A369" s="499"/>
      <c r="B369" s="499"/>
      <c r="C369" s="325"/>
      <c r="D369" s="1934"/>
      <c r="E369" s="1934"/>
      <c r="F369" s="1934"/>
      <c r="G369" s="12"/>
    </row>
    <row r="370" spans="1:7" ht="14.25">
      <c r="A370" s="499"/>
      <c r="B370" s="499"/>
      <c r="C370" s="325"/>
      <c r="D370" s="1934"/>
      <c r="E370" s="1934"/>
      <c r="F370" s="1934"/>
      <c r="G370" s="12"/>
    </row>
    <row r="371" spans="1:7" ht="14.25">
      <c r="A371" s="499"/>
      <c r="B371" s="499"/>
      <c r="C371" s="325"/>
      <c r="D371" s="1934"/>
      <c r="E371" s="1934"/>
      <c r="F371" s="1934"/>
      <c r="G371" s="12"/>
    </row>
    <row r="372" spans="1:7">
      <c r="D372" s="135"/>
      <c r="E372" s="135"/>
      <c r="F372" s="135"/>
      <c r="G372" s="12"/>
    </row>
    <row r="373" spans="1:7" ht="14.25">
      <c r="A373" s="261"/>
      <c r="B373" s="671" t="s">
        <v>312</v>
      </c>
      <c r="C373" s="266"/>
      <c r="D373" s="1905" t="s">
        <v>1288</v>
      </c>
      <c r="E373" s="1905"/>
      <c r="F373" s="1905"/>
      <c r="G373" s="12"/>
    </row>
    <row r="374" spans="1:7" ht="14.25">
      <c r="A374" s="261"/>
      <c r="B374" s="261"/>
      <c r="D374" s="1905"/>
      <c r="E374" s="1905"/>
      <c r="F374" s="1905"/>
      <c r="G374" s="12"/>
    </row>
    <row r="375" spans="1:7">
      <c r="D375" s="1905"/>
      <c r="E375" s="1905"/>
      <c r="F375" s="1905"/>
      <c r="G375" s="12"/>
    </row>
    <row r="376" spans="1:7">
      <c r="D376" s="1905"/>
      <c r="E376" s="1905"/>
      <c r="F376" s="1905"/>
      <c r="G376" s="12"/>
    </row>
    <row r="377" spans="1:7">
      <c r="D377" s="1905"/>
      <c r="E377" s="1905"/>
      <c r="F377" s="1905"/>
      <c r="G377" s="12"/>
    </row>
    <row r="378" spans="1:7">
      <c r="D378" s="1905"/>
      <c r="E378" s="1905"/>
      <c r="F378" s="1905"/>
      <c r="G378" s="12"/>
    </row>
    <row r="379" spans="1:7">
      <c r="D379" s="1905"/>
      <c r="E379" s="1905"/>
      <c r="F379" s="1905"/>
      <c r="G379" s="12"/>
    </row>
    <row r="380" spans="1:7">
      <c r="D380" s="1905"/>
      <c r="E380" s="1905"/>
      <c r="F380" s="1905"/>
      <c r="G380" s="12"/>
    </row>
    <row r="381" spans="1:7">
      <c r="D381" s="1905"/>
      <c r="E381" s="1905"/>
      <c r="F381" s="1905"/>
      <c r="G381" s="12"/>
    </row>
    <row r="382" spans="1:7">
      <c r="D382" s="1905"/>
      <c r="E382" s="1905"/>
      <c r="F382" s="1905"/>
      <c r="G382" s="12"/>
    </row>
    <row r="383" spans="1:7">
      <c r="D383" s="1905"/>
      <c r="E383" s="1905"/>
      <c r="F383" s="1905"/>
      <c r="G383" s="12"/>
    </row>
    <row r="384" spans="1:7">
      <c r="D384" s="1905"/>
      <c r="E384" s="1905"/>
      <c r="F384" s="1905"/>
      <c r="G384" s="12"/>
    </row>
    <row r="385" spans="1:7">
      <c r="D385" s="1905"/>
      <c r="E385" s="1905"/>
      <c r="F385" s="1905"/>
      <c r="G385" s="12"/>
    </row>
    <row r="386" spans="1:7">
      <c r="A386" s="12"/>
      <c r="B386" s="12"/>
      <c r="C386" s="12"/>
      <c r="D386" s="1905"/>
      <c r="E386" s="1905"/>
      <c r="F386" s="1905"/>
      <c r="G386" s="12"/>
    </row>
    <row r="387" spans="1:7">
      <c r="A387" s="12"/>
      <c r="B387" s="12"/>
      <c r="C387" s="12"/>
      <c r="D387" s="1905"/>
      <c r="E387" s="1905"/>
      <c r="F387" s="1905"/>
      <c r="G387" s="12"/>
    </row>
    <row r="388" spans="1:7">
      <c r="A388" s="12"/>
      <c r="B388" s="12"/>
      <c r="C388" s="12"/>
      <c r="D388" s="1905"/>
      <c r="E388" s="1905"/>
      <c r="F388" s="1905"/>
      <c r="G388" s="12"/>
    </row>
    <row r="389" spans="1:7">
      <c r="A389" s="12"/>
      <c r="B389" s="12"/>
      <c r="C389" s="12"/>
      <c r="D389" s="1905"/>
      <c r="E389" s="1905"/>
      <c r="F389" s="1905"/>
      <c r="G389" s="12"/>
    </row>
    <row r="390" spans="1:7">
      <c r="A390" s="12"/>
      <c r="B390" s="12"/>
      <c r="C390" s="12"/>
      <c r="D390" s="1905"/>
      <c r="E390" s="1905"/>
      <c r="F390" s="1905"/>
      <c r="G390" s="12"/>
    </row>
    <row r="391" spans="1:7">
      <c r="A391" s="12"/>
      <c r="B391" s="12"/>
      <c r="C391" s="12"/>
      <c r="D391" s="1905"/>
      <c r="E391" s="1905"/>
      <c r="F391" s="1905"/>
      <c r="G391" s="12"/>
    </row>
    <row r="392" spans="1:7">
      <c r="A392" s="12"/>
      <c r="B392" s="12"/>
      <c r="C392" s="12"/>
      <c r="D392" s="1905"/>
      <c r="E392" s="1905"/>
      <c r="F392" s="1905"/>
      <c r="G392" s="12"/>
    </row>
    <row r="393" spans="1:7">
      <c r="A393" s="12"/>
      <c r="B393" s="12"/>
      <c r="C393" s="12"/>
      <c r="D393" s="1905"/>
      <c r="E393" s="1905"/>
      <c r="F393" s="1905"/>
      <c r="G393" s="12"/>
    </row>
    <row r="394" spans="1:7">
      <c r="A394" s="12"/>
      <c r="B394" s="12"/>
      <c r="C394" s="12"/>
      <c r="D394" s="1905"/>
      <c r="E394" s="1905"/>
      <c r="F394" s="1905"/>
      <c r="G394" s="12"/>
    </row>
    <row r="395" spans="1:7">
      <c r="A395" s="12"/>
      <c r="B395" s="12"/>
      <c r="C395" s="12"/>
      <c r="D395" s="1905"/>
      <c r="E395" s="1905"/>
      <c r="F395" s="1905"/>
      <c r="G395" s="12"/>
    </row>
    <row r="396" spans="1:7">
      <c r="A396" s="12"/>
      <c r="B396" s="12"/>
      <c r="C396" s="12"/>
      <c r="D396" s="1905"/>
      <c r="E396" s="1905"/>
      <c r="F396" s="1905"/>
      <c r="G396" s="12"/>
    </row>
    <row r="397" spans="1:7">
      <c r="A397" s="12"/>
      <c r="B397" s="12"/>
      <c r="C397" s="12"/>
      <c r="D397" s="1905"/>
      <c r="E397" s="1905"/>
      <c r="F397" s="1905"/>
      <c r="G397" s="12"/>
    </row>
    <row r="398" spans="1:7">
      <c r="A398" s="12"/>
      <c r="B398" s="12"/>
      <c r="C398" s="12"/>
      <c r="D398" s="1905"/>
      <c r="E398" s="1905"/>
      <c r="F398" s="1905"/>
      <c r="G398" s="12"/>
    </row>
    <row r="399" spans="1:7">
      <c r="A399" s="12"/>
      <c r="B399" s="12"/>
      <c r="C399" s="12"/>
      <c r="D399" s="1905"/>
      <c r="E399" s="1905"/>
      <c r="F399" s="1905"/>
      <c r="G399" s="12"/>
    </row>
    <row r="400" spans="1:7">
      <c r="A400" s="12"/>
      <c r="B400" s="12"/>
      <c r="C400" s="12"/>
      <c r="D400" s="1905"/>
      <c r="E400" s="1905"/>
      <c r="F400" s="1905"/>
      <c r="G400" s="12"/>
    </row>
    <row r="401" spans="1:7">
      <c r="A401" s="12"/>
      <c r="B401" s="12"/>
      <c r="C401" s="12"/>
      <c r="D401" s="1905"/>
      <c r="E401" s="1905"/>
      <c r="F401" s="1905"/>
      <c r="G401" s="12"/>
    </row>
    <row r="402" spans="1:7" s="32" customFormat="1">
      <c r="A402" s="132"/>
      <c r="B402" s="668"/>
      <c r="C402" s="132"/>
      <c r="D402" s="1905"/>
      <c r="E402" s="1905"/>
      <c r="F402" s="1905"/>
      <c r="G402" s="30"/>
    </row>
    <row r="403" spans="1:7" s="32" customFormat="1" ht="40.700000000000003" customHeight="1">
      <c r="A403" s="132"/>
      <c r="B403" s="668"/>
      <c r="C403" s="132"/>
      <c r="D403" s="1905"/>
      <c r="E403" s="1905"/>
      <c r="F403" s="1905"/>
      <c r="G403" s="30"/>
    </row>
    <row r="404" spans="1:7" s="32" customFormat="1">
      <c r="A404" s="132"/>
      <c r="B404" s="668"/>
      <c r="C404" s="132"/>
      <c r="D404" s="135"/>
      <c r="E404" s="135"/>
      <c r="F404" s="135"/>
      <c r="G404" s="30"/>
    </row>
    <row r="405" spans="1:7" ht="14.25">
      <c r="A405" s="261"/>
      <c r="B405" s="671" t="s">
        <v>312</v>
      </c>
      <c r="C405" s="266"/>
      <c r="D405" s="1918" t="s">
        <v>1289</v>
      </c>
      <c r="E405" s="1918"/>
      <c r="F405" s="1918"/>
    </row>
    <row r="406" spans="1:7">
      <c r="D406" s="1935" t="s">
        <v>1058</v>
      </c>
      <c r="E406" s="1935"/>
      <c r="F406" s="1935"/>
    </row>
    <row r="407" spans="1:7">
      <c r="D407" s="1919" t="s">
        <v>1290</v>
      </c>
      <c r="E407" s="1919"/>
      <c r="F407" s="1919"/>
    </row>
    <row r="408" spans="1:7">
      <c r="D408" s="1919"/>
      <c r="E408" s="1919"/>
      <c r="F408" s="1919"/>
    </row>
    <row r="409" spans="1:7">
      <c r="D409" s="1919"/>
      <c r="E409" s="1919"/>
      <c r="F409" s="1919"/>
    </row>
    <row r="410" spans="1:7">
      <c r="D410" s="1919"/>
      <c r="E410" s="1919"/>
      <c r="F410" s="1919"/>
    </row>
    <row r="411" spans="1:7">
      <c r="D411" s="135"/>
      <c r="E411" s="135"/>
      <c r="F411" s="135"/>
      <c r="G411" s="12"/>
    </row>
    <row r="412" spans="1:7" ht="14.25">
      <c r="A412" s="261"/>
      <c r="B412" s="671" t="s">
        <v>312</v>
      </c>
      <c r="C412" s="266"/>
      <c r="D412" s="1905" t="s">
        <v>1291</v>
      </c>
      <c r="E412" s="1905"/>
      <c r="F412" s="1905"/>
      <c r="G412" s="12"/>
    </row>
    <row r="413" spans="1:7">
      <c r="D413" s="1905"/>
      <c r="E413" s="1905"/>
      <c r="F413" s="1905"/>
      <c r="G413" s="12"/>
    </row>
    <row r="414" spans="1:7">
      <c r="D414" s="1905"/>
      <c r="E414" s="1905"/>
      <c r="F414" s="1905"/>
      <c r="G414" s="12"/>
    </row>
    <row r="415" spans="1:7" s="711" customFormat="1">
      <c r="A415" s="723"/>
      <c r="B415" s="723"/>
      <c r="C415" s="723"/>
      <c r="D415" s="720"/>
      <c r="E415" s="720"/>
      <c r="F415" s="720"/>
    </row>
    <row r="416" spans="1:7" ht="14.25">
      <c r="B416" s="671" t="s">
        <v>312</v>
      </c>
      <c r="C416" s="261"/>
      <c r="D416" s="1919" t="s">
        <v>1292</v>
      </c>
      <c r="E416" s="1919"/>
      <c r="F416" s="1919"/>
      <c r="G416" s="12"/>
    </row>
    <row r="417" spans="1:7">
      <c r="D417" s="1919"/>
      <c r="E417" s="1919"/>
      <c r="F417" s="1919"/>
      <c r="G417" s="12"/>
    </row>
    <row r="418" spans="1:7">
      <c r="D418" s="135"/>
      <c r="E418" s="135"/>
      <c r="F418" s="135"/>
      <c r="G418" s="12"/>
    </row>
    <row r="419" spans="1:7" ht="14.25">
      <c r="B419" s="671" t="s">
        <v>312</v>
      </c>
      <c r="C419" s="261"/>
      <c r="D419" s="1919" t="s">
        <v>1293</v>
      </c>
      <c r="E419" s="1919"/>
      <c r="F419" s="1919"/>
      <c r="G419" s="12"/>
    </row>
    <row r="420" spans="1:7">
      <c r="D420" s="1919"/>
      <c r="E420" s="1919"/>
      <c r="F420" s="1919"/>
      <c r="G420" s="12"/>
    </row>
    <row r="421" spans="1:7">
      <c r="D421" s="1919"/>
      <c r="E421" s="1919"/>
      <c r="F421" s="1919"/>
      <c r="G421" s="12"/>
    </row>
    <row r="422" spans="1:7">
      <c r="D422" s="1919"/>
      <c r="E422" s="1919"/>
      <c r="F422" s="1919"/>
      <c r="G422" s="12"/>
    </row>
    <row r="423" spans="1:7">
      <c r="B423" s="671" t="s">
        <v>312</v>
      </c>
      <c r="D423" s="1919"/>
      <c r="E423" s="1919"/>
      <c r="F423" s="1919"/>
      <c r="G423" s="12"/>
    </row>
    <row r="424" spans="1:7">
      <c r="A424" s="12"/>
      <c r="B424" s="12"/>
      <c r="C424" s="12"/>
      <c r="D424" s="1919"/>
      <c r="E424" s="1919"/>
      <c r="F424" s="1919"/>
      <c r="G424" s="12"/>
    </row>
    <row r="425" spans="1:7">
      <c r="A425" s="12"/>
      <c r="C425" s="12"/>
      <c r="D425" s="1919"/>
      <c r="E425" s="1919"/>
      <c r="F425" s="1919"/>
      <c r="G425" s="12"/>
    </row>
    <row r="426" spans="1:7">
      <c r="A426" s="12"/>
      <c r="B426" s="671" t="s">
        <v>312</v>
      </c>
      <c r="C426" s="12"/>
      <c r="D426" s="1919"/>
      <c r="E426" s="1919"/>
      <c r="F426" s="1919"/>
      <c r="G426" s="12"/>
    </row>
    <row r="427" spans="1:7">
      <c r="A427" s="12"/>
      <c r="B427" s="12"/>
      <c r="C427" s="12"/>
      <c r="D427" s="1919"/>
      <c r="E427" s="1919"/>
      <c r="F427" s="1919"/>
      <c r="G427" s="12"/>
    </row>
    <row r="428" spans="1:7">
      <c r="A428" s="12"/>
      <c r="C428" s="12"/>
      <c r="D428" s="1919"/>
      <c r="E428" s="1919"/>
      <c r="F428" s="1919"/>
      <c r="G428" s="12"/>
    </row>
    <row r="429" spans="1:7">
      <c r="A429" s="12"/>
      <c r="C429" s="12"/>
      <c r="D429" s="1919"/>
      <c r="E429" s="1919"/>
      <c r="F429" s="1919"/>
      <c r="G429" s="12"/>
    </row>
    <row r="430" spans="1:7">
      <c r="A430" s="12"/>
      <c r="B430" s="671" t="s">
        <v>312</v>
      </c>
      <c r="C430" s="12"/>
      <c r="D430" s="1919"/>
      <c r="E430" s="1919"/>
      <c r="F430" s="1919"/>
      <c r="G430" s="12"/>
    </row>
    <row r="431" spans="1:7">
      <c r="A431" s="12"/>
      <c r="B431" s="12"/>
      <c r="C431" s="12"/>
      <c r="D431" s="1919"/>
      <c r="E431" s="1919"/>
      <c r="F431" s="1919"/>
      <c r="G431" s="12"/>
    </row>
    <row r="432" spans="1:7">
      <c r="A432" s="12"/>
      <c r="B432" s="671" t="s">
        <v>312</v>
      </c>
      <c r="C432" s="12"/>
      <c r="D432" s="1919"/>
      <c r="E432" s="1919"/>
      <c r="F432" s="1919"/>
      <c r="G432" s="12"/>
    </row>
    <row r="433" spans="1:7" s="711" customFormat="1">
      <c r="D433" s="721"/>
      <c r="E433" s="721"/>
      <c r="F433" s="721"/>
    </row>
    <row r="434" spans="1:7">
      <c r="A434" s="12"/>
      <c r="B434" s="710" t="s">
        <v>312</v>
      </c>
      <c r="C434" s="12"/>
      <c r="D434" s="1919" t="s">
        <v>1294</v>
      </c>
      <c r="E434" s="1919"/>
      <c r="F434" s="1919"/>
      <c r="G434" s="12"/>
    </row>
    <row r="435" spans="1:7">
      <c r="A435" s="12"/>
      <c r="B435" s="12"/>
      <c r="C435" s="12"/>
      <c r="D435" s="1919"/>
      <c r="E435" s="1919"/>
      <c r="F435" s="1919"/>
      <c r="G435" s="12"/>
    </row>
    <row r="436" spans="1:7">
      <c r="A436" s="12"/>
      <c r="B436" s="12"/>
      <c r="C436" s="12"/>
      <c r="D436" s="1919"/>
      <c r="E436" s="1919"/>
      <c r="F436" s="1919"/>
      <c r="G436" s="12"/>
    </row>
    <row r="437" spans="1:7">
      <c r="A437" s="12"/>
      <c r="B437" s="12"/>
      <c r="C437" s="12"/>
      <c r="D437" s="1919"/>
      <c r="E437" s="1919"/>
      <c r="F437" s="1919"/>
      <c r="G437" s="12"/>
    </row>
    <row r="438" spans="1:7">
      <c r="D438" s="1919"/>
      <c r="E438" s="1919"/>
      <c r="F438" s="1919"/>
    </row>
    <row r="439" spans="1:7">
      <c r="D439" s="135"/>
      <c r="E439" s="135"/>
      <c r="F439" s="135"/>
    </row>
    <row r="440" spans="1:7">
      <c r="B440" s="671" t="s">
        <v>312</v>
      </c>
      <c r="D440" s="1920" t="s">
        <v>1295</v>
      </c>
      <c r="E440" s="1920"/>
      <c r="F440" s="1920"/>
    </row>
    <row r="441" spans="1:7">
      <c r="A441" s="135"/>
      <c r="B441" s="135"/>
    </row>
    <row r="442" spans="1:7">
      <c r="A442" s="1925" t="s">
        <v>1136</v>
      </c>
      <c r="B442" s="1925"/>
      <c r="C442" s="1925"/>
      <c r="D442" s="1925"/>
      <c r="E442" s="1925"/>
      <c r="F442" s="1925"/>
      <c r="G442" s="1925"/>
    </row>
    <row r="443" spans="1:7">
      <c r="A443" s="135"/>
      <c r="B443" s="135"/>
    </row>
    <row r="444" spans="1:7">
      <c r="D444" s="1921" t="s">
        <v>931</v>
      </c>
      <c r="E444" s="1921"/>
      <c r="F444" s="1921"/>
    </row>
    <row r="445" spans="1:7" s="39" customFormat="1" ht="14.25">
      <c r="A445" s="400"/>
      <c r="B445" s="400"/>
      <c r="C445" s="273"/>
      <c r="D445" s="1922" t="s">
        <v>1296</v>
      </c>
      <c r="E445" s="1922"/>
      <c r="F445" s="1922"/>
      <c r="G445" s="130"/>
    </row>
    <row r="446" spans="1:7" s="39" customFormat="1" ht="14.25">
      <c r="A446" s="400"/>
      <c r="B446" s="400"/>
      <c r="C446" s="273"/>
      <c r="D446" s="724"/>
      <c r="E446" s="6"/>
      <c r="F446" s="6"/>
      <c r="G446" s="130"/>
    </row>
    <row r="447" spans="1:7" s="39" customFormat="1" ht="14.25">
      <c r="A447" s="261"/>
      <c r="B447" s="671" t="s">
        <v>312</v>
      </c>
      <c r="C447" s="273"/>
      <c r="D447" s="1923" t="s">
        <v>1297</v>
      </c>
      <c r="E447" s="1923"/>
      <c r="F447" s="1923"/>
      <c r="G447" s="130"/>
    </row>
    <row r="448" spans="1:7" s="39" customFormat="1" ht="14.25">
      <c r="A448" s="261"/>
      <c r="B448" s="261"/>
      <c r="C448" s="273"/>
      <c r="D448" s="1923"/>
      <c r="E448" s="1923"/>
      <c r="F448" s="1923"/>
      <c r="G448" s="130"/>
    </row>
    <row r="449" spans="1:7" s="39" customFormat="1" ht="14.25">
      <c r="A449" s="261"/>
      <c r="B449" s="261"/>
      <c r="C449" s="273"/>
      <c r="D449" s="722"/>
      <c r="E449" s="6"/>
      <c r="F449" s="6"/>
      <c r="G449" s="130"/>
    </row>
    <row r="450" spans="1:7">
      <c r="B450" s="671" t="s">
        <v>312</v>
      </c>
      <c r="D450" s="1924" t="s">
        <v>1298</v>
      </c>
      <c r="E450" s="1924"/>
      <c r="F450" s="1924"/>
    </row>
    <row r="451" spans="1:7" ht="14.25">
      <c r="A451" s="261"/>
      <c r="D451" s="1924"/>
      <c r="E451" s="1924"/>
      <c r="F451" s="1924"/>
    </row>
    <row r="452" spans="1:7" ht="14.25">
      <c r="A452" s="261"/>
      <c r="B452" s="261"/>
      <c r="D452" s="1924"/>
      <c r="E452" s="1924"/>
      <c r="F452" s="1924"/>
    </row>
    <row r="453" spans="1:7" ht="14.25">
      <c r="A453" s="261"/>
      <c r="B453" s="261"/>
      <c r="D453" s="1924"/>
      <c r="E453" s="1924"/>
      <c r="F453" s="1924"/>
    </row>
    <row r="454" spans="1:7">
      <c r="D454" s="670"/>
      <c r="E454" s="670"/>
      <c r="F454" s="670"/>
      <c r="G454" s="12"/>
    </row>
    <row r="455" spans="1:7" ht="14.25">
      <c r="A455" s="261"/>
      <c r="B455" s="671" t="s">
        <v>312</v>
      </c>
      <c r="D455" s="1906" t="s">
        <v>1299</v>
      </c>
      <c r="E455" s="1906"/>
      <c r="F455" s="1906"/>
      <c r="G455" s="12"/>
    </row>
    <row r="456" spans="1:7" ht="14.25">
      <c r="A456" s="261"/>
      <c r="B456" s="261"/>
      <c r="D456" s="1906"/>
      <c r="E456" s="1906"/>
      <c r="F456" s="1906"/>
      <c r="G456" s="12"/>
    </row>
    <row r="457" spans="1:7" ht="14.25">
      <c r="A457" s="261"/>
      <c r="D457" s="1906"/>
      <c r="E457" s="1906"/>
      <c r="F457" s="1906"/>
      <c r="G457" s="12"/>
    </row>
    <row r="458" spans="1:7" ht="14.25">
      <c r="A458" s="261"/>
      <c r="B458" s="261"/>
      <c r="D458" s="670"/>
      <c r="E458" s="670"/>
      <c r="F458" s="670"/>
      <c r="G458" s="12"/>
    </row>
    <row r="459" spans="1:7" ht="14.25">
      <c r="A459" s="261"/>
      <c r="B459" s="710" t="s">
        <v>312</v>
      </c>
      <c r="D459" s="1918" t="s">
        <v>1300</v>
      </c>
      <c r="E459" s="1918"/>
      <c r="F459" s="1918"/>
      <c r="G459" s="12"/>
    </row>
    <row r="460" spans="1:7" ht="14.25">
      <c r="A460" s="261"/>
      <c r="B460" s="261"/>
      <c r="D460" s="722"/>
      <c r="E460" s="6"/>
      <c r="F460" s="6"/>
      <c r="G460" s="12"/>
    </row>
    <row r="461" spans="1:7" ht="14.25">
      <c r="A461" s="261"/>
      <c r="B461" s="671" t="s">
        <v>312</v>
      </c>
      <c r="D461" s="1905" t="s">
        <v>1301</v>
      </c>
      <c r="E461" s="1905"/>
      <c r="F461" s="1905"/>
      <c r="G461" s="12"/>
    </row>
    <row r="462" spans="1:7" ht="14.25">
      <c r="A462" s="261"/>
      <c r="D462" s="1905"/>
      <c r="E462" s="1905"/>
      <c r="F462" s="1905"/>
      <c r="G462" s="12"/>
    </row>
    <row r="463" spans="1:7">
      <c r="A463" s="23"/>
      <c r="B463" s="667"/>
      <c r="D463" s="725"/>
      <c r="E463" s="6"/>
      <c r="F463" s="6"/>
      <c r="G463" s="12"/>
    </row>
    <row r="464" spans="1:7">
      <c r="A464" s="23"/>
      <c r="B464" s="710" t="s">
        <v>312</v>
      </c>
      <c r="D464" s="1918" t="s">
        <v>1302</v>
      </c>
      <c r="E464" s="1918"/>
      <c r="F464" s="1918"/>
      <c r="G464" s="12"/>
    </row>
    <row r="465" spans="1:7" ht="14.25">
      <c r="A465" s="261"/>
      <c r="B465" s="261"/>
      <c r="D465" s="135"/>
    </row>
    <row r="466" spans="1:7">
      <c r="A466" s="1925" t="s">
        <v>1137</v>
      </c>
      <c r="B466" s="1925"/>
      <c r="C466" s="1925"/>
      <c r="D466" s="1925"/>
      <c r="E466" s="1925"/>
      <c r="F466" s="1925"/>
      <c r="G466" s="1925"/>
    </row>
    <row r="467" spans="1:7" customFormat="1" ht="12" customHeight="1">
      <c r="A467" s="261"/>
      <c r="B467" s="261"/>
      <c r="C467" s="10"/>
      <c r="D467" s="151"/>
      <c r="E467" s="149"/>
      <c r="F467" s="149"/>
      <c r="G467" s="149"/>
    </row>
    <row r="468" spans="1:7" customFormat="1">
      <c r="A468" s="273"/>
      <c r="B468" s="273"/>
      <c r="C468" s="312"/>
      <c r="D468" s="1926" t="s">
        <v>835</v>
      </c>
      <c r="E468" s="1926"/>
      <c r="F468" s="1926"/>
      <c r="G468" s="182"/>
    </row>
    <row r="469" spans="1:7" customFormat="1" ht="13.15" customHeight="1">
      <c r="A469" s="260"/>
      <c r="B469" s="260"/>
      <c r="C469" s="313"/>
      <c r="D469" s="1927" t="s">
        <v>1180</v>
      </c>
      <c r="E469" s="1927"/>
      <c r="F469" s="1927"/>
      <c r="G469" s="149"/>
    </row>
    <row r="470" spans="1:7" customFormat="1">
      <c r="A470" s="260"/>
      <c r="B470" s="260"/>
      <c r="C470" s="313"/>
      <c r="D470" s="1927"/>
      <c r="E470" s="1927"/>
      <c r="F470" s="1927"/>
      <c r="G470" s="149"/>
    </row>
    <row r="471" spans="1:7" customFormat="1">
      <c r="A471" s="260"/>
      <c r="B471" s="260"/>
      <c r="C471" s="313"/>
      <c r="D471" s="1927"/>
      <c r="E471" s="1927"/>
      <c r="F471" s="1927"/>
      <c r="G471" s="149"/>
    </row>
    <row r="472" spans="1:7" customFormat="1">
      <c r="A472" s="260"/>
      <c r="B472" s="260"/>
      <c r="C472" s="313"/>
      <c r="D472" s="1927"/>
      <c r="E472" s="1927"/>
      <c r="F472" s="1927"/>
      <c r="G472" s="149"/>
    </row>
    <row r="473" spans="1:7" customFormat="1">
      <c r="A473" s="260"/>
      <c r="B473" s="260"/>
      <c r="C473" s="313"/>
      <c r="D473" s="1927"/>
      <c r="E473" s="1927"/>
      <c r="F473" s="1927"/>
      <c r="G473" s="149"/>
    </row>
    <row r="474" spans="1:7" customFormat="1">
      <c r="A474" s="260"/>
      <c r="B474" s="260"/>
      <c r="C474" s="313"/>
      <c r="D474" s="468"/>
      <c r="E474" s="149"/>
      <c r="F474" s="151"/>
      <c r="G474" s="149"/>
    </row>
    <row r="475" spans="1:7" customFormat="1" ht="14.45" customHeight="1">
      <c r="A475" s="261"/>
      <c r="B475" s="671" t="s">
        <v>312</v>
      </c>
      <c r="C475" s="313"/>
      <c r="D475" s="1967" t="s">
        <v>1171</v>
      </c>
      <c r="E475" s="1967"/>
      <c r="F475" s="1967"/>
      <c r="G475" s="149"/>
    </row>
    <row r="476" spans="1:7" customFormat="1">
      <c r="A476" s="260"/>
      <c r="B476" s="260"/>
      <c r="C476" s="313"/>
      <c r="D476" s="1967"/>
      <c r="E476" s="1967"/>
      <c r="F476" s="1967"/>
      <c r="G476" s="149"/>
    </row>
    <row r="477" spans="1:7" s="672" customFormat="1">
      <c r="A477" s="260"/>
      <c r="B477" s="260"/>
      <c r="C477" s="313"/>
      <c r="D477" s="1967"/>
      <c r="E477" s="1967"/>
      <c r="F477" s="1967"/>
      <c r="G477" s="149"/>
    </row>
    <row r="478" spans="1:7" s="672" customFormat="1">
      <c r="A478" s="260"/>
      <c r="B478" s="260"/>
      <c r="C478" s="313"/>
      <c r="D478" s="1967"/>
      <c r="E478" s="1967"/>
      <c r="F478" s="1967"/>
      <c r="G478" s="149"/>
    </row>
    <row r="479" spans="1:7" customFormat="1">
      <c r="A479" s="260"/>
      <c r="B479" s="260"/>
      <c r="C479" s="313"/>
      <c r="D479" s="1967"/>
      <c r="E479" s="1967"/>
      <c r="F479" s="1967"/>
      <c r="G479" s="149"/>
    </row>
    <row r="480" spans="1:7" customFormat="1">
      <c r="A480" s="260"/>
      <c r="B480" s="260"/>
      <c r="C480" s="313"/>
      <c r="D480" s="440"/>
      <c r="E480" s="149"/>
      <c r="F480" s="151"/>
      <c r="G480" s="149"/>
    </row>
    <row r="481" spans="1:7" customFormat="1" ht="14.45" customHeight="1">
      <c r="A481" s="261"/>
      <c r="B481" s="671" t="s">
        <v>312</v>
      </c>
      <c r="C481" s="313"/>
      <c r="D481" s="1967" t="s">
        <v>1174</v>
      </c>
      <c r="E481" s="1967"/>
      <c r="F481" s="1967"/>
      <c r="G481" s="149"/>
    </row>
    <row r="482" spans="1:7" customFormat="1">
      <c r="A482" s="260"/>
      <c r="B482" s="260"/>
      <c r="C482" s="313"/>
      <c r="D482" s="1967"/>
      <c r="E482" s="1967"/>
      <c r="F482" s="1967"/>
      <c r="G482" s="149"/>
    </row>
    <row r="483" spans="1:7" s="672" customFormat="1">
      <c r="A483" s="260"/>
      <c r="B483" s="260"/>
      <c r="C483" s="313"/>
      <c r="D483" s="1967"/>
      <c r="E483" s="1967"/>
      <c r="F483" s="1967"/>
      <c r="G483" s="149"/>
    </row>
    <row r="484" spans="1:7" customFormat="1">
      <c r="A484" s="260"/>
      <c r="B484" s="260"/>
      <c r="C484" s="313"/>
      <c r="D484" s="1967"/>
      <c r="E484" s="1967"/>
      <c r="F484" s="1967"/>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67" t="s">
        <v>1172</v>
      </c>
      <c r="E486" s="1967"/>
      <c r="F486" s="1967"/>
      <c r="G486" s="149"/>
    </row>
    <row r="487" spans="1:7" customFormat="1">
      <c r="A487" s="260"/>
      <c r="B487" s="260"/>
      <c r="C487" s="313"/>
      <c r="D487" s="1967"/>
      <c r="E487" s="1967"/>
      <c r="F487" s="1967"/>
      <c r="G487" s="149"/>
    </row>
    <row r="488" spans="1:7" customFormat="1">
      <c r="A488" s="260"/>
      <c r="B488" s="260"/>
      <c r="C488" s="313"/>
      <c r="D488" s="1967"/>
      <c r="E488" s="1967"/>
      <c r="F488" s="1967"/>
      <c r="G488" s="149"/>
    </row>
    <row r="489" spans="1:7" s="672" customFormat="1">
      <c r="A489" s="260"/>
      <c r="B489" s="260"/>
      <c r="C489" s="313"/>
      <c r="D489" s="692"/>
      <c r="E489" s="692"/>
      <c r="F489" s="692"/>
      <c r="G489" s="149"/>
    </row>
    <row r="490" spans="1:7" customFormat="1" ht="14.45" customHeight="1">
      <c r="A490" s="261"/>
      <c r="B490" s="671" t="s">
        <v>312</v>
      </c>
      <c r="C490" s="313"/>
      <c r="D490" s="1967" t="s">
        <v>1173</v>
      </c>
      <c r="E490" s="1967"/>
      <c r="F490" s="1967"/>
      <c r="G490" s="149"/>
    </row>
    <row r="491" spans="1:7" customFormat="1">
      <c r="A491" s="260"/>
      <c r="B491" s="260"/>
      <c r="C491" s="313"/>
      <c r="D491" s="1967"/>
      <c r="E491" s="1967"/>
      <c r="F491" s="1967"/>
      <c r="G491" s="149"/>
    </row>
    <row r="492" spans="1:7" customFormat="1">
      <c r="A492" s="260"/>
      <c r="B492" s="260"/>
      <c r="C492" s="313"/>
      <c r="D492" s="1967"/>
      <c r="E492" s="1967"/>
      <c r="F492" s="1967"/>
      <c r="G492" s="149"/>
    </row>
    <row r="493" spans="1:7" customFormat="1">
      <c r="A493" s="260"/>
      <c r="B493" s="260"/>
      <c r="C493" s="313"/>
      <c r="D493" s="1967"/>
      <c r="E493" s="1967"/>
      <c r="F493" s="1967"/>
      <c r="G493" s="149"/>
    </row>
    <row r="494" spans="1:7" customFormat="1">
      <c r="A494" s="260"/>
      <c r="B494" s="260"/>
      <c r="C494" s="313"/>
      <c r="D494" s="1967"/>
      <c r="E494" s="1967"/>
      <c r="F494" s="1967"/>
      <c r="G494" s="149"/>
    </row>
    <row r="495" spans="1:7" customFormat="1">
      <c r="A495" s="260"/>
      <c r="B495" s="260"/>
      <c r="C495" s="313"/>
      <c r="D495" s="1967"/>
      <c r="E495" s="1967"/>
      <c r="F495" s="1967"/>
      <c r="G495" s="149"/>
    </row>
    <row r="496" spans="1:7" customFormat="1">
      <c r="A496" s="260"/>
      <c r="B496" s="260"/>
      <c r="C496" s="313"/>
      <c r="D496" s="1967"/>
      <c r="E496" s="1967"/>
      <c r="F496" s="1967"/>
      <c r="G496" s="149"/>
    </row>
    <row r="497" spans="1:7" customFormat="1">
      <c r="A497" s="482"/>
      <c r="B497" s="482"/>
      <c r="C497" s="481"/>
      <c r="D497" s="1967"/>
      <c r="E497" s="1967"/>
      <c r="F497" s="1967"/>
      <c r="G497" s="149"/>
    </row>
    <row r="498" spans="1:7" customFormat="1">
      <c r="A498" s="482"/>
      <c r="B498" s="482"/>
      <c r="C498" s="481"/>
      <c r="D498" s="1967"/>
      <c r="E498" s="1967"/>
      <c r="F498" s="1967"/>
      <c r="G498" s="149"/>
    </row>
    <row r="499" spans="1:7" customFormat="1">
      <c r="A499" s="482"/>
      <c r="B499" s="482"/>
      <c r="C499" s="481"/>
      <c r="D499" s="440"/>
      <c r="E499" s="149"/>
      <c r="F499" s="151"/>
      <c r="G499" s="149"/>
    </row>
    <row r="500" spans="1:7" customFormat="1" ht="13.15" customHeight="1">
      <c r="A500" s="482"/>
      <c r="B500" s="671" t="s">
        <v>312</v>
      </c>
      <c r="C500" s="481"/>
      <c r="D500" s="1917" t="s">
        <v>1317</v>
      </c>
      <c r="E500" s="1917"/>
      <c r="F500" s="1917"/>
      <c r="G500" s="149"/>
    </row>
    <row r="501" spans="1:7" customFormat="1">
      <c r="A501" s="482"/>
      <c r="B501" s="482"/>
      <c r="C501" s="481"/>
      <c r="D501" s="1917"/>
      <c r="E501" s="1917"/>
      <c r="F501" s="1917"/>
      <c r="G501" s="149"/>
    </row>
    <row r="502" spans="1:7" customFormat="1">
      <c r="A502" s="482"/>
      <c r="B502" s="482"/>
      <c r="C502" s="481"/>
      <c r="D502" s="1917"/>
      <c r="E502" s="1917"/>
      <c r="F502" s="1917"/>
      <c r="G502" s="149"/>
    </row>
    <row r="503" spans="1:7" customFormat="1">
      <c r="A503" s="482"/>
      <c r="B503" s="482"/>
      <c r="C503" s="481"/>
      <c r="D503" s="1917"/>
      <c r="E503" s="1917"/>
      <c r="F503" s="1917"/>
      <c r="G503" s="149"/>
    </row>
    <row r="504" spans="1:7" customFormat="1">
      <c r="A504" s="260"/>
      <c r="B504" s="260"/>
      <c r="C504" s="313"/>
      <c r="D504" s="1917"/>
      <c r="E504" s="1917"/>
      <c r="F504" s="1917"/>
      <c r="G504" s="149"/>
    </row>
    <row r="505" spans="1:7" s="709" customFormat="1">
      <c r="A505" s="712"/>
      <c r="B505" s="712"/>
      <c r="C505" s="313"/>
      <c r="D505" s="733"/>
      <c r="E505" s="733"/>
      <c r="F505" s="733"/>
      <c r="G505" s="149"/>
    </row>
    <row r="506" spans="1:7" customFormat="1" ht="14.45" customHeight="1">
      <c r="A506" s="261"/>
      <c r="B506" s="671" t="s">
        <v>312</v>
      </c>
      <c r="C506" s="10"/>
      <c r="D506" s="1967" t="s">
        <v>1175</v>
      </c>
      <c r="E506" s="1967"/>
      <c r="F506" s="1967"/>
      <c r="G506" s="149"/>
    </row>
    <row r="507" spans="1:7" customFormat="1">
      <c r="A507" s="132"/>
      <c r="B507" s="668"/>
      <c r="C507" s="10"/>
      <c r="D507" s="1967"/>
      <c r="E507" s="1967"/>
      <c r="F507" s="1967"/>
      <c r="G507" s="149"/>
    </row>
    <row r="508" spans="1:7" customFormat="1">
      <c r="A508" s="132"/>
      <c r="B508" s="668"/>
      <c r="C508" s="10"/>
      <c r="D508" s="1967"/>
      <c r="E508" s="1967"/>
      <c r="F508" s="1967"/>
      <c r="G508" s="149"/>
    </row>
    <row r="509" spans="1:7" customFormat="1" ht="12" customHeight="1">
      <c r="A509" s="135"/>
      <c r="B509" s="135"/>
      <c r="C509" s="315"/>
      <c r="D509" s="135"/>
      <c r="E509" s="149"/>
      <c r="F509" s="314"/>
      <c r="G509" s="149"/>
    </row>
    <row r="510" spans="1:7">
      <c r="A510" s="1925" t="s">
        <v>1138</v>
      </c>
      <c r="B510" s="1925"/>
      <c r="C510" s="1925"/>
      <c r="D510" s="1925"/>
      <c r="E510" s="1925"/>
      <c r="F510" s="1925"/>
      <c r="G510" s="1925"/>
    </row>
    <row r="511" spans="1:7">
      <c r="A511" s="135"/>
      <c r="B511" s="135"/>
      <c r="C511" s="266"/>
      <c r="F511" s="134"/>
    </row>
    <row r="512" spans="1:7">
      <c r="B512" s="1953" t="s">
        <v>464</v>
      </c>
      <c r="C512" s="1953"/>
      <c r="D512" s="1953"/>
      <c r="E512" s="1953"/>
      <c r="F512" s="1953"/>
    </row>
    <row r="513" spans="1:7">
      <c r="A513" s="135"/>
      <c r="B513" s="135"/>
      <c r="C513" s="266"/>
      <c r="D513" s="135"/>
      <c r="F513" s="135"/>
    </row>
    <row r="514" spans="1:7">
      <c r="A514" s="1975" t="s">
        <v>1139</v>
      </c>
      <c r="B514" s="1975"/>
      <c r="C514" s="1975"/>
      <c r="D514" s="1975"/>
      <c r="E514" s="1975"/>
      <c r="F514" s="1975"/>
      <c r="G514" s="1975"/>
    </row>
    <row r="515" spans="1:7">
      <c r="A515" s="135"/>
      <c r="B515" s="135"/>
      <c r="C515" s="266"/>
      <c r="D515" s="135"/>
      <c r="F515" s="135"/>
    </row>
    <row r="516" spans="1:7">
      <c r="C516" s="266"/>
      <c r="D516" s="1928" t="s">
        <v>709</v>
      </c>
      <c r="E516" s="1928"/>
      <c r="F516" s="1928"/>
    </row>
    <row r="517" spans="1:7" s="674" customFormat="1">
      <c r="A517" s="691"/>
      <c r="B517" s="691"/>
      <c r="C517" s="266"/>
      <c r="D517" s="1918" t="s">
        <v>1196</v>
      </c>
      <c r="E517" s="1918"/>
      <c r="F517" s="1918"/>
      <c r="G517" s="7"/>
    </row>
    <row r="518" spans="1:7" s="674" customFormat="1">
      <c r="A518" s="691"/>
      <c r="B518" s="691"/>
      <c r="C518" s="266"/>
      <c r="D518" s="696"/>
      <c r="E518" s="696"/>
      <c r="F518" s="696"/>
      <c r="G518" s="7"/>
    </row>
    <row r="519" spans="1:7" ht="13.15" customHeight="1">
      <c r="A519" s="261"/>
      <c r="B519" s="671" t="s">
        <v>312</v>
      </c>
      <c r="C519" s="266"/>
      <c r="D519" s="1918" t="s">
        <v>932</v>
      </c>
      <c r="E519" s="1918"/>
      <c r="F519" s="1918"/>
      <c r="G519" s="12"/>
    </row>
    <row r="520" spans="1:7" ht="13.15" customHeight="1">
      <c r="A520" s="266"/>
      <c r="B520" s="266"/>
      <c r="C520" s="266"/>
      <c r="D520" s="696"/>
      <c r="E520" s="669"/>
      <c r="F520" s="669"/>
      <c r="G520" s="12"/>
    </row>
    <row r="521" spans="1:7" ht="14.25">
      <c r="A521" s="261"/>
      <c r="B521" s="671" t="s">
        <v>312</v>
      </c>
      <c r="C521" s="266"/>
      <c r="D521" s="1905" t="s">
        <v>1197</v>
      </c>
      <c r="E521" s="1905"/>
      <c r="F521" s="1905"/>
      <c r="G521" s="12"/>
    </row>
    <row r="522" spans="1:7">
      <c r="A522" s="266"/>
      <c r="B522" s="266"/>
      <c r="C522" s="266"/>
      <c r="D522" s="1905"/>
      <c r="E522" s="1905"/>
      <c r="F522" s="1905"/>
      <c r="G522" s="12"/>
    </row>
    <row r="523" spans="1:7">
      <c r="A523" s="266"/>
      <c r="B523" s="266"/>
      <c r="C523" s="266"/>
      <c r="D523" s="135"/>
      <c r="E523" s="135"/>
      <c r="F523" s="135"/>
      <c r="G523" s="12"/>
    </row>
    <row r="524" spans="1:7" ht="14.25">
      <c r="A524" s="261"/>
      <c r="B524" s="671" t="s">
        <v>312</v>
      </c>
      <c r="C524" s="266"/>
      <c r="D524" s="1905" t="s">
        <v>1198</v>
      </c>
      <c r="E524" s="1905"/>
      <c r="F524" s="1905"/>
      <c r="G524" s="12"/>
    </row>
    <row r="525" spans="1:7">
      <c r="A525" s="266"/>
      <c r="B525" s="266"/>
      <c r="C525" s="266"/>
      <c r="D525" s="1905"/>
      <c r="E525" s="1905"/>
      <c r="F525" s="1905"/>
      <c r="G525" s="12"/>
    </row>
    <row r="526" spans="1:7">
      <c r="A526" s="266"/>
      <c r="B526" s="266"/>
      <c r="C526" s="266"/>
      <c r="D526" s="135"/>
      <c r="E526" s="135"/>
      <c r="F526" s="135"/>
      <c r="G526" s="12"/>
    </row>
    <row r="527" spans="1:7" ht="14.25">
      <c r="A527" s="261"/>
      <c r="B527" s="671" t="s">
        <v>312</v>
      </c>
      <c r="C527" s="266"/>
      <c r="D527" s="1905" t="s">
        <v>1199</v>
      </c>
      <c r="E527" s="1905"/>
      <c r="F527" s="1905"/>
      <c r="G527" s="12"/>
    </row>
    <row r="528" spans="1:7">
      <c r="A528" s="266"/>
      <c r="B528" s="266"/>
      <c r="C528" s="266"/>
      <c r="D528" s="1905"/>
      <c r="E528" s="1905"/>
      <c r="F528" s="1905"/>
      <c r="G528" s="12"/>
    </row>
    <row r="529" spans="1:7">
      <c r="A529" s="266"/>
      <c r="B529" s="266"/>
      <c r="C529" s="266"/>
      <c r="D529" s="135"/>
      <c r="E529" s="135"/>
      <c r="F529" s="135"/>
      <c r="G529" s="12"/>
    </row>
    <row r="530" spans="1:7" ht="14.25">
      <c r="A530" s="261"/>
      <c r="B530" s="671" t="s">
        <v>312</v>
      </c>
      <c r="C530" s="266"/>
      <c r="D530" s="1905" t="s">
        <v>1200</v>
      </c>
      <c r="E530" s="1905"/>
      <c r="F530" s="1905"/>
      <c r="G530" s="12"/>
    </row>
    <row r="531" spans="1:7">
      <c r="A531" s="266"/>
      <c r="B531" s="266"/>
      <c r="C531" s="266"/>
      <c r="D531" s="1905"/>
      <c r="E531" s="1905"/>
      <c r="F531" s="1905"/>
      <c r="G531" s="12"/>
    </row>
    <row r="532" spans="1:7">
      <c r="A532" s="266"/>
      <c r="B532" s="266"/>
      <c r="C532" s="266"/>
      <c r="D532" s="1905"/>
      <c r="E532" s="1905"/>
      <c r="F532" s="1905"/>
      <c r="G532" s="12"/>
    </row>
    <row r="533" spans="1:7">
      <c r="A533" s="266"/>
      <c r="B533" s="266"/>
      <c r="C533" s="266"/>
      <c r="D533" s="135"/>
      <c r="E533" s="135"/>
      <c r="F533" s="135"/>
    </row>
    <row r="534" spans="1:7" ht="14.25">
      <c r="A534" s="261"/>
      <c r="B534" s="671" t="s">
        <v>312</v>
      </c>
      <c r="C534" s="266"/>
      <c r="D534" s="1940" t="s">
        <v>1318</v>
      </c>
      <c r="E534" s="1940"/>
      <c r="F534" s="1940"/>
    </row>
    <row r="535" spans="1:7">
      <c r="A535" s="266"/>
      <c r="B535" s="266"/>
      <c r="C535" s="266"/>
      <c r="D535" s="1940"/>
      <c r="E535" s="1940"/>
      <c r="F535" s="1940"/>
    </row>
    <row r="536" spans="1:7">
      <c r="A536" s="266"/>
      <c r="B536" s="266"/>
      <c r="C536" s="266"/>
      <c r="D536" s="135"/>
      <c r="E536" s="135"/>
      <c r="F536" s="135"/>
    </row>
    <row r="537" spans="1:7" ht="14.25">
      <c r="A537" s="261"/>
      <c r="B537" s="671" t="s">
        <v>312</v>
      </c>
      <c r="C537" s="266"/>
      <c r="D537" s="1940" t="s">
        <v>1201</v>
      </c>
      <c r="E537" s="1940"/>
      <c r="F537" s="1940"/>
    </row>
    <row r="538" spans="1:7">
      <c r="A538" s="266"/>
      <c r="B538" s="266"/>
      <c r="C538" s="266"/>
      <c r="D538" s="1940"/>
      <c r="E538" s="1940"/>
      <c r="F538" s="1940"/>
    </row>
    <row r="539" spans="1:7">
      <c r="A539" s="266"/>
      <c r="B539" s="266"/>
      <c r="C539" s="266"/>
      <c r="D539" s="135"/>
      <c r="E539" s="135"/>
      <c r="F539" s="135"/>
    </row>
    <row r="540" spans="1:7" ht="14.25">
      <c r="A540" s="261"/>
      <c r="B540" s="671" t="s">
        <v>312</v>
      </c>
      <c r="C540" s="266"/>
      <c r="D540" s="1905" t="s">
        <v>1202</v>
      </c>
      <c r="E540" s="1905"/>
      <c r="F540" s="1905"/>
    </row>
    <row r="541" spans="1:7">
      <c r="A541" s="266"/>
      <c r="B541" s="266"/>
      <c r="C541" s="266"/>
      <c r="D541" s="1905"/>
      <c r="E541" s="1905"/>
      <c r="F541" s="1905"/>
      <c r="G541" s="57"/>
    </row>
    <row r="542" spans="1:7">
      <c r="A542" s="266"/>
      <c r="B542" s="266"/>
      <c r="C542" s="266"/>
      <c r="D542" s="135"/>
      <c r="E542" s="135"/>
      <c r="F542" s="135"/>
      <c r="G542" s="57"/>
    </row>
    <row r="543" spans="1:7" ht="14.25">
      <c r="A543" s="261"/>
      <c r="B543" s="671" t="s">
        <v>312</v>
      </c>
      <c r="C543" s="266"/>
      <c r="D543" s="1918" t="s">
        <v>1203</v>
      </c>
      <c r="E543" s="1918"/>
      <c r="F543" s="1918"/>
      <c r="G543" s="57"/>
    </row>
    <row r="544" spans="1:7">
      <c r="A544" s="23"/>
      <c r="B544" s="667"/>
      <c r="C544" s="266"/>
      <c r="D544" s="1918" t="s">
        <v>865</v>
      </c>
      <c r="E544" s="1918"/>
      <c r="F544" s="1918"/>
      <c r="G544" s="57"/>
    </row>
    <row r="545" spans="1:7">
      <c r="A545" s="23"/>
      <c r="B545" s="667"/>
      <c r="C545" s="266"/>
      <c r="D545" s="6"/>
      <c r="E545" s="1936" t="s">
        <v>1204</v>
      </c>
      <c r="F545" s="1936"/>
      <c r="G545" s="57"/>
    </row>
    <row r="546" spans="1:7" ht="14.25">
      <c r="A546" s="261"/>
      <c r="B546" s="261"/>
      <c r="C546" s="266"/>
      <c r="E546" s="135"/>
      <c r="F546" s="135"/>
      <c r="G546" s="57"/>
    </row>
    <row r="547" spans="1:7" ht="14.25">
      <c r="A547" s="261"/>
      <c r="B547" s="671" t="s">
        <v>312</v>
      </c>
      <c r="C547" s="266"/>
      <c r="D547" s="1980" t="s">
        <v>1205</v>
      </c>
      <c r="E547" s="1980"/>
      <c r="F547" s="1980"/>
      <c r="G547" s="57"/>
    </row>
    <row r="548" spans="1:7">
      <c r="C548" s="266"/>
      <c r="D548" s="1905" t="s">
        <v>1206</v>
      </c>
      <c r="E548" s="1905"/>
      <c r="F548" s="1905"/>
      <c r="G548" s="57"/>
    </row>
    <row r="549" spans="1:7">
      <c r="A549" s="266"/>
      <c r="B549" s="266"/>
      <c r="C549" s="266"/>
      <c r="D549" s="1905"/>
      <c r="E549" s="1905"/>
      <c r="F549" s="1905"/>
      <c r="G549" s="57"/>
    </row>
    <row r="550" spans="1:7">
      <c r="A550" s="266"/>
      <c r="B550" s="266"/>
      <c r="C550" s="266"/>
      <c r="D550" s="1905"/>
      <c r="E550" s="1905"/>
      <c r="F550" s="1905"/>
      <c r="G550" s="57"/>
    </row>
    <row r="551" spans="1:7">
      <c r="A551" s="266"/>
      <c r="B551" s="266"/>
      <c r="C551" s="266"/>
      <c r="D551" s="135"/>
      <c r="E551" s="135"/>
      <c r="F551" s="135"/>
      <c r="G551" s="57"/>
    </row>
    <row r="552" spans="1:7" ht="14.25">
      <c r="A552" s="261"/>
      <c r="B552" s="671" t="s">
        <v>312</v>
      </c>
      <c r="C552" s="266"/>
      <c r="D552" s="1905" t="s">
        <v>1207</v>
      </c>
      <c r="E552" s="1905"/>
      <c r="F552" s="1905"/>
      <c r="G552" s="57"/>
    </row>
    <row r="553" spans="1:7" ht="14.25">
      <c r="A553" s="261"/>
      <c r="B553" s="261"/>
      <c r="C553" s="266"/>
      <c r="D553" s="1905"/>
      <c r="E553" s="1905"/>
      <c r="F553" s="1905"/>
      <c r="G553" s="57"/>
    </row>
    <row r="554" spans="1:7" ht="14.25">
      <c r="A554" s="261"/>
      <c r="B554" s="261"/>
      <c r="C554" s="266"/>
      <c r="D554" s="1905"/>
      <c r="E554" s="1905"/>
      <c r="F554" s="1905"/>
      <c r="G554" s="57"/>
    </row>
    <row r="555" spans="1:7" ht="14.25">
      <c r="A555" s="261"/>
      <c r="B555" s="261"/>
      <c r="C555" s="266"/>
      <c r="D555" s="1905"/>
      <c r="E555" s="1905"/>
      <c r="F555" s="1905"/>
      <c r="G555" s="57"/>
    </row>
    <row r="556" spans="1:7" ht="14.25">
      <c r="A556" s="261"/>
      <c r="B556" s="261"/>
      <c r="C556" s="266"/>
      <c r="D556" s="135"/>
      <c r="E556" s="135"/>
      <c r="F556" s="135"/>
      <c r="G556" s="57"/>
    </row>
    <row r="557" spans="1:7">
      <c r="A557" s="1925" t="s">
        <v>1140</v>
      </c>
      <c r="B557" s="1925"/>
      <c r="C557" s="1925"/>
      <c r="D557" s="1925"/>
      <c r="E557" s="1925"/>
      <c r="F557" s="1925"/>
      <c r="G557" s="1925"/>
    </row>
    <row r="558" spans="1:7">
      <c r="A558" s="266"/>
      <c r="B558" s="266"/>
      <c r="C558" s="266"/>
      <c r="E558" s="135"/>
      <c r="F558" s="135"/>
      <c r="G558" s="57"/>
    </row>
    <row r="559" spans="1:7" ht="12.75" customHeight="1">
      <c r="C559" s="255"/>
      <c r="D559" s="1954" t="s">
        <v>215</v>
      </c>
      <c r="E559" s="1954"/>
      <c r="F559" s="1954"/>
      <c r="G559" s="57"/>
    </row>
    <row r="560" spans="1:7">
      <c r="A560" s="260"/>
      <c r="B560" s="260"/>
      <c r="C560" s="260"/>
      <c r="D560" s="1948" t="s">
        <v>1156</v>
      </c>
      <c r="E560" s="1948"/>
      <c r="F560" s="1948"/>
      <c r="G560" s="57"/>
    </row>
    <row r="561" spans="1:7">
      <c r="A561" s="12"/>
      <c r="B561" s="12"/>
      <c r="C561" s="260"/>
      <c r="D561" s="374"/>
      <c r="G561" s="57"/>
    </row>
    <row r="562" spans="1:7">
      <c r="A562" s="260"/>
      <c r="B562" s="671" t="s">
        <v>312</v>
      </c>
      <c r="D562" s="1948" t="s">
        <v>938</v>
      </c>
      <c r="E562" s="1948"/>
      <c r="F562" s="1948"/>
      <c r="G562" s="57"/>
    </row>
    <row r="563" spans="1:7">
      <c r="A563" s="23"/>
      <c r="B563" s="667"/>
      <c r="D563" s="325"/>
    </row>
    <row r="564" spans="1:7">
      <c r="A564" s="23"/>
      <c r="B564" s="671" t="s">
        <v>312</v>
      </c>
      <c r="D564" s="1924" t="s">
        <v>1157</v>
      </c>
      <c r="E564" s="1924"/>
      <c r="F564" s="1924"/>
    </row>
    <row r="565" spans="1:7">
      <c r="A565" s="23"/>
      <c r="B565" s="667"/>
      <c r="D565" s="1924"/>
      <c r="E565" s="1924"/>
      <c r="F565" s="1924"/>
    </row>
    <row r="566" spans="1:7">
      <c r="A566" s="23"/>
      <c r="B566" s="680"/>
      <c r="D566" s="1924"/>
      <c r="E566" s="1924"/>
      <c r="F566" s="1924"/>
    </row>
    <row r="567" spans="1:7">
      <c r="A567" s="23"/>
      <c r="B567" s="667"/>
      <c r="D567" s="473"/>
    </row>
    <row r="568" spans="1:7" s="674" customFormat="1">
      <c r="A568" s="680"/>
      <c r="B568" s="671" t="s">
        <v>312</v>
      </c>
      <c r="C568" s="681"/>
      <c r="D568" s="1924" t="s">
        <v>1158</v>
      </c>
      <c r="E568" s="1924"/>
      <c r="F568" s="1924"/>
      <c r="G568" s="7"/>
    </row>
    <row r="569" spans="1:7" s="674" customFormat="1">
      <c r="A569" s="680"/>
      <c r="B569" s="680"/>
      <c r="C569" s="681"/>
      <c r="D569" s="1924"/>
      <c r="E569" s="1924"/>
      <c r="F569" s="1924"/>
      <c r="G569" s="7"/>
    </row>
    <row r="570" spans="1:7" s="674" customFormat="1">
      <c r="A570" s="680"/>
      <c r="B570" s="680"/>
      <c r="C570" s="681"/>
      <c r="D570" s="1924"/>
      <c r="E570" s="1924"/>
      <c r="F570" s="1924"/>
      <c r="G570" s="7"/>
    </row>
    <row r="571" spans="1:7" s="674" customFormat="1">
      <c r="A571" s="680"/>
      <c r="B571" s="680"/>
      <c r="C571" s="681"/>
      <c r="D571" s="1924"/>
      <c r="E571" s="1924"/>
      <c r="F571" s="1924"/>
      <c r="G571" s="7"/>
    </row>
    <row r="572" spans="1:7" s="674" customFormat="1">
      <c r="A572" s="680"/>
      <c r="B572" s="680"/>
      <c r="C572" s="681"/>
      <c r="D572" s="686"/>
      <c r="E572" s="686"/>
      <c r="F572" s="686"/>
      <c r="G572" s="7"/>
    </row>
    <row r="573" spans="1:7">
      <c r="A573" s="23"/>
      <c r="B573" s="671" t="s">
        <v>312</v>
      </c>
      <c r="D573" s="1924" t="s">
        <v>1159</v>
      </c>
      <c r="E573" s="1924"/>
      <c r="F573" s="1924"/>
    </row>
    <row r="574" spans="1:7">
      <c r="A574" s="23"/>
      <c r="B574" s="667"/>
      <c r="D574" s="1924"/>
      <c r="E574" s="1924"/>
      <c r="F574" s="1924"/>
    </row>
    <row r="575" spans="1:7">
      <c r="A575" s="23"/>
      <c r="B575" s="667"/>
      <c r="D575" s="374"/>
    </row>
    <row r="576" spans="1:7" s="674" customFormat="1">
      <c r="A576" s="680"/>
      <c r="B576" s="671" t="s">
        <v>312</v>
      </c>
      <c r="C576" s="681"/>
      <c r="D576" s="1948" t="s">
        <v>1160</v>
      </c>
      <c r="E576" s="1948"/>
      <c r="F576" s="1948"/>
      <c r="G576" s="7"/>
    </row>
    <row r="577" spans="1:7" s="674" customFormat="1">
      <c r="A577" s="680"/>
      <c r="B577" s="680"/>
      <c r="C577" s="681"/>
      <c r="D577" s="1948"/>
      <c r="E577" s="1948"/>
      <c r="F577" s="1948"/>
      <c r="G577" s="7"/>
    </row>
    <row r="578" spans="1:7" s="674" customFormat="1">
      <c r="A578" s="680"/>
      <c r="B578" s="680"/>
      <c r="C578" s="681"/>
      <c r="D578" s="374"/>
      <c r="E578" s="7"/>
      <c r="F578" s="7"/>
      <c r="G578" s="7"/>
    </row>
    <row r="579" spans="1:7" ht="14.25">
      <c r="A579" s="261"/>
      <c r="B579" s="671" t="s">
        <v>312</v>
      </c>
      <c r="D579" s="1948" t="s">
        <v>933</v>
      </c>
      <c r="E579" s="1948"/>
      <c r="F579" s="1948"/>
    </row>
    <row r="580" spans="1:7" ht="14.25">
      <c r="A580" s="261"/>
      <c r="B580" s="261"/>
      <c r="D580" s="374"/>
    </row>
    <row r="581" spans="1:7" ht="14.25">
      <c r="A581" s="261"/>
      <c r="B581" s="671" t="s">
        <v>312</v>
      </c>
      <c r="D581" s="1948" t="s">
        <v>1161</v>
      </c>
      <c r="E581" s="1948"/>
      <c r="F581" s="1948"/>
    </row>
    <row r="582" spans="1:7" ht="14.25">
      <c r="A582" s="261"/>
      <c r="B582" s="261"/>
      <c r="D582" s="1948"/>
      <c r="E582" s="1948"/>
      <c r="F582" s="1948"/>
    </row>
    <row r="583" spans="1:7">
      <c r="D583" s="1948"/>
      <c r="E583" s="1948"/>
      <c r="F583" s="1948"/>
    </row>
    <row r="584" spans="1:7">
      <c r="D584" s="1948"/>
      <c r="E584" s="1948"/>
      <c r="F584" s="1948"/>
    </row>
    <row r="585" spans="1:7" s="674" customFormat="1">
      <c r="A585" s="681"/>
      <c r="B585" s="681"/>
      <c r="C585" s="681"/>
      <c r="D585" s="1948"/>
      <c r="E585" s="1948"/>
      <c r="F585" s="1948"/>
      <c r="G585" s="7"/>
    </row>
    <row r="586" spans="1:7" s="674" customFormat="1">
      <c r="A586" s="681"/>
      <c r="B586" s="681"/>
      <c r="C586" s="681"/>
      <c r="D586" s="1948"/>
      <c r="E586" s="1948"/>
      <c r="F586" s="1948"/>
      <c r="G586" s="7"/>
    </row>
    <row r="587" spans="1:7"/>
    <row r="588" spans="1:7">
      <c r="A588" s="1925" t="s">
        <v>1141</v>
      </c>
      <c r="B588" s="1925"/>
      <c r="C588" s="1925"/>
      <c r="D588" s="1925"/>
      <c r="E588" s="1925"/>
      <c r="F588" s="1925"/>
      <c r="G588" s="1925"/>
    </row>
    <row r="589" spans="1:7"/>
    <row r="590" spans="1:7">
      <c r="D590" s="1942" t="s">
        <v>1241</v>
      </c>
      <c r="E590" s="1942"/>
      <c r="F590" s="1942"/>
    </row>
    <row r="591" spans="1:7">
      <c r="D591" s="1981" t="s">
        <v>1242</v>
      </c>
      <c r="E591" s="1981"/>
      <c r="F591" s="1981"/>
    </row>
    <row r="592" spans="1:7" s="711" customFormat="1">
      <c r="A592" s="697"/>
      <c r="B592" s="697"/>
      <c r="C592" s="697"/>
      <c r="D592" s="715"/>
      <c r="E592" s="714"/>
      <c r="F592" s="714"/>
      <c r="G592" s="7"/>
    </row>
    <row r="593" spans="1:7" s="39" customFormat="1" ht="14.25">
      <c r="A593" s="400"/>
      <c r="B593" s="671" t="s">
        <v>312</v>
      </c>
      <c r="C593" s="273"/>
      <c r="D593" s="1944" t="s">
        <v>1243</v>
      </c>
      <c r="E593" s="1944"/>
      <c r="F593" s="1944"/>
      <c r="G593" s="130"/>
    </row>
    <row r="594" spans="1:7">
      <c r="D594" s="1944"/>
      <c r="E594" s="1944"/>
      <c r="F594" s="1944"/>
    </row>
    <row r="595" spans="1:7">
      <c r="D595" s="1944"/>
      <c r="E595" s="1944"/>
      <c r="F595" s="1944"/>
    </row>
    <row r="596" spans="1:7"/>
    <row r="597" spans="1:7">
      <c r="A597" s="1925" t="s">
        <v>1142</v>
      </c>
      <c r="B597" s="1925"/>
      <c r="C597" s="1925"/>
      <c r="D597" s="1925"/>
      <c r="E597" s="1925"/>
      <c r="F597" s="1925"/>
      <c r="G597" s="1925"/>
    </row>
    <row r="598" spans="1:7">
      <c r="A598" s="135"/>
      <c r="B598" s="135"/>
      <c r="G598" s="57"/>
    </row>
    <row r="599" spans="1:7">
      <c r="A599" s="257"/>
      <c r="B599" s="666"/>
      <c r="C599" s="255"/>
      <c r="D599" s="1982" t="s">
        <v>1244</v>
      </c>
      <c r="E599" s="1982"/>
      <c r="F599" s="1982"/>
      <c r="G599" s="57"/>
    </row>
    <row r="600" spans="1:7">
      <c r="A600" s="257"/>
      <c r="B600" s="666"/>
      <c r="C600" s="255"/>
      <c r="D600" s="1982"/>
      <c r="E600" s="1982"/>
      <c r="F600" s="1982"/>
      <c r="G600" s="57"/>
    </row>
    <row r="601" spans="1:7">
      <c r="C601" s="260"/>
      <c r="D601" s="1981" t="s">
        <v>1245</v>
      </c>
      <c r="E601" s="1981"/>
      <c r="F601" s="1981"/>
      <c r="G601" s="57"/>
    </row>
    <row r="602" spans="1:7" s="711" customFormat="1">
      <c r="A602" s="697"/>
      <c r="B602" s="697"/>
      <c r="C602" s="712"/>
      <c r="D602" s="716"/>
      <c r="E602" s="716"/>
      <c r="F602" s="716"/>
      <c r="G602" s="57"/>
    </row>
    <row r="603" spans="1:7">
      <c r="A603" s="23"/>
      <c r="B603" s="671" t="s">
        <v>312</v>
      </c>
      <c r="D603" s="1981" t="s">
        <v>448</v>
      </c>
      <c r="E603" s="1981"/>
      <c r="F603" s="1981"/>
      <c r="G603" s="57"/>
    </row>
    <row r="604" spans="1:7">
      <c r="C604" s="268"/>
      <c r="E604" s="12"/>
      <c r="G604" s="57"/>
    </row>
    <row r="605" spans="1:7">
      <c r="A605" s="23"/>
      <c r="B605" s="671" t="s">
        <v>312</v>
      </c>
      <c r="D605" s="1941" t="s">
        <v>1246</v>
      </c>
      <c r="E605" s="1941"/>
      <c r="F605" s="1941"/>
      <c r="G605" s="57"/>
    </row>
    <row r="606" spans="1:7">
      <c r="D606" s="1941"/>
      <c r="E606" s="1941"/>
      <c r="F606" s="1941"/>
      <c r="G606" s="57"/>
    </row>
    <row r="607" spans="1:7">
      <c r="D607" s="12"/>
      <c r="G607" s="57"/>
    </row>
    <row r="608" spans="1:7">
      <c r="B608" s="671" t="s">
        <v>312</v>
      </c>
      <c r="D608" s="1941" t="s">
        <v>1247</v>
      </c>
      <c r="E608" s="1941"/>
      <c r="F608" s="1941"/>
      <c r="G608" s="57"/>
    </row>
    <row r="609" spans="1:7">
      <c r="C609" s="268"/>
      <c r="D609" s="1941"/>
      <c r="E609" s="1941"/>
      <c r="F609" s="1941"/>
      <c r="G609" s="57"/>
    </row>
    <row r="610" spans="1:7">
      <c r="C610" s="268"/>
      <c r="G610" s="57"/>
    </row>
    <row r="611" spans="1:7">
      <c r="B611" s="671" t="s">
        <v>312</v>
      </c>
      <c r="C611" s="268"/>
      <c r="D611" s="1941" t="s">
        <v>1248</v>
      </c>
      <c r="E611" s="1941"/>
      <c r="F611" s="1941"/>
      <c r="G611" s="57"/>
    </row>
    <row r="612" spans="1:7">
      <c r="C612" s="268"/>
      <c r="D612" s="1941"/>
      <c r="E612" s="1941"/>
      <c r="F612" s="1941"/>
      <c r="G612" s="57"/>
    </row>
    <row r="613" spans="1:7">
      <c r="C613" s="268"/>
      <c r="G613" s="57"/>
    </row>
    <row r="614" spans="1:7">
      <c r="A614" s="1925" t="s">
        <v>1143</v>
      </c>
      <c r="B614" s="1925"/>
      <c r="C614" s="1925"/>
      <c r="D614" s="1925"/>
      <c r="E614" s="1925"/>
      <c r="F614" s="1925"/>
      <c r="G614" s="1925"/>
    </row>
    <row r="615" spans="1:7">
      <c r="A615" s="267"/>
      <c r="B615" s="267"/>
      <c r="C615" s="267"/>
      <c r="G615" s="57"/>
    </row>
    <row r="616" spans="1:7">
      <c r="C616" s="23"/>
      <c r="D616" s="1942" t="s">
        <v>1249</v>
      </c>
      <c r="E616" s="1942"/>
      <c r="F616" s="1942"/>
      <c r="G616" s="57"/>
    </row>
    <row r="617" spans="1:7">
      <c r="A617" s="23"/>
      <c r="B617" s="667"/>
      <c r="C617" s="265"/>
      <c r="D617" s="50"/>
      <c r="G617" s="57"/>
    </row>
    <row r="618" spans="1:7" ht="14.25">
      <c r="A618" s="261"/>
      <c r="B618" s="671" t="s">
        <v>312</v>
      </c>
      <c r="C618" s="265"/>
      <c r="D618" s="1943" t="s">
        <v>1250</v>
      </c>
      <c r="E618" s="1943"/>
      <c r="F618" s="1943"/>
      <c r="G618" s="57"/>
    </row>
    <row r="619" spans="1:7">
      <c r="C619" s="265"/>
      <c r="D619" s="1943"/>
      <c r="E619" s="1943"/>
      <c r="F619" s="1943"/>
      <c r="G619" s="57"/>
    </row>
    <row r="620" spans="1:7">
      <c r="C620" s="265"/>
      <c r="D620" s="1943"/>
      <c r="E620" s="1943"/>
      <c r="F620" s="1943"/>
      <c r="G620" s="57"/>
    </row>
    <row r="621" spans="1:7">
      <c r="C621" s="265"/>
      <c r="D621" s="1943"/>
      <c r="E621" s="1943"/>
      <c r="F621" s="1943"/>
      <c r="G621" s="57"/>
    </row>
    <row r="622" spans="1:7">
      <c r="C622" s="265"/>
      <c r="D622" s="1943"/>
      <c r="E622" s="1943"/>
      <c r="F622" s="1943"/>
      <c r="G622" s="57"/>
    </row>
    <row r="623" spans="1:7">
      <c r="C623" s="265"/>
      <c r="D623" s="1943"/>
      <c r="E623" s="1943"/>
      <c r="F623" s="1943"/>
      <c r="G623" s="57"/>
    </row>
    <row r="624" spans="1:7" s="711" customFormat="1">
      <c r="A624" s="697"/>
      <c r="B624" s="697"/>
      <c r="C624" s="265"/>
      <c r="D624" s="717"/>
      <c r="E624" s="717"/>
      <c r="F624" s="717"/>
      <c r="G624" s="57"/>
    </row>
    <row r="625" spans="1:7" ht="14.25">
      <c r="A625" s="261"/>
      <c r="B625" s="671" t="s">
        <v>312</v>
      </c>
      <c r="C625" s="265"/>
      <c r="D625" s="1943" t="s">
        <v>1251</v>
      </c>
      <c r="E625" s="1943"/>
      <c r="F625" s="1943"/>
      <c r="G625" s="57"/>
    </row>
    <row r="626" spans="1:7">
      <c r="A626" s="266"/>
      <c r="B626" s="266"/>
      <c r="C626" s="266"/>
      <c r="D626" s="1943"/>
      <c r="E626" s="1943"/>
      <c r="F626" s="1943"/>
      <c r="G626" s="57"/>
    </row>
    <row r="627" spans="1:7">
      <c r="A627" s="266"/>
      <c r="B627" s="266"/>
      <c r="C627" s="266"/>
      <c r="D627" s="151"/>
      <c r="E627" s="147"/>
      <c r="F627" s="147"/>
      <c r="G627" s="57"/>
    </row>
    <row r="628" spans="1:7" ht="14.25">
      <c r="A628" s="261"/>
      <c r="B628" s="671" t="s">
        <v>312</v>
      </c>
      <c r="C628" s="266"/>
      <c r="D628" s="1944" t="s">
        <v>1252</v>
      </c>
      <c r="E628" s="1944"/>
      <c r="F628" s="1944"/>
      <c r="G628" s="57"/>
    </row>
    <row r="629" spans="1:7" ht="14.25">
      <c r="A629" s="261"/>
      <c r="B629" s="261"/>
      <c r="C629" s="266"/>
      <c r="D629" s="1944"/>
      <c r="E629" s="1944"/>
      <c r="F629" s="1944"/>
      <c r="G629" s="57"/>
    </row>
    <row r="630" spans="1:7" ht="14.25">
      <c r="A630" s="261"/>
      <c r="B630" s="261"/>
      <c r="C630" s="266"/>
      <c r="D630" s="1944"/>
      <c r="E630" s="1944"/>
      <c r="F630" s="1944"/>
      <c r="G630" s="57"/>
    </row>
    <row r="631" spans="1:7">
      <c r="A631" s="266"/>
      <c r="B631" s="266"/>
      <c r="C631" s="266"/>
      <c r="D631" s="1944"/>
      <c r="E631" s="1944"/>
      <c r="F631" s="1944"/>
      <c r="G631" s="57"/>
    </row>
    <row r="632" spans="1:7" s="711" customFormat="1">
      <c r="A632" s="266"/>
      <c r="B632" s="266"/>
      <c r="C632" s="266"/>
      <c r="D632" s="718"/>
      <c r="E632" s="718"/>
      <c r="F632" s="718"/>
      <c r="G632" s="57"/>
    </row>
    <row r="633" spans="1:7">
      <c r="A633" s="266"/>
      <c r="B633" s="671" t="s">
        <v>312</v>
      </c>
      <c r="C633" s="266"/>
      <c r="D633" s="1945" t="s">
        <v>1253</v>
      </c>
      <c r="E633" s="1945"/>
      <c r="F633" s="1945"/>
      <c r="G633" s="57"/>
    </row>
    <row r="634" spans="1:7">
      <c r="A634" s="266"/>
      <c r="B634" s="266"/>
      <c r="C634" s="266"/>
      <c r="D634" s="719"/>
      <c r="E634" s="719"/>
      <c r="F634" s="719"/>
      <c r="G634" s="57"/>
    </row>
    <row r="635" spans="1:7">
      <c r="A635" s="1925" t="s">
        <v>1144</v>
      </c>
      <c r="B635" s="1925"/>
      <c r="C635" s="1925"/>
      <c r="D635" s="1925"/>
      <c r="E635" s="1925"/>
      <c r="F635" s="1925"/>
      <c r="G635" s="1925"/>
    </row>
    <row r="636" spans="1:7">
      <c r="A636" s="135"/>
      <c r="B636" s="135"/>
      <c r="C636" s="266"/>
      <c r="D636" s="147"/>
      <c r="E636" s="147"/>
      <c r="F636" s="147"/>
      <c r="G636" s="57"/>
    </row>
    <row r="637" spans="1:7">
      <c r="C637" s="267"/>
      <c r="D637" s="1946" t="s">
        <v>1303</v>
      </c>
      <c r="E637" s="1946"/>
      <c r="F637" s="1946"/>
      <c r="G637" s="57"/>
    </row>
    <row r="638" spans="1:7">
      <c r="A638" s="260"/>
      <c r="B638" s="260"/>
      <c r="C638" s="260"/>
      <c r="D638" s="1947" t="s">
        <v>1304</v>
      </c>
      <c r="E638" s="1947"/>
      <c r="F638" s="1947"/>
      <c r="G638" s="57"/>
    </row>
    <row r="639" spans="1:7" s="711" customFormat="1">
      <c r="A639" s="712"/>
      <c r="B639" s="712"/>
      <c r="C639" s="712"/>
      <c r="D639" s="726"/>
      <c r="E639" s="726"/>
      <c r="F639" s="726"/>
      <c r="G639" s="57"/>
    </row>
    <row r="640" spans="1:7" ht="14.45" customHeight="1">
      <c r="A640" s="261"/>
      <c r="B640" s="671" t="s">
        <v>312</v>
      </c>
      <c r="C640" s="266"/>
      <c r="D640" s="1903" t="s">
        <v>1305</v>
      </c>
      <c r="E640" s="1903"/>
      <c r="F640" s="1903"/>
      <c r="G640" s="57"/>
    </row>
    <row r="641" spans="1:11" ht="14.25">
      <c r="A641" s="261"/>
      <c r="B641" s="261"/>
      <c r="C641" s="266"/>
      <c r="D641" s="1903"/>
      <c r="E641" s="1903"/>
      <c r="F641" s="1903"/>
      <c r="G641" s="57"/>
    </row>
    <row r="642" spans="1:11" ht="14.25">
      <c r="A642" s="261"/>
      <c r="B642" s="261"/>
      <c r="C642" s="266"/>
      <c r="D642" s="1903"/>
      <c r="E642" s="1903"/>
      <c r="F642" s="1903"/>
      <c r="G642" s="57"/>
    </row>
    <row r="643" spans="1:11" ht="14.25">
      <c r="A643" s="261"/>
      <c r="B643" s="261"/>
      <c r="C643" s="266"/>
      <c r="D643" s="1903"/>
      <c r="E643" s="1903"/>
      <c r="F643" s="1903"/>
      <c r="G643" s="57"/>
    </row>
    <row r="644" spans="1:11" s="674" customFormat="1" ht="14.25">
      <c r="A644" s="261"/>
      <c r="B644" s="261"/>
      <c r="C644" s="266"/>
      <c r="D644" s="1903"/>
      <c r="E644" s="1903"/>
      <c r="F644" s="1903"/>
      <c r="G644" s="57"/>
    </row>
    <row r="645" spans="1:11" s="711" customFormat="1" ht="14.25">
      <c r="A645" s="706"/>
      <c r="B645" s="706"/>
      <c r="C645" s="266"/>
      <c r="D645" s="728"/>
      <c r="E645" s="728"/>
      <c r="F645" s="728"/>
      <c r="G645" s="57"/>
    </row>
    <row r="646" spans="1:11" s="674" customFormat="1" ht="14.25">
      <c r="A646" s="261"/>
      <c r="B646" s="671" t="s">
        <v>312</v>
      </c>
      <c r="C646" s="266"/>
      <c r="D646" s="1964" t="s">
        <v>1155</v>
      </c>
      <c r="E646" s="1964"/>
      <c r="F646" s="1964"/>
      <c r="G646" s="57"/>
    </row>
    <row r="647" spans="1:11" s="674" customFormat="1" ht="14.25">
      <c r="A647" s="261"/>
      <c r="B647" s="261"/>
      <c r="C647" s="266"/>
      <c r="D647" s="1965" t="s">
        <v>1306</v>
      </c>
      <c r="E647" s="1965"/>
      <c r="F647" s="1965"/>
      <c r="G647" s="57"/>
    </row>
    <row r="648" spans="1:11" s="674" customFormat="1" ht="14.25">
      <c r="A648" s="261"/>
      <c r="B648" s="261"/>
      <c r="C648" s="266"/>
      <c r="D648" s="1965"/>
      <c r="E648" s="1965"/>
      <c r="F648" s="1965"/>
      <c r="G648" s="57"/>
    </row>
    <row r="649" spans="1:11" s="674" customFormat="1" ht="14.25">
      <c r="A649" s="261"/>
      <c r="B649" s="261"/>
      <c r="C649" s="266"/>
      <c r="D649" s="1965"/>
      <c r="E649" s="1965"/>
      <c r="F649" s="1965"/>
      <c r="G649" s="57"/>
    </row>
    <row r="650" spans="1:11" s="674" customFormat="1" ht="14.25">
      <c r="A650" s="261"/>
      <c r="B650" s="261"/>
      <c r="C650" s="266"/>
      <c r="D650" s="1965"/>
      <c r="E650" s="1965"/>
      <c r="F650" s="1965"/>
      <c r="G650" s="57"/>
    </row>
    <row r="651" spans="1:11" s="674" customFormat="1" ht="14.25">
      <c r="A651" s="261"/>
      <c r="B651" s="261"/>
      <c r="C651" s="266"/>
      <c r="D651" s="1965"/>
      <c r="E651" s="1965"/>
      <c r="F651" s="1965"/>
      <c r="G651" s="57"/>
    </row>
    <row r="652" spans="1:11" s="674" customFormat="1" ht="14.25">
      <c r="A652" s="261"/>
      <c r="B652" s="261"/>
      <c r="C652" s="266"/>
      <c r="D652" s="1966" t="s">
        <v>1307</v>
      </c>
      <c r="E652" s="1966"/>
      <c r="F652" s="1966"/>
      <c r="G652" s="57"/>
    </row>
    <row r="653" spans="1:11">
      <c r="A653" s="266"/>
      <c r="B653" s="266"/>
      <c r="C653" s="266"/>
      <c r="D653" s="147"/>
      <c r="E653" s="147"/>
      <c r="F653" s="147"/>
      <c r="G653" s="57"/>
    </row>
    <row r="654" spans="1:11">
      <c r="A654" s="1925" t="s">
        <v>1145</v>
      </c>
      <c r="B654" s="1925"/>
      <c r="C654" s="1925"/>
      <c r="D654" s="1925"/>
      <c r="E654" s="1925"/>
      <c r="F654" s="1925"/>
      <c r="G654" s="1925"/>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8" t="s">
        <v>104</v>
      </c>
      <c r="E656" s="1928"/>
      <c r="F656" s="1928"/>
      <c r="G656" s="57"/>
      <c r="H656" s="269"/>
      <c r="I656" s="269"/>
      <c r="J656" s="269"/>
      <c r="K656" s="269"/>
    </row>
    <row r="657" spans="1:11">
      <c r="A657" s="267"/>
      <c r="B657" s="267"/>
      <c r="C657" s="267"/>
      <c r="D657" s="1928" t="s">
        <v>128</v>
      </c>
      <c r="E657" s="1928"/>
      <c r="F657" s="1928"/>
      <c r="G657" s="57"/>
      <c r="H657" s="269"/>
      <c r="I657" s="269"/>
      <c r="J657" s="269"/>
      <c r="K657" s="269"/>
    </row>
    <row r="658" spans="1:11">
      <c r="A658" s="260"/>
      <c r="B658" s="260"/>
      <c r="C658" s="260"/>
      <c r="D658" s="1918" t="s">
        <v>1181</v>
      </c>
      <c r="E658" s="1918"/>
      <c r="F658" s="1918"/>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18" t="s">
        <v>934</v>
      </c>
      <c r="E660" s="1918"/>
      <c r="F660" s="1918"/>
      <c r="G660" s="57"/>
      <c r="H660" s="269"/>
      <c r="I660" s="269"/>
      <c r="J660" s="269"/>
      <c r="K660" s="269"/>
    </row>
    <row r="661" spans="1:11">
      <c r="A661" s="260"/>
      <c r="B661" s="260"/>
      <c r="C661" s="260"/>
      <c r="D661" s="1918" t="s">
        <v>945</v>
      </c>
      <c r="E661" s="1918"/>
      <c r="F661" s="1918"/>
      <c r="G661" s="57"/>
      <c r="H661" s="269"/>
      <c r="I661" s="269"/>
      <c r="J661" s="269"/>
      <c r="K661" s="269"/>
    </row>
    <row r="662" spans="1:11">
      <c r="A662" s="260"/>
      <c r="B662" s="260"/>
      <c r="C662" s="260"/>
      <c r="D662" s="6"/>
      <c r="E662" s="1914" t="s">
        <v>1182</v>
      </c>
      <c r="F662" s="1914"/>
      <c r="G662" s="57"/>
      <c r="H662" s="269"/>
      <c r="I662" s="269"/>
      <c r="J662" s="269"/>
      <c r="K662" s="269"/>
    </row>
    <row r="663" spans="1:11">
      <c r="A663" s="260"/>
      <c r="B663" s="260"/>
      <c r="C663" s="260"/>
      <c r="D663" s="6"/>
      <c r="E663" s="1914"/>
      <c r="F663" s="1914"/>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905" t="s">
        <v>1183</v>
      </c>
      <c r="E665" s="1905"/>
      <c r="F665" s="1905"/>
      <c r="G665" s="57"/>
      <c r="H665" s="269"/>
      <c r="I665" s="269"/>
      <c r="J665" s="269"/>
      <c r="K665" s="269"/>
    </row>
    <row r="666" spans="1:11">
      <c r="A666" s="23"/>
      <c r="B666" s="667"/>
      <c r="C666" s="260"/>
      <c r="D666" s="1905"/>
      <c r="E666" s="1905"/>
      <c r="F666" s="1905"/>
      <c r="G666" s="57"/>
      <c r="H666" s="269"/>
      <c r="I666" s="269"/>
      <c r="J666" s="269"/>
      <c r="K666" s="269"/>
    </row>
    <row r="667" spans="1:11">
      <c r="A667" s="260"/>
      <c r="B667" s="260"/>
      <c r="C667" s="260"/>
      <c r="D667" s="1905"/>
      <c r="E667" s="1905"/>
      <c r="F667" s="1905"/>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18" t="s">
        <v>973</v>
      </c>
      <c r="E669" s="1918"/>
      <c r="F669" s="1918"/>
      <c r="G669" s="57"/>
      <c r="H669" s="269"/>
      <c r="I669" s="269"/>
      <c r="J669" s="269"/>
      <c r="K669" s="269"/>
    </row>
    <row r="670" spans="1:11" ht="14.25">
      <c r="A670" s="261"/>
      <c r="B670" s="261"/>
      <c r="C670" s="260"/>
      <c r="D670" s="1918" t="s">
        <v>945</v>
      </c>
      <c r="E670" s="1918"/>
      <c r="F670" s="1918"/>
      <c r="G670" s="57"/>
      <c r="H670" s="269"/>
      <c r="I670" s="269"/>
      <c r="J670" s="269"/>
      <c r="K670" s="269"/>
    </row>
    <row r="671" spans="1:11">
      <c r="A671" s="260"/>
      <c r="B671" s="260"/>
      <c r="C671" s="260"/>
      <c r="D671" s="6"/>
      <c r="E671" s="1936" t="s">
        <v>1184</v>
      </c>
      <c r="F671" s="1936"/>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40" t="s">
        <v>1194</v>
      </c>
      <c r="E673" s="1940"/>
      <c r="F673" s="1940"/>
      <c r="G673" s="57"/>
      <c r="H673" s="269"/>
      <c r="I673" s="269"/>
      <c r="J673" s="269"/>
      <c r="K673" s="269"/>
    </row>
    <row r="674" spans="1:11">
      <c r="A674" s="260"/>
      <c r="B674" s="260"/>
      <c r="C674" s="260"/>
      <c r="D674" s="1940"/>
      <c r="E674" s="1940"/>
      <c r="F674" s="1940"/>
      <c r="G674" s="57"/>
      <c r="H674" s="269"/>
      <c r="I674" s="269"/>
      <c r="J674" s="269"/>
      <c r="K674" s="269"/>
    </row>
    <row r="675" spans="1:11">
      <c r="A675" s="260"/>
      <c r="B675" s="260"/>
      <c r="C675" s="260"/>
      <c r="D675" s="1940"/>
      <c r="E675" s="1940"/>
      <c r="F675" s="1940"/>
      <c r="G675" s="57"/>
      <c r="H675" s="269"/>
      <c r="I675" s="269"/>
      <c r="J675" s="269"/>
      <c r="K675" s="269"/>
    </row>
    <row r="676" spans="1:11">
      <c r="A676" s="260"/>
      <c r="B676" s="260"/>
      <c r="C676" s="260"/>
      <c r="D676" s="1940"/>
      <c r="E676" s="1940"/>
      <c r="F676" s="1940"/>
      <c r="G676" s="57"/>
      <c r="H676" s="269"/>
      <c r="I676" s="269"/>
      <c r="J676" s="269"/>
      <c r="K676" s="269"/>
    </row>
    <row r="677" spans="1:11">
      <c r="A677" s="260"/>
      <c r="B677" s="260"/>
      <c r="C677" s="260"/>
      <c r="D677" s="1940"/>
      <c r="E677" s="1940"/>
      <c r="F677" s="1940"/>
      <c r="G677" s="57"/>
      <c r="H677" s="269"/>
      <c r="I677" s="269"/>
      <c r="J677" s="269"/>
      <c r="K677" s="269"/>
    </row>
    <row r="678" spans="1:11" s="39" customFormat="1">
      <c r="A678" s="482"/>
      <c r="B678" s="482"/>
      <c r="C678" s="482"/>
      <c r="D678" s="1940"/>
      <c r="E678" s="1940"/>
      <c r="F678" s="1940"/>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40" t="s">
        <v>1185</v>
      </c>
      <c r="E680" s="1940"/>
      <c r="F680" s="1940"/>
      <c r="G680" s="57"/>
      <c r="H680" s="269"/>
      <c r="I680" s="269"/>
      <c r="J680" s="269"/>
      <c r="K680" s="269"/>
    </row>
    <row r="681" spans="1:11">
      <c r="A681" s="260"/>
      <c r="B681" s="260"/>
      <c r="C681" s="260"/>
      <c r="D681" s="1940"/>
      <c r="E681" s="1940"/>
      <c r="F681" s="1940"/>
      <c r="G681" s="57"/>
      <c r="H681" s="269"/>
      <c r="I681" s="269"/>
      <c r="J681" s="269"/>
      <c r="K681" s="269"/>
    </row>
    <row r="682" spans="1:11">
      <c r="A682" s="260"/>
      <c r="B682" s="260"/>
      <c r="C682" s="260"/>
      <c r="D682" s="1940"/>
      <c r="E682" s="1940"/>
      <c r="F682" s="1940"/>
      <c r="G682" s="57"/>
      <c r="H682" s="269"/>
      <c r="I682" s="269"/>
      <c r="J682" s="269"/>
      <c r="K682" s="269"/>
    </row>
    <row r="683" spans="1:11" ht="15" customHeight="1">
      <c r="A683" s="260"/>
      <c r="B683" s="260"/>
      <c r="C683" s="260"/>
      <c r="D683" s="1940"/>
      <c r="E683" s="1940"/>
      <c r="F683" s="1940"/>
      <c r="G683" s="57"/>
      <c r="H683" s="269"/>
      <c r="I683" s="269"/>
      <c r="J683" s="269"/>
      <c r="K683" s="269"/>
    </row>
    <row r="684" spans="1:11" ht="15" customHeight="1">
      <c r="A684" s="260"/>
      <c r="B684" s="260"/>
      <c r="C684" s="260"/>
      <c r="D684" s="1940"/>
      <c r="E684" s="1940"/>
      <c r="F684" s="1940"/>
      <c r="G684" s="57"/>
      <c r="H684" s="269"/>
      <c r="I684" s="269"/>
      <c r="J684" s="269"/>
      <c r="K684" s="269"/>
    </row>
    <row r="685" spans="1:11">
      <c r="A685" s="260"/>
      <c r="B685" s="260"/>
      <c r="C685" s="260"/>
      <c r="D685" s="1940"/>
      <c r="E685" s="1940"/>
      <c r="F685" s="1940"/>
      <c r="G685" s="57"/>
      <c r="H685" s="269"/>
      <c r="I685" s="269"/>
      <c r="J685" s="269"/>
      <c r="K685" s="269"/>
    </row>
    <row r="686" spans="1:11">
      <c r="A686" s="260"/>
      <c r="B686" s="260"/>
      <c r="C686" s="260"/>
      <c r="D686" s="1940"/>
      <c r="E686" s="1940"/>
      <c r="F686" s="1940"/>
      <c r="G686" s="57"/>
      <c r="H686" s="269"/>
      <c r="I686" s="269"/>
      <c r="J686" s="269"/>
      <c r="K686" s="269"/>
    </row>
    <row r="687" spans="1:11">
      <c r="A687" s="260"/>
      <c r="B687" s="260"/>
      <c r="C687" s="260"/>
      <c r="D687" s="1940"/>
      <c r="E687" s="1940"/>
      <c r="F687" s="1940"/>
      <c r="G687" s="57"/>
      <c r="H687" s="269"/>
      <c r="I687" s="269"/>
      <c r="J687" s="269"/>
      <c r="K687" s="269"/>
    </row>
    <row r="688" spans="1:11" ht="15" customHeight="1">
      <c r="A688" s="260"/>
      <c r="B688" s="260"/>
      <c r="C688" s="260"/>
      <c r="D688" s="1940"/>
      <c r="E688" s="1940"/>
      <c r="F688" s="1940"/>
      <c r="G688" s="57"/>
      <c r="H688" s="269"/>
      <c r="I688" s="269"/>
      <c r="J688" s="269"/>
      <c r="K688" s="269"/>
    </row>
    <row r="689" spans="1:11">
      <c r="A689" s="260"/>
      <c r="B689" s="260"/>
      <c r="C689" s="260"/>
      <c r="D689" s="1940"/>
      <c r="E689" s="1940"/>
      <c r="F689" s="1940"/>
      <c r="G689" s="57"/>
      <c r="H689" s="269"/>
      <c r="I689" s="269"/>
      <c r="J689" s="269"/>
      <c r="K689" s="269"/>
    </row>
    <row r="690" spans="1:11">
      <c r="A690" s="260"/>
      <c r="B690" s="260"/>
      <c r="C690" s="260"/>
      <c r="D690" s="1940"/>
      <c r="E690" s="1940"/>
      <c r="F690" s="1940"/>
      <c r="G690" s="57"/>
      <c r="H690" s="269"/>
      <c r="I690" s="269"/>
      <c r="J690" s="269"/>
      <c r="K690" s="269"/>
    </row>
    <row r="691" spans="1:11">
      <c r="A691" s="260"/>
      <c r="B691" s="260"/>
      <c r="C691" s="260"/>
      <c r="D691" s="1940"/>
      <c r="E691" s="1940"/>
      <c r="F691" s="1940"/>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40" t="s">
        <v>1195</v>
      </c>
      <c r="E693" s="1940"/>
      <c r="F693" s="1940"/>
      <c r="G693" s="57"/>
      <c r="H693" s="269"/>
      <c r="I693" s="269"/>
      <c r="J693" s="269"/>
      <c r="K693" s="269"/>
    </row>
    <row r="694" spans="1:11">
      <c r="A694" s="260"/>
      <c r="B694" s="260"/>
      <c r="C694" s="260"/>
      <c r="D694" s="1940"/>
      <c r="E694" s="1940"/>
      <c r="F694" s="1940"/>
      <c r="G694" s="57"/>
      <c r="H694" s="269"/>
      <c r="I694" s="269"/>
      <c r="J694" s="269"/>
      <c r="K694" s="269"/>
    </row>
    <row r="695" spans="1:11">
      <c r="A695" s="260"/>
      <c r="B695" s="260"/>
      <c r="C695" s="260"/>
      <c r="D695" s="1940"/>
      <c r="E695" s="1940"/>
      <c r="F695" s="194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40" t="s">
        <v>1192</v>
      </c>
      <c r="E697" s="1940"/>
      <c r="F697" s="1940"/>
      <c r="G697" s="57"/>
      <c r="H697" s="269"/>
      <c r="I697" s="269"/>
      <c r="J697" s="269"/>
      <c r="K697" s="269"/>
    </row>
    <row r="698" spans="1:11" s="674" customFormat="1">
      <c r="A698" s="260"/>
      <c r="B698" s="260"/>
      <c r="C698" s="260"/>
      <c r="D698" s="1940"/>
      <c r="E698" s="1940"/>
      <c r="F698" s="194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40" t="s">
        <v>1193</v>
      </c>
      <c r="E700" s="1940"/>
      <c r="F700" s="1940"/>
      <c r="G700" s="57"/>
      <c r="H700" s="269"/>
      <c r="I700" s="269"/>
      <c r="J700" s="269"/>
      <c r="K700" s="269"/>
    </row>
    <row r="701" spans="1:11" s="674" customFormat="1">
      <c r="A701" s="260"/>
      <c r="B701" s="260"/>
      <c r="C701" s="260"/>
      <c r="D701" s="1940"/>
      <c r="E701" s="1940"/>
      <c r="F701" s="1940"/>
      <c r="G701" s="57"/>
      <c r="H701" s="269"/>
      <c r="I701" s="269"/>
      <c r="J701" s="269"/>
      <c r="K701" s="269"/>
    </row>
    <row r="702" spans="1:11" s="674" customFormat="1">
      <c r="A702" s="260"/>
      <c r="B702" s="260"/>
      <c r="C702" s="260"/>
      <c r="D702" s="1940"/>
      <c r="E702" s="1940"/>
      <c r="F702" s="194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40" t="s">
        <v>1186</v>
      </c>
      <c r="E704" s="1940"/>
      <c r="F704" s="1940"/>
      <c r="G704" s="57"/>
      <c r="H704" s="269"/>
      <c r="I704" s="269"/>
      <c r="J704" s="269"/>
      <c r="K704" s="269"/>
    </row>
    <row r="705" spans="1:11">
      <c r="A705" s="260"/>
      <c r="B705" s="260"/>
      <c r="C705" s="260"/>
      <c r="D705" s="1940"/>
      <c r="E705" s="1940"/>
      <c r="F705" s="1940"/>
      <c r="G705" s="57"/>
      <c r="H705" s="269"/>
      <c r="I705" s="269"/>
      <c r="J705" s="269"/>
      <c r="K705" s="269"/>
    </row>
    <row r="706" spans="1:11">
      <c r="A706" s="260"/>
      <c r="B706" s="260"/>
      <c r="C706" s="260"/>
      <c r="D706" s="1940"/>
      <c r="E706" s="1940"/>
      <c r="F706" s="1940"/>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40" t="s">
        <v>1187</v>
      </c>
      <c r="E708" s="1940"/>
      <c r="F708" s="1940"/>
      <c r="G708" s="57"/>
      <c r="H708" s="269"/>
      <c r="I708" s="269"/>
      <c r="J708" s="269"/>
      <c r="K708" s="269"/>
    </row>
    <row r="709" spans="1:11">
      <c r="A709" s="260"/>
      <c r="B709" s="260"/>
      <c r="C709" s="260"/>
      <c r="D709" s="1940"/>
      <c r="E709" s="1940"/>
      <c r="F709" s="1940"/>
      <c r="G709" s="57"/>
      <c r="H709" s="269"/>
      <c r="I709" s="269"/>
      <c r="J709" s="269"/>
      <c r="K709" s="269"/>
    </row>
    <row r="710" spans="1:11">
      <c r="A710" s="260"/>
      <c r="B710" s="260"/>
      <c r="C710" s="260"/>
      <c r="D710" s="1940"/>
      <c r="E710" s="1940"/>
      <c r="F710" s="1940"/>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905" t="s">
        <v>1188</v>
      </c>
      <c r="E712" s="1905"/>
      <c r="F712" s="1905"/>
      <c r="G712" s="57"/>
      <c r="H712" s="269"/>
      <c r="I712" s="269"/>
      <c r="J712" s="269"/>
      <c r="K712" s="269"/>
    </row>
    <row r="713" spans="1:11">
      <c r="A713" s="260"/>
      <c r="B713" s="260"/>
      <c r="C713" s="260"/>
      <c r="D713" s="1905"/>
      <c r="E713" s="1905"/>
      <c r="F713" s="1905"/>
      <c r="G713" s="57"/>
      <c r="H713" s="269"/>
      <c r="I713" s="269"/>
      <c r="J713" s="269"/>
      <c r="K713" s="269"/>
    </row>
    <row r="714" spans="1:11">
      <c r="A714" s="260"/>
      <c r="B714" s="260"/>
      <c r="C714" s="260"/>
      <c r="D714" s="1905"/>
      <c r="E714" s="1905"/>
      <c r="F714" s="1905"/>
      <c r="G714" s="57"/>
      <c r="H714" s="269"/>
      <c r="I714" s="269"/>
      <c r="J714" s="269"/>
      <c r="K714" s="269"/>
    </row>
    <row r="715" spans="1:11">
      <c r="A715" s="260"/>
      <c r="B715" s="260"/>
      <c r="C715" s="260"/>
      <c r="D715" s="1905"/>
      <c r="E715" s="1905"/>
      <c r="F715" s="1905"/>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40" t="s">
        <v>1321</v>
      </c>
      <c r="E717" s="1940"/>
      <c r="F717" s="1940"/>
      <c r="G717" s="57"/>
      <c r="H717" s="269"/>
      <c r="I717" s="269"/>
      <c r="J717" s="269"/>
      <c r="K717" s="269"/>
    </row>
    <row r="718" spans="1:11">
      <c r="A718" s="260"/>
      <c r="B718" s="260"/>
      <c r="C718" s="260"/>
      <c r="D718" s="1940"/>
      <c r="E718" s="1940"/>
      <c r="F718" s="1940"/>
      <c r="G718" s="57"/>
      <c r="H718" s="269"/>
      <c r="I718" s="269"/>
      <c r="J718" s="269"/>
      <c r="K718" s="269"/>
    </row>
    <row r="719" spans="1:11">
      <c r="A719" s="260"/>
      <c r="B719" s="260"/>
      <c r="C719" s="260"/>
      <c r="D719" s="1940"/>
      <c r="E719" s="1940"/>
      <c r="F719" s="1940"/>
      <c r="G719" s="57"/>
      <c r="H719" s="269"/>
      <c r="I719" s="269"/>
      <c r="J719" s="269"/>
      <c r="K719" s="269"/>
    </row>
    <row r="720" spans="1:11">
      <c r="A720" s="260"/>
      <c r="B720" s="260"/>
      <c r="C720" s="260"/>
      <c r="D720" s="1940"/>
      <c r="E720" s="1940"/>
      <c r="F720" s="1940"/>
      <c r="G720" s="57"/>
      <c r="H720" s="269"/>
      <c r="I720" s="269"/>
      <c r="J720" s="269"/>
      <c r="K720" s="269"/>
    </row>
    <row r="721" spans="1:11">
      <c r="A721" s="260"/>
      <c r="B721" s="260"/>
      <c r="C721" s="260"/>
      <c r="D721" s="1940"/>
      <c r="E721" s="1940"/>
      <c r="F721" s="1940"/>
      <c r="G721" s="57"/>
      <c r="H721" s="269"/>
      <c r="I721" s="269"/>
      <c r="J721" s="269"/>
      <c r="K721" s="269"/>
    </row>
    <row r="722" spans="1:11">
      <c r="A722" s="260"/>
      <c r="B722" s="260"/>
      <c r="C722" s="260"/>
      <c r="D722" s="1940"/>
      <c r="E722" s="1940"/>
      <c r="F722" s="1940"/>
      <c r="G722" s="57"/>
      <c r="H722" s="269"/>
      <c r="I722" s="269"/>
      <c r="J722" s="269"/>
      <c r="K722" s="269"/>
    </row>
    <row r="723" spans="1:11">
      <c r="A723" s="260"/>
      <c r="B723" s="260"/>
      <c r="C723" s="260"/>
      <c r="D723" s="1940"/>
      <c r="E723" s="1940"/>
      <c r="F723" s="1940"/>
      <c r="G723" s="57"/>
      <c r="H723" s="269"/>
      <c r="I723" s="269"/>
      <c r="J723" s="269"/>
      <c r="K723" s="269"/>
    </row>
    <row r="724" spans="1:11">
      <c r="A724" s="260"/>
      <c r="B724" s="260"/>
      <c r="C724" s="260"/>
      <c r="D724" s="1973" t="s">
        <v>1189</v>
      </c>
      <c r="E724" s="1973"/>
      <c r="F724" s="1973"/>
      <c r="G724" s="57"/>
      <c r="H724" s="269"/>
      <c r="I724" s="269"/>
      <c r="J724" s="269"/>
      <c r="K724" s="269"/>
    </row>
    <row r="725" spans="1:11" s="674" customFormat="1">
      <c r="A725" s="260"/>
      <c r="B725" s="260"/>
      <c r="C725" s="260"/>
      <c r="D725" s="526"/>
      <c r="E725" s="7"/>
      <c r="F725" s="7"/>
      <c r="G725" s="57"/>
      <c r="H725" s="269"/>
      <c r="I725" s="269"/>
      <c r="J725" s="269"/>
      <c r="K725" s="269"/>
    </row>
    <row r="726" spans="1:11">
      <c r="A726" s="1975" t="s">
        <v>1146</v>
      </c>
      <c r="B726" s="1975"/>
      <c r="C726" s="1975"/>
      <c r="D726" s="1975"/>
      <c r="E726" s="1975"/>
      <c r="F726" s="1975"/>
      <c r="G726" s="1975"/>
      <c r="H726" s="269"/>
      <c r="I726" s="269"/>
      <c r="J726" s="269"/>
      <c r="K726" s="269"/>
    </row>
    <row r="727" spans="1:11">
      <c r="A727" s="260"/>
      <c r="B727" s="260"/>
      <c r="C727" s="260"/>
      <c r="D727" s="263"/>
      <c r="G727" s="271"/>
      <c r="H727" s="269"/>
      <c r="I727" s="269"/>
      <c r="J727" s="269"/>
      <c r="K727" s="269"/>
    </row>
    <row r="728" spans="1:11" ht="13.15" customHeight="1">
      <c r="C728" s="260"/>
      <c r="D728" s="1954" t="s">
        <v>1162</v>
      </c>
      <c r="E728" s="1954"/>
      <c r="F728" s="1954"/>
      <c r="G728" s="271"/>
      <c r="H728" s="269"/>
      <c r="I728" s="269"/>
      <c r="J728" s="269"/>
      <c r="K728" s="269"/>
    </row>
    <row r="729" spans="1:11">
      <c r="A729" s="260"/>
      <c r="B729" s="260"/>
      <c r="C729" s="260"/>
      <c r="D729" s="1971" t="s">
        <v>1163</v>
      </c>
      <c r="E729" s="1971"/>
      <c r="F729" s="1971"/>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905" t="s">
        <v>1164</v>
      </c>
      <c r="E731" s="1905"/>
      <c r="F731" s="1905"/>
      <c r="G731" s="271"/>
      <c r="H731" s="272"/>
      <c r="I731" s="272"/>
      <c r="J731" s="272"/>
      <c r="K731" s="272"/>
    </row>
    <row r="732" spans="1:11" s="39" customFormat="1" ht="10.5" customHeight="1">
      <c r="A732" s="132"/>
      <c r="B732" s="668"/>
      <c r="C732" s="132"/>
      <c r="D732" s="1905"/>
      <c r="E732" s="1905"/>
      <c r="F732" s="1905"/>
      <c r="G732" s="271"/>
      <c r="H732" s="272"/>
      <c r="I732" s="272"/>
      <c r="J732" s="272"/>
      <c r="K732" s="272"/>
    </row>
    <row r="733" spans="1:11" s="39" customFormat="1">
      <c r="A733" s="132"/>
      <c r="B733" s="668"/>
      <c r="C733" s="132"/>
      <c r="D733" s="1905"/>
      <c r="E733" s="1905"/>
      <c r="F733" s="1905"/>
      <c r="G733" s="271"/>
      <c r="H733" s="272"/>
      <c r="I733" s="272"/>
      <c r="J733" s="272"/>
      <c r="K733" s="272"/>
    </row>
    <row r="734" spans="1:11">
      <c r="D734" s="1905"/>
      <c r="E734" s="1905"/>
      <c r="F734" s="1905"/>
      <c r="G734" s="271"/>
      <c r="H734" s="269"/>
      <c r="I734" s="269"/>
      <c r="J734" s="269"/>
      <c r="K734" s="269"/>
    </row>
    <row r="735" spans="1:11">
      <c r="A735" s="273"/>
      <c r="B735" s="273"/>
      <c r="C735" s="273"/>
      <c r="D735" s="1905"/>
      <c r="E735" s="1905"/>
      <c r="F735" s="1905"/>
      <c r="G735" s="275"/>
      <c r="H735" s="269"/>
      <c r="I735" s="269"/>
      <c r="J735" s="269"/>
      <c r="K735" s="269"/>
    </row>
    <row r="736" spans="1:11" ht="15.6" customHeight="1">
      <c r="A736" s="273"/>
      <c r="B736" s="273"/>
      <c r="C736" s="273"/>
      <c r="D736" s="1905"/>
      <c r="E736" s="1905"/>
      <c r="F736" s="1905"/>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906" t="s">
        <v>1165</v>
      </c>
      <c r="E738" s="1906"/>
      <c r="F738" s="1906"/>
      <c r="G738" s="311"/>
    </row>
    <row r="739" spans="1:11" s="406" customFormat="1">
      <c r="A739" s="405"/>
      <c r="B739" s="405"/>
      <c r="C739" s="405"/>
      <c r="D739" s="1906"/>
      <c r="E739" s="1906"/>
      <c r="F739" s="1906"/>
      <c r="G739" s="311"/>
    </row>
    <row r="740" spans="1:11" s="406" customFormat="1">
      <c r="A740" s="405"/>
      <c r="B740" s="405"/>
      <c r="C740" s="405"/>
      <c r="D740" s="1906"/>
      <c r="E740" s="1906"/>
      <c r="F740" s="1906"/>
      <c r="G740" s="311"/>
    </row>
    <row r="741" spans="1:11" s="406" customFormat="1">
      <c r="A741" s="405"/>
      <c r="B741" s="405"/>
      <c r="C741" s="405"/>
      <c r="D741" s="1906"/>
      <c r="E741" s="1906"/>
      <c r="F741" s="1906"/>
      <c r="G741" s="311"/>
    </row>
    <row r="742" spans="1:11" s="406" customFormat="1">
      <c r="A742" s="405"/>
      <c r="B742" s="405"/>
      <c r="C742" s="405"/>
      <c r="D742" s="374"/>
      <c r="E742" s="311"/>
      <c r="F742" s="311"/>
      <c r="G742" s="311"/>
    </row>
    <row r="743" spans="1:11" s="406" customFormat="1" ht="14.25">
      <c r="A743" s="261"/>
      <c r="B743" s="671" t="s">
        <v>312</v>
      </c>
      <c r="C743" s="405"/>
      <c r="D743" s="1972" t="s">
        <v>1166</v>
      </c>
      <c r="E743" s="1972"/>
      <c r="F743" s="1972"/>
      <c r="G743" s="311"/>
    </row>
    <row r="744" spans="1:11" s="406" customFormat="1">
      <c r="A744" s="405"/>
      <c r="B744" s="405"/>
      <c r="C744" s="405"/>
      <c r="D744" s="1972"/>
      <c r="E744" s="1972"/>
      <c r="F744" s="1972"/>
      <c r="G744" s="311"/>
    </row>
    <row r="745" spans="1:11" s="406" customFormat="1">
      <c r="A745" s="405"/>
      <c r="B745" s="405"/>
      <c r="C745" s="405"/>
      <c r="D745" s="1972"/>
      <c r="E745" s="1972"/>
      <c r="F745" s="1972"/>
      <c r="G745" s="311"/>
    </row>
    <row r="746" spans="1:11">
      <c r="A746" s="273"/>
      <c r="B746" s="273"/>
      <c r="C746" s="273"/>
      <c r="D746" s="374"/>
      <c r="E746" s="274"/>
      <c r="F746" s="274"/>
      <c r="G746" s="275"/>
      <c r="H746" s="269"/>
      <c r="I746" s="269"/>
      <c r="J746" s="269"/>
      <c r="K746" s="269"/>
    </row>
    <row r="747" spans="1:11" ht="14.25">
      <c r="A747" s="261"/>
      <c r="B747" s="671" t="s">
        <v>312</v>
      </c>
      <c r="C747" s="273"/>
      <c r="D747" s="1906" t="s">
        <v>1167</v>
      </c>
      <c r="E747" s="1906"/>
      <c r="F747" s="1906"/>
      <c r="G747" s="275"/>
      <c r="H747" s="269"/>
      <c r="I747" s="269"/>
      <c r="J747" s="269"/>
      <c r="K747" s="269"/>
    </row>
    <row r="748" spans="1:11">
      <c r="A748" s="273"/>
      <c r="B748" s="273"/>
      <c r="C748" s="273"/>
      <c r="D748" s="1906"/>
      <c r="E748" s="1906"/>
      <c r="F748" s="190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906" t="s">
        <v>1168</v>
      </c>
      <c r="E750" s="1906"/>
      <c r="F750" s="1906"/>
      <c r="G750" s="275"/>
      <c r="H750" s="269"/>
      <c r="I750" s="269"/>
      <c r="J750" s="269"/>
      <c r="K750" s="269"/>
    </row>
    <row r="751" spans="1:11" s="674" customFormat="1">
      <c r="A751" s="273"/>
      <c r="B751" s="273"/>
      <c r="C751" s="273"/>
      <c r="D751" s="1906"/>
      <c r="E751" s="1906"/>
      <c r="F751" s="1906"/>
      <c r="G751" s="275"/>
      <c r="H751" s="269"/>
      <c r="I751" s="269"/>
      <c r="J751" s="269"/>
      <c r="K751" s="269"/>
    </row>
    <row r="752" spans="1:11" s="674" customFormat="1">
      <c r="A752" s="273"/>
      <c r="B752" s="273"/>
      <c r="C752" s="273"/>
      <c r="D752" s="1906"/>
      <c r="E752" s="1906"/>
      <c r="F752" s="190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7" t="s">
        <v>1169</v>
      </c>
      <c r="B754" s="1977"/>
      <c r="C754" s="1977"/>
      <c r="D754" s="1977"/>
      <c r="E754" s="1977"/>
      <c r="F754" s="1977"/>
      <c r="G754" s="1977"/>
    </row>
    <row r="755" spans="1:11">
      <c r="A755" s="260"/>
      <c r="B755" s="260"/>
      <c r="C755" s="260"/>
      <c r="D755" s="276"/>
      <c r="F755" s="147"/>
      <c r="G755" s="271"/>
    </row>
    <row r="756" spans="1:11">
      <c r="A756" s="273"/>
      <c r="B756" s="273"/>
      <c r="C756" s="439"/>
      <c r="D756" s="1978" t="s">
        <v>1153</v>
      </c>
      <c r="E756" s="1978"/>
      <c r="F756" s="1978"/>
      <c r="G756" s="271"/>
    </row>
    <row r="757" spans="1:11">
      <c r="A757" s="496"/>
      <c r="B757" s="496"/>
      <c r="C757" s="495"/>
      <c r="D757" s="1968" t="s">
        <v>1170</v>
      </c>
      <c r="E757" s="1968"/>
      <c r="F757" s="1968"/>
      <c r="G757" s="271"/>
    </row>
    <row r="758" spans="1:11">
      <c r="A758" s="273"/>
      <c r="B758" s="273"/>
      <c r="C758" s="439"/>
      <c r="D758" s="685"/>
      <c r="E758" s="685"/>
      <c r="F758" s="685"/>
      <c r="G758" s="271"/>
    </row>
    <row r="759" spans="1:11" ht="14.25">
      <c r="A759" s="261"/>
      <c r="B759" s="671" t="s">
        <v>312</v>
      </c>
      <c r="C759" s="439"/>
      <c r="D759" s="1969" t="s">
        <v>1045</v>
      </c>
      <c r="E759" s="1969"/>
      <c r="F759" s="1969"/>
      <c r="G759" s="271"/>
    </row>
    <row r="760" spans="1:11">
      <c r="A760" s="273"/>
      <c r="B760" s="273"/>
      <c r="C760" s="439"/>
      <c r="D760" s="684"/>
      <c r="E760" s="1970" t="s">
        <v>1154</v>
      </c>
      <c r="F760" s="1970"/>
      <c r="G760" s="271"/>
    </row>
    <row r="761" spans="1:11">
      <c r="A761" s="267"/>
      <c r="B761" s="267"/>
      <c r="C761" s="267"/>
      <c r="D761" s="135"/>
      <c r="F761" s="57"/>
      <c r="G761" s="271"/>
    </row>
    <row r="762" spans="1:11">
      <c r="A762" s="1974" t="s">
        <v>465</v>
      </c>
      <c r="B762" s="1974"/>
      <c r="C762" s="1974"/>
      <c r="D762" s="1974"/>
      <c r="E762" s="1974"/>
      <c r="F762" s="1974"/>
      <c r="G762" s="1974"/>
    </row>
    <row r="763" spans="1:11">
      <c r="A763" s="255"/>
      <c r="B763" s="665"/>
      <c r="C763" s="266"/>
      <c r="D763" s="271"/>
      <c r="E763" s="271"/>
      <c r="F763" s="271"/>
      <c r="G763" s="271"/>
    </row>
    <row r="764" spans="1:11">
      <c r="A764" s="135"/>
      <c r="B764" s="1976" t="s">
        <v>1044</v>
      </c>
      <c r="C764" s="1976"/>
      <c r="D764" s="1976"/>
      <c r="E764" s="1976"/>
      <c r="F764" s="1976"/>
      <c r="G764" s="271"/>
    </row>
    <row r="765" spans="1:11">
      <c r="A765" s="23"/>
      <c r="B765" s="667"/>
      <c r="G765" s="271"/>
    </row>
    <row r="766" spans="1:11">
      <c r="A766" s="1974" t="s">
        <v>466</v>
      </c>
      <c r="B766" s="1974"/>
      <c r="C766" s="1974"/>
      <c r="D766" s="1974"/>
      <c r="E766" s="1974"/>
      <c r="F766" s="1974"/>
      <c r="G766" s="1974"/>
    </row>
    <row r="767" spans="1:11">
      <c r="A767" s="255"/>
      <c r="B767" s="665"/>
      <c r="C767" s="255"/>
      <c r="D767" s="263"/>
      <c r="G767" s="271"/>
    </row>
    <row r="768" spans="1:11">
      <c r="A768" s="135"/>
      <c r="B768" s="1920" t="s">
        <v>464</v>
      </c>
      <c r="C768" s="1920"/>
      <c r="D768" s="1920"/>
      <c r="E768" s="1920"/>
      <c r="F768" s="1920"/>
      <c r="G768" s="271"/>
    </row>
    <row r="769" spans="1:7" ht="14.25">
      <c r="A769" s="261"/>
      <c r="B769" s="261"/>
      <c r="D769" s="135"/>
      <c r="E769" s="135"/>
      <c r="F769" s="271"/>
      <c r="G769" s="271"/>
    </row>
    <row r="770" spans="1:7">
      <c r="A770" s="1974" t="s">
        <v>467</v>
      </c>
      <c r="B770" s="1974"/>
      <c r="C770" s="1974"/>
      <c r="D770" s="1974"/>
      <c r="E770" s="1974"/>
      <c r="F770" s="1974"/>
      <c r="G770" s="1974"/>
    </row>
    <row r="771" spans="1:7">
      <c r="C771" s="260"/>
      <c r="D771" s="259"/>
      <c r="E771" s="135"/>
      <c r="F771" s="271"/>
      <c r="G771" s="271"/>
    </row>
    <row r="772" spans="1:7">
      <c r="A772" s="135"/>
      <c r="B772" s="1920" t="s">
        <v>464</v>
      </c>
      <c r="C772" s="1920"/>
      <c r="D772" s="1920"/>
      <c r="E772" s="1920"/>
      <c r="F772" s="1920"/>
      <c r="G772" s="271"/>
    </row>
    <row r="773" spans="1:7">
      <c r="A773" s="135"/>
      <c r="B773" s="135"/>
      <c r="C773" s="266"/>
      <c r="D773" s="271"/>
      <c r="E773" s="271"/>
      <c r="F773" s="271"/>
      <c r="G773" s="271"/>
    </row>
    <row r="774" spans="1:7">
      <c r="A774" s="1974" t="s">
        <v>468</v>
      </c>
      <c r="B774" s="1974"/>
      <c r="C774" s="1974"/>
      <c r="D774" s="1974"/>
      <c r="E774" s="1974"/>
      <c r="F774" s="1974"/>
      <c r="G774" s="1974"/>
    </row>
    <row r="775" spans="1:7">
      <c r="A775" s="135"/>
      <c r="B775" s="135"/>
    </row>
    <row r="776" spans="1:7">
      <c r="A776" s="135"/>
      <c r="B776" s="1920" t="s">
        <v>464</v>
      </c>
      <c r="C776" s="1920"/>
      <c r="D776" s="1920"/>
      <c r="E776" s="1920"/>
      <c r="F776" s="1920"/>
    </row>
    <row r="777" spans="1:7">
      <c r="A777" s="266"/>
      <c r="B777" s="266"/>
      <c r="C777" s="266"/>
      <c r="D777" s="258"/>
      <c r="F777" s="271"/>
    </row>
    <row r="778" spans="1:7">
      <c r="A778" s="1974" t="s">
        <v>469</v>
      </c>
      <c r="B778" s="1974"/>
      <c r="C778" s="1974"/>
      <c r="D778" s="1974"/>
      <c r="E778" s="1974"/>
      <c r="F778" s="1974"/>
      <c r="G778" s="1974"/>
    </row>
    <row r="779" spans="1:7">
      <c r="A779" s="135"/>
      <c r="B779" s="135"/>
    </row>
    <row r="780" spans="1:7">
      <c r="A780" s="135"/>
      <c r="B780" s="1920" t="s">
        <v>464</v>
      </c>
      <c r="C780" s="1920"/>
      <c r="D780" s="1920"/>
      <c r="E780" s="1920"/>
      <c r="F780" s="1920"/>
    </row>
    <row r="781" spans="1:7">
      <c r="A781" s="266"/>
      <c r="B781" s="266"/>
      <c r="C781" s="266"/>
      <c r="D781" s="258"/>
      <c r="F781" s="271"/>
    </row>
    <row r="782" spans="1:7">
      <c r="A782" s="1974" t="s">
        <v>470</v>
      </c>
      <c r="B782" s="1974"/>
      <c r="C782" s="1974"/>
      <c r="D782" s="1974"/>
      <c r="E782" s="1974"/>
      <c r="F782" s="1974"/>
      <c r="G782" s="1974"/>
    </row>
    <row r="783" spans="1:7">
      <c r="A783" s="135"/>
      <c r="B783" s="135"/>
    </row>
    <row r="784" spans="1:7">
      <c r="A784" s="135"/>
      <c r="B784" s="1920" t="s">
        <v>464</v>
      </c>
      <c r="C784" s="1920"/>
      <c r="D784" s="1920"/>
      <c r="E784" s="1920"/>
      <c r="F784" s="1920"/>
    </row>
    <row r="785" spans="1:7">
      <c r="A785" s="265"/>
      <c r="B785" s="265"/>
      <c r="C785" s="265"/>
      <c r="D785" s="277"/>
      <c r="E785" s="57"/>
      <c r="F785" s="57"/>
      <c r="G785" s="57"/>
    </row>
    <row r="786" spans="1:7">
      <c r="A786" s="1974" t="s">
        <v>191</v>
      </c>
      <c r="B786" s="1974"/>
      <c r="C786" s="1974"/>
      <c r="D786" s="1974"/>
      <c r="E786" s="1974"/>
      <c r="F786" s="1974"/>
      <c r="G786" s="1974"/>
    </row>
    <row r="787" spans="1:7">
      <c r="A787" s="135"/>
      <c r="B787" s="135"/>
    </row>
    <row r="788" spans="1:7">
      <c r="A788" s="135"/>
      <c r="B788" s="1920" t="s">
        <v>464</v>
      </c>
      <c r="C788" s="1920"/>
      <c r="D788" s="1920"/>
      <c r="E788" s="1920"/>
      <c r="F788" s="1920"/>
    </row>
    <row r="789" spans="1:7">
      <c r="A789" s="135"/>
      <c r="B789" s="135"/>
      <c r="D789" s="258"/>
    </row>
    <row r="790" spans="1:7">
      <c r="A790" s="1974" t="s">
        <v>921</v>
      </c>
      <c r="B790" s="1974"/>
      <c r="C790" s="1974"/>
      <c r="D790" s="1974"/>
      <c r="E790" s="1974"/>
      <c r="F790" s="1974"/>
      <c r="G790" s="1974"/>
    </row>
    <row r="791" spans="1:7">
      <c r="A791" s="135"/>
      <c r="B791" s="135"/>
    </row>
    <row r="792" spans="1:7">
      <c r="A792" s="135"/>
      <c r="B792" s="1920" t="s">
        <v>464</v>
      </c>
      <c r="C792" s="1920"/>
      <c r="D792" s="1920"/>
      <c r="E792" s="1920"/>
      <c r="F792" s="1920"/>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83" t="s">
        <v>2189</v>
      </c>
      <c r="B2" s="1984"/>
      <c r="C2" s="1984"/>
      <c r="D2" s="1984"/>
      <c r="E2" s="1984"/>
      <c r="F2" s="1984"/>
      <c r="G2" s="1984"/>
      <c r="H2" s="1984"/>
      <c r="I2" s="1984"/>
      <c r="J2" s="1984"/>
    </row>
    <row r="3" spans="1:10" ht="15">
      <c r="A3" s="1988" t="s">
        <v>1449</v>
      </c>
      <c r="B3" s="1989"/>
      <c r="C3" s="1989"/>
      <c r="D3" s="1989"/>
      <c r="E3" s="1989"/>
      <c r="F3" s="1989"/>
      <c r="G3" s="1989"/>
      <c r="H3" s="1989"/>
      <c r="I3" s="1989"/>
      <c r="J3" s="1989"/>
    </row>
    <row r="4" spans="1:10" ht="12.75"/>
    <row r="5" spans="1:10" ht="12.75" customHeight="1">
      <c r="A5" s="1985" t="s">
        <v>2517</v>
      </c>
      <c r="B5" s="1985"/>
      <c r="C5" s="1985"/>
      <c r="D5" s="1985"/>
      <c r="E5" s="1985"/>
      <c r="F5" s="1985"/>
      <c r="G5" s="1985"/>
      <c r="H5" s="1985"/>
      <c r="I5" s="1985"/>
      <c r="J5" s="1985"/>
    </row>
    <row r="6" spans="1:10" ht="12.75">
      <c r="A6" s="1985"/>
      <c r="B6" s="1985"/>
      <c r="C6" s="1985"/>
      <c r="D6" s="1985"/>
      <c r="E6" s="1985"/>
      <c r="F6" s="1985"/>
      <c r="G6" s="1985"/>
      <c r="H6" s="1985"/>
      <c r="I6" s="1985"/>
      <c r="J6" s="1985"/>
    </row>
    <row r="7" spans="1:10" ht="30" customHeight="1">
      <c r="A7" s="1985"/>
      <c r="B7" s="1985"/>
      <c r="C7" s="1985"/>
      <c r="D7" s="1985"/>
      <c r="E7" s="1985"/>
      <c r="F7" s="1985"/>
      <c r="G7" s="1985"/>
      <c r="H7" s="1985"/>
      <c r="I7" s="1985"/>
      <c r="J7" s="1985"/>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90" t="s">
        <v>2194</v>
      </c>
      <c r="B11" s="1990"/>
      <c r="C11" s="1990"/>
      <c r="D11" s="1990"/>
      <c r="E11" s="1990"/>
      <c r="F11" s="1990"/>
      <c r="G11" s="1990"/>
      <c r="H11" s="1990"/>
      <c r="I11" s="1990"/>
      <c r="J11" s="1990"/>
    </row>
    <row r="12" spans="1:10" ht="12.75">
      <c r="A12" s="1990"/>
      <c r="B12" s="1990"/>
      <c r="C12" s="1990"/>
      <c r="D12" s="1990"/>
      <c r="E12" s="1990"/>
      <c r="F12" s="1990"/>
      <c r="G12" s="1990"/>
      <c r="H12" s="1990"/>
      <c r="I12" s="1990"/>
      <c r="J12" s="1990"/>
    </row>
    <row r="13" spans="1:10" s="1613" customFormat="1" ht="12.75">
      <c r="A13" s="1990"/>
      <c r="B13" s="1990"/>
      <c r="C13" s="1990"/>
      <c r="D13" s="1990"/>
      <c r="E13" s="1990"/>
      <c r="F13" s="1990"/>
      <c r="G13" s="1990"/>
      <c r="H13" s="1990"/>
      <c r="I13" s="1990"/>
      <c r="J13" s="1990"/>
    </row>
    <row r="14" spans="1:10" ht="12.75">
      <c r="A14" s="1991"/>
      <c r="B14" s="1991"/>
      <c r="C14" s="1991"/>
      <c r="D14" s="1991"/>
      <c r="E14" s="1991"/>
      <c r="F14" s="1991"/>
      <c r="G14" s="1991"/>
      <c r="H14" s="1991"/>
      <c r="I14" s="1991"/>
      <c r="J14" s="1991"/>
    </row>
    <row r="15" spans="1:10" ht="12.75">
      <c r="A15" s="1991"/>
      <c r="B15" s="1991"/>
      <c r="C15" s="1991"/>
      <c r="D15" s="1991"/>
      <c r="E15" s="1991"/>
      <c r="F15" s="1991"/>
      <c r="G15" s="1991"/>
      <c r="H15" s="1991"/>
      <c r="I15" s="1991"/>
      <c r="J15" s="1991"/>
    </row>
    <row r="16" spans="1:10" ht="12.75">
      <c r="A16" s="1991"/>
      <c r="B16" s="1991"/>
      <c r="C16" s="1991"/>
      <c r="D16" s="1991"/>
      <c r="E16" s="1991"/>
      <c r="F16" s="1991"/>
      <c r="G16" s="1991"/>
      <c r="H16" s="1991"/>
      <c r="I16" s="1991"/>
      <c r="J16" s="1991"/>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92" t="s">
        <v>1353</v>
      </c>
      <c r="B20" s="1989"/>
      <c r="C20" s="1989"/>
      <c r="D20" s="1989"/>
      <c r="E20" s="198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5" t="s">
        <v>1354</v>
      </c>
      <c r="B57" s="1986"/>
      <c r="C57" s="1986"/>
      <c r="D57" s="1986"/>
      <c r="E57" s="1986"/>
      <c r="F57" s="1986"/>
      <c r="G57" s="1986"/>
      <c r="H57" s="1986"/>
      <c r="I57" s="1986"/>
      <c r="J57" s="1986"/>
    </row>
    <row r="58" spans="1:10" ht="12.75">
      <c r="A58" s="1986"/>
      <c r="B58" s="1986"/>
      <c r="C58" s="1986"/>
      <c r="D58" s="1986"/>
      <c r="E58" s="1986"/>
      <c r="F58" s="1986"/>
      <c r="G58" s="1986"/>
      <c r="H58" s="1986"/>
      <c r="I58" s="1986"/>
      <c r="J58" s="1986"/>
    </row>
    <row r="59" spans="1:10" ht="12.75">
      <c r="A59" s="1986"/>
      <c r="B59" s="1986"/>
      <c r="C59" s="1986"/>
      <c r="D59" s="1986"/>
      <c r="E59" s="1986"/>
      <c r="F59" s="1986"/>
      <c r="G59" s="1986"/>
      <c r="H59" s="1986"/>
      <c r="I59" s="1986"/>
      <c r="J59" s="1986"/>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7" t="s">
        <v>2190</v>
      </c>
      <c r="B72" s="1987"/>
      <c r="C72" s="1987"/>
      <c r="D72" s="1987"/>
      <c r="E72" s="1987"/>
      <c r="F72" s="1987"/>
      <c r="G72" s="1987"/>
      <c r="H72" s="1987"/>
      <c r="I72" s="1987"/>
    </row>
    <row r="73" spans="1:9" ht="12.75">
      <c r="A73" s="1911" t="s">
        <v>2515</v>
      </c>
      <c r="B73" s="1911"/>
      <c r="C73" s="1911"/>
      <c r="D73" s="1911"/>
      <c r="E73" s="1911"/>
    </row>
    <row r="74" spans="1:9" ht="12.75">
      <c r="A74" s="1911" t="s">
        <v>2516</v>
      </c>
      <c r="B74" s="1911"/>
      <c r="C74" s="1911"/>
      <c r="D74" s="1911"/>
      <c r="E74" s="1911"/>
    </row>
    <row r="75" spans="1:9" ht="12.75">
      <c r="A75" s="1911" t="s">
        <v>2191</v>
      </c>
      <c r="B75" s="1911"/>
      <c r="C75" s="1911"/>
      <c r="D75" s="1911"/>
      <c r="E75" s="191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abSelected="1" topLeftCell="A1074" zoomScaleNormal="100" zoomScaleSheetLayoutView="100" workbookViewId="0">
      <selection activeCell="F1100" sqref="F1100"/>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46" t="s">
        <v>2518</v>
      </c>
      <c r="B2" s="2046"/>
      <c r="C2" s="2046"/>
      <c r="D2" s="2046"/>
      <c r="E2" s="2046"/>
      <c r="F2" s="2046"/>
      <c r="G2" s="2046"/>
      <c r="H2" s="2046"/>
      <c r="I2" s="2046"/>
    </row>
    <row r="3" spans="1:13">
      <c r="A3" s="2047" t="s">
        <v>2057</v>
      </c>
      <c r="B3" s="2047"/>
      <c r="C3" s="2047"/>
      <c r="D3" s="2047"/>
      <c r="E3" s="2047"/>
      <c r="F3" s="2047"/>
      <c r="G3" s="2047"/>
      <c r="H3" s="2047"/>
      <c r="I3" s="2047"/>
    </row>
    <row r="4" spans="1:13">
      <c r="A4" s="2024"/>
      <c r="B4" s="2024"/>
      <c r="C4" s="2025"/>
      <c r="D4" s="2025"/>
      <c r="E4" s="2025"/>
      <c r="F4" s="2025"/>
      <c r="G4" s="2025"/>
      <c r="I4" s="635"/>
    </row>
    <row r="5" spans="1:13" s="783" customFormat="1">
      <c r="A5" s="2024"/>
      <c r="B5" s="2024"/>
      <c r="C5" s="2030"/>
      <c r="D5" s="2030"/>
      <c r="E5" s="2030"/>
      <c r="F5" s="2030"/>
      <c r="G5" s="2030"/>
      <c r="I5" s="1676"/>
    </row>
    <row r="6" spans="1:13" s="783" customFormat="1">
      <c r="A6" s="2033" t="s">
        <v>1223</v>
      </c>
      <c r="B6" s="2033"/>
      <c r="C6" s="2034"/>
      <c r="D6" s="2034"/>
      <c r="E6" s="2034"/>
      <c r="F6" s="2034"/>
      <c r="G6" s="2034"/>
      <c r="I6" s="1675" t="s">
        <v>2201</v>
      </c>
    </row>
    <row r="7" spans="1:13" s="783" customFormat="1">
      <c r="A7" s="2033" t="s">
        <v>1224</v>
      </c>
      <c r="B7" s="2033"/>
      <c r="C7" s="2034"/>
      <c r="D7" s="2034"/>
      <c r="E7" s="2034"/>
      <c r="F7" s="2034"/>
      <c r="G7" s="2034"/>
      <c r="I7" s="1675" t="s">
        <v>2202</v>
      </c>
    </row>
    <row r="8" spans="1:13">
      <c r="A8" s="784"/>
      <c r="B8" s="784"/>
      <c r="C8" s="785"/>
      <c r="D8" s="785"/>
      <c r="E8" s="785"/>
      <c r="F8" s="785"/>
    </row>
    <row r="9" spans="1:13">
      <c r="A9" s="1961" t="s">
        <v>1226</v>
      </c>
      <c r="B9" s="1961"/>
      <c r="C9" s="1961"/>
      <c r="D9" s="1961"/>
      <c r="E9" s="1961"/>
      <c r="F9" s="1961"/>
      <c r="G9" s="1961"/>
      <c r="H9" s="1692"/>
      <c r="I9" s="1693"/>
    </row>
    <row r="10" spans="1:13">
      <c r="A10" s="785"/>
      <c r="B10" s="785"/>
      <c r="E10" s="786"/>
    </row>
    <row r="11" spans="1:13" ht="13.7" customHeight="1">
      <c r="C11" s="785"/>
      <c r="D11" s="2035" t="s">
        <v>1225</v>
      </c>
      <c r="E11" s="2035"/>
      <c r="F11" s="2035"/>
    </row>
    <row r="12" spans="1:13">
      <c r="C12" s="785"/>
      <c r="D12" s="2035"/>
      <c r="E12" s="2035"/>
      <c r="F12" s="2035"/>
    </row>
    <row r="13" spans="1:13">
      <c r="A13" s="787"/>
      <c r="B13" s="787"/>
      <c r="C13" s="787"/>
      <c r="D13" s="1945" t="s">
        <v>1208</v>
      </c>
      <c r="E13" s="1945"/>
      <c r="F13" s="1945"/>
      <c r="M13" s="1575"/>
    </row>
    <row r="14" spans="1:13">
      <c r="A14" s="787"/>
      <c r="B14" s="787"/>
      <c r="C14" s="787"/>
      <c r="D14" s="788"/>
      <c r="L14" s="1746"/>
    </row>
    <row r="15" spans="1:13" ht="14.25">
      <c r="A15" s="789"/>
      <c r="B15" s="790" t="s">
        <v>2757</v>
      </c>
      <c r="C15" s="791"/>
      <c r="D15" s="1943" t="s">
        <v>2371</v>
      </c>
      <c r="E15" s="1943"/>
      <c r="F15" s="1943"/>
      <c r="I15" s="1618" t="s">
        <v>2203</v>
      </c>
    </row>
    <row r="16" spans="1:13">
      <c r="A16" s="787"/>
      <c r="B16" s="787"/>
      <c r="C16" s="791"/>
      <c r="D16" s="1943"/>
      <c r="E16" s="1943"/>
      <c r="F16" s="1943"/>
    </row>
    <row r="17" spans="1:9">
      <c r="A17" s="787"/>
      <c r="B17" s="787"/>
      <c r="C17" s="791"/>
      <c r="D17" s="1943"/>
      <c r="E17" s="1943"/>
      <c r="F17" s="1943"/>
    </row>
    <row r="18" spans="1:9" s="1616" customFormat="1">
      <c r="A18" s="787"/>
      <c r="B18" s="787"/>
      <c r="C18" s="791"/>
      <c r="D18" s="1745"/>
      <c r="E18" s="1746" t="s">
        <v>2369</v>
      </c>
      <c r="F18" s="1745"/>
      <c r="G18" s="1615"/>
      <c r="I18" s="1618"/>
    </row>
    <row r="19" spans="1:9">
      <c r="A19" s="787"/>
      <c r="B19" s="787"/>
      <c r="C19" s="787"/>
    </row>
    <row r="20" spans="1:9" ht="14.25">
      <c r="A20" s="789"/>
      <c r="B20" s="790" t="s">
        <v>2757</v>
      </c>
      <c r="D20" s="1943" t="s">
        <v>2372</v>
      </c>
      <c r="E20" s="1943"/>
      <c r="F20" s="1943"/>
      <c r="I20" s="1618" t="s">
        <v>2204</v>
      </c>
    </row>
    <row r="21" spans="1:9" s="1616" customFormat="1" ht="14.25">
      <c r="A21" s="789"/>
      <c r="B21" s="780"/>
      <c r="C21" s="780"/>
      <c r="D21" s="1943"/>
      <c r="E21" s="1943"/>
      <c r="F21" s="1943"/>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2758</v>
      </c>
      <c r="D24" s="1943" t="s">
        <v>1211</v>
      </c>
      <c r="E24" s="1943"/>
      <c r="F24" s="1943"/>
      <c r="I24" s="1618" t="s">
        <v>2204</v>
      </c>
    </row>
    <row r="25" spans="1:9" ht="14.25">
      <c r="A25" s="789"/>
      <c r="B25" s="789"/>
      <c r="D25" s="1943"/>
      <c r="E25" s="1943"/>
      <c r="F25" s="1943"/>
    </row>
    <row r="26" spans="1:9"/>
    <row r="27" spans="1:9" ht="14.25">
      <c r="A27" s="789"/>
      <c r="B27" s="790" t="s">
        <v>2757</v>
      </c>
      <c r="D27" s="2029" t="s">
        <v>2519</v>
      </c>
      <c r="E27" s="2029"/>
      <c r="F27" s="2029"/>
      <c r="I27" s="1618" t="s">
        <v>2207</v>
      </c>
    </row>
    <row r="28" spans="1:9">
      <c r="D28" s="2029"/>
      <c r="E28" s="2029"/>
      <c r="F28" s="2029"/>
    </row>
    <row r="29" spans="1:9">
      <c r="D29" s="2029"/>
      <c r="E29" s="2029"/>
      <c r="F29" s="2029"/>
    </row>
    <row r="30" spans="1:9">
      <c r="D30" s="2029"/>
      <c r="E30" s="2029"/>
      <c r="F30" s="2029"/>
    </row>
    <row r="31" spans="1:9">
      <c r="D31" s="2029"/>
      <c r="E31" s="2029"/>
      <c r="F31" s="2029"/>
    </row>
    <row r="32" spans="1:9" s="783" customFormat="1">
      <c r="A32" s="793"/>
      <c r="B32" s="793"/>
      <c r="C32" s="793"/>
      <c r="D32" s="725"/>
      <c r="E32" s="794"/>
      <c r="F32" s="794"/>
      <c r="G32" s="794"/>
      <c r="I32" s="1676"/>
    </row>
    <row r="33" spans="1:9" s="783" customFormat="1">
      <c r="A33" s="793"/>
      <c r="B33" s="790" t="s">
        <v>2758</v>
      </c>
      <c r="C33" s="793"/>
      <c r="D33" s="1944" t="s">
        <v>2520</v>
      </c>
      <c r="E33" s="1944"/>
      <c r="F33" s="1944"/>
      <c r="G33" s="794"/>
      <c r="I33" s="1676" t="s">
        <v>2203</v>
      </c>
    </row>
    <row r="34" spans="1:9" s="783" customFormat="1">
      <c r="A34" s="793"/>
      <c r="B34" s="793"/>
      <c r="C34" s="793"/>
      <c r="D34" s="1944"/>
      <c r="E34" s="1944"/>
      <c r="F34" s="1944"/>
      <c r="G34" s="794"/>
      <c r="I34" s="1676"/>
    </row>
    <row r="35" spans="1:9" ht="14.25">
      <c r="A35" s="789"/>
      <c r="B35" s="789"/>
      <c r="D35" s="795"/>
    </row>
    <row r="36" spans="1:9" ht="14.45" customHeight="1">
      <c r="A36" s="789"/>
      <c r="B36" s="790" t="s">
        <v>2757</v>
      </c>
      <c r="D36" s="1944" t="s">
        <v>1379</v>
      </c>
      <c r="E36" s="1944"/>
      <c r="F36" s="1944"/>
      <c r="I36" s="1676" t="s">
        <v>2274</v>
      </c>
    </row>
    <row r="37" spans="1:9" ht="14.25">
      <c r="A37" s="789"/>
      <c r="B37" s="789"/>
      <c r="D37" s="1944"/>
      <c r="E37" s="1944"/>
      <c r="F37" s="1944"/>
    </row>
    <row r="38" spans="1:9" ht="14.25">
      <c r="A38" s="789"/>
      <c r="B38" s="789"/>
      <c r="D38" s="1944"/>
      <c r="E38" s="1944"/>
      <c r="F38" s="1944"/>
    </row>
    <row r="39" spans="1:9" ht="14.25">
      <c r="A39" s="789"/>
      <c r="B39" s="789"/>
      <c r="D39" s="1944"/>
      <c r="E39" s="1944"/>
      <c r="F39" s="1944"/>
    </row>
    <row r="40" spans="1:9" ht="14.25">
      <c r="A40" s="789"/>
      <c r="B40" s="789"/>
      <c r="D40" s="782"/>
    </row>
    <row r="41" spans="1:9" ht="14.25">
      <c r="A41" s="789"/>
      <c r="B41" s="790" t="s">
        <v>2757</v>
      </c>
      <c r="D41" s="1944" t="s">
        <v>1215</v>
      </c>
      <c r="E41" s="1944"/>
      <c r="F41" s="1944"/>
    </row>
    <row r="42" spans="1:9" ht="14.25">
      <c r="A42" s="789"/>
      <c r="B42" s="789"/>
      <c r="D42" s="1944"/>
      <c r="E42" s="1944"/>
      <c r="F42" s="1944"/>
    </row>
    <row r="43" spans="1:9" ht="14.25">
      <c r="A43" s="789"/>
      <c r="B43" s="789"/>
      <c r="D43" s="1944"/>
      <c r="E43" s="1944"/>
      <c r="F43" s="1944"/>
    </row>
    <row r="44" spans="1:9" ht="14.25">
      <c r="A44" s="789"/>
      <c r="B44" s="789"/>
      <c r="D44" s="1944"/>
      <c r="E44" s="1944"/>
      <c r="F44" s="1944"/>
    </row>
    <row r="45" spans="1:9" ht="14.25">
      <c r="A45" s="789"/>
      <c r="B45" s="789"/>
      <c r="D45" s="1944"/>
      <c r="E45" s="1944"/>
      <c r="F45" s="1944"/>
    </row>
    <row r="46" spans="1:9" ht="14.25">
      <c r="A46" s="789"/>
      <c r="B46" s="789"/>
      <c r="D46" s="773"/>
      <c r="E46" s="773"/>
      <c r="F46" s="773"/>
    </row>
    <row r="47" spans="1:9" ht="14.25">
      <c r="A47" s="789"/>
      <c r="B47" s="790" t="s">
        <v>2757</v>
      </c>
      <c r="D47" s="1944" t="s">
        <v>1216</v>
      </c>
      <c r="E47" s="1944"/>
      <c r="F47" s="1944"/>
      <c r="I47" s="1676" t="s">
        <v>2274</v>
      </c>
    </row>
    <row r="48" spans="1:9" ht="14.25">
      <c r="A48" s="789"/>
      <c r="B48" s="789"/>
      <c r="D48" s="1944"/>
      <c r="E48" s="1944"/>
      <c r="F48" s="1944"/>
    </row>
    <row r="49" spans="1:9" ht="14.25">
      <c r="A49" s="789"/>
      <c r="B49" s="789"/>
      <c r="D49" s="1944"/>
      <c r="E49" s="1944"/>
      <c r="F49" s="1944"/>
    </row>
    <row r="50" spans="1:9" ht="23.25" customHeight="1">
      <c r="A50" s="789"/>
      <c r="B50" s="789"/>
      <c r="D50" s="1944"/>
      <c r="E50" s="1944"/>
      <c r="F50" s="1944"/>
    </row>
    <row r="51" spans="1:9" ht="14.25">
      <c r="A51" s="789"/>
      <c r="B51" s="789"/>
      <c r="D51" s="777"/>
    </row>
    <row r="52" spans="1:9" ht="14.45" customHeight="1">
      <c r="A52" s="789"/>
      <c r="B52" s="790" t="s">
        <v>2758</v>
      </c>
      <c r="D52" s="1944" t="s">
        <v>1217</v>
      </c>
      <c r="E52" s="1944"/>
      <c r="F52" s="1944"/>
      <c r="I52" s="1676" t="s">
        <v>2274</v>
      </c>
    </row>
    <row r="53" spans="1:9" ht="14.25">
      <c r="A53" s="789"/>
      <c r="B53" s="789"/>
      <c r="D53" s="1944"/>
      <c r="E53" s="1944"/>
      <c r="F53" s="1944"/>
    </row>
    <row r="54" spans="1:9" ht="14.25">
      <c r="A54" s="789"/>
      <c r="B54" s="789"/>
      <c r="D54" s="1944"/>
      <c r="E54" s="1944"/>
      <c r="F54" s="1944"/>
    </row>
    <row r="55" spans="1:9" s="611" customFormat="1" ht="14.25">
      <c r="A55" s="789"/>
      <c r="B55" s="789"/>
      <c r="C55" s="796"/>
      <c r="D55" s="794"/>
      <c r="E55" s="685"/>
      <c r="F55" s="685"/>
      <c r="G55" s="685"/>
      <c r="I55" s="635"/>
    </row>
    <row r="56" spans="1:9" s="611" customFormat="1" ht="14.25">
      <c r="A56" s="797"/>
      <c r="B56" s="790" t="s">
        <v>2757</v>
      </c>
      <c r="C56" s="798"/>
      <c r="D56" s="2031" t="s">
        <v>1218</v>
      </c>
      <c r="E56" s="2031"/>
      <c r="F56" s="2031"/>
      <c r="G56" s="685"/>
      <c r="I56" s="1618"/>
    </row>
    <row r="57" spans="1:9" s="611" customFormat="1" ht="14.25">
      <c r="A57" s="797"/>
      <c r="B57" s="797"/>
      <c r="C57" s="798"/>
      <c r="D57" s="2031"/>
      <c r="E57" s="2031"/>
      <c r="F57" s="2031"/>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2758</v>
      </c>
      <c r="D61" s="1944" t="s">
        <v>1219</v>
      </c>
      <c r="E61" s="1944"/>
      <c r="F61" s="1944"/>
      <c r="I61" s="1618" t="s">
        <v>2205</v>
      </c>
    </row>
    <row r="62" spans="1:9">
      <c r="D62" s="1944"/>
      <c r="E62" s="1944"/>
      <c r="F62" s="1944"/>
    </row>
    <row r="63" spans="1:9">
      <c r="D63" s="1944"/>
      <c r="E63" s="1944"/>
      <c r="F63" s="1944"/>
    </row>
    <row r="64" spans="1:9">
      <c r="D64" s="685"/>
    </row>
    <row r="65" spans="1:9" ht="14.25">
      <c r="A65" s="789"/>
      <c r="B65" s="790" t="s">
        <v>2758</v>
      </c>
      <c r="D65" s="1944" t="s">
        <v>1220</v>
      </c>
      <c r="E65" s="1944"/>
      <c r="F65" s="1944"/>
      <c r="I65" s="1618" t="s">
        <v>2206</v>
      </c>
    </row>
    <row r="66" spans="1:9">
      <c r="D66" s="1944"/>
      <c r="E66" s="1944"/>
      <c r="F66" s="1944"/>
    </row>
    <row r="67" spans="1:9"/>
    <row r="68" spans="1:9" ht="14.25">
      <c r="A68" s="789"/>
      <c r="B68" s="790" t="s">
        <v>2758</v>
      </c>
      <c r="D68" s="1944" t="s">
        <v>1221</v>
      </c>
      <c r="E68" s="1944"/>
      <c r="F68" s="1944"/>
    </row>
    <row r="69" spans="1:9">
      <c r="D69" s="1944"/>
      <c r="E69" s="1944"/>
      <c r="F69" s="1944"/>
      <c r="I69" s="1618" t="s">
        <v>2207</v>
      </c>
    </row>
    <row r="70" spans="1:9">
      <c r="D70" s="1944"/>
      <c r="E70" s="1944"/>
      <c r="F70" s="1944"/>
    </row>
    <row r="71" spans="1:9">
      <c r="D71" s="782"/>
    </row>
    <row r="72" spans="1:9" ht="14.25">
      <c r="A72" s="789"/>
      <c r="B72" s="790" t="s">
        <v>2758</v>
      </c>
      <c r="D72" s="1943" t="s">
        <v>1222</v>
      </c>
      <c r="E72" s="1943"/>
      <c r="F72" s="1943"/>
      <c r="I72" s="1618" t="s">
        <v>2207</v>
      </c>
    </row>
    <row r="73" spans="1:9">
      <c r="D73" s="1943"/>
      <c r="E73" s="1943"/>
      <c r="F73" s="1943"/>
    </row>
    <row r="74" spans="1:9" ht="14.25">
      <c r="A74" s="789"/>
      <c r="B74" s="789"/>
      <c r="D74" s="792"/>
    </row>
    <row r="75" spans="1:9">
      <c r="A75" s="1925" t="s">
        <v>1129</v>
      </c>
      <c r="B75" s="1925"/>
      <c r="C75" s="1925"/>
      <c r="D75" s="1925"/>
      <c r="E75" s="1925"/>
      <c r="F75" s="1925"/>
      <c r="G75" s="1925"/>
      <c r="H75" s="1692"/>
      <c r="I75" s="1693"/>
    </row>
    <row r="76" spans="1:9"/>
    <row r="77" spans="1:9">
      <c r="C77" s="799"/>
      <c r="D77" s="2013" t="s">
        <v>1227</v>
      </c>
      <c r="E77" s="2013"/>
      <c r="F77" s="2013"/>
    </row>
    <row r="78" spans="1:9">
      <c r="A78" s="792"/>
      <c r="B78" s="792"/>
      <c r="D78" s="1943" t="s">
        <v>1254</v>
      </c>
      <c r="E78" s="1943"/>
      <c r="F78" s="1943"/>
    </row>
    <row r="79" spans="1:9">
      <c r="A79" s="792"/>
      <c r="B79" s="792"/>
    </row>
    <row r="80" spans="1:9" ht="13.7" customHeight="1">
      <c r="A80" s="789"/>
      <c r="B80" s="790" t="s">
        <v>2757</v>
      </c>
      <c r="D80" s="1943" t="s">
        <v>1423</v>
      </c>
      <c r="E80" s="1943"/>
      <c r="F80" s="1943"/>
      <c r="I80" s="1618" t="s">
        <v>2208</v>
      </c>
    </row>
    <row r="81" spans="1:9" ht="14.25">
      <c r="A81" s="789"/>
      <c r="B81" s="789"/>
      <c r="D81" s="1943"/>
      <c r="E81" s="1943"/>
      <c r="F81" s="1943"/>
    </row>
    <row r="82" spans="1:9" ht="14.25">
      <c r="A82" s="789"/>
      <c r="B82" s="789"/>
      <c r="D82" s="1943"/>
      <c r="E82" s="1943"/>
      <c r="F82" s="1943"/>
    </row>
    <row r="83" spans="1:9" ht="14.25">
      <c r="A83" s="789"/>
      <c r="B83" s="789"/>
      <c r="D83" s="1943"/>
      <c r="E83" s="1943"/>
      <c r="F83" s="1943"/>
    </row>
    <row r="84" spans="1:9" ht="14.25">
      <c r="A84" s="789"/>
      <c r="B84" s="789"/>
      <c r="D84" s="1943"/>
      <c r="E84" s="1943"/>
      <c r="F84" s="1943"/>
    </row>
    <row r="85" spans="1:9" ht="14.25">
      <c r="A85" s="789"/>
      <c r="B85" s="789"/>
      <c r="D85" s="1943"/>
      <c r="E85" s="1943"/>
      <c r="F85" s="1943"/>
    </row>
    <row r="86" spans="1:9" ht="14.25">
      <c r="A86" s="789"/>
      <c r="B86" s="789"/>
      <c r="D86" s="1943"/>
      <c r="E86" s="1943"/>
      <c r="F86" s="1943"/>
    </row>
    <row r="87" spans="1:9" ht="14.25">
      <c r="A87" s="789"/>
      <c r="B87" s="789"/>
      <c r="D87" s="1943"/>
      <c r="E87" s="1943"/>
      <c r="F87" s="1943"/>
    </row>
    <row r="88" spans="1:9" ht="14.25">
      <c r="A88" s="789"/>
      <c r="B88" s="789"/>
      <c r="D88" s="870"/>
      <c r="E88" s="870"/>
      <c r="F88" s="870"/>
    </row>
    <row r="89" spans="1:9" ht="15" customHeight="1">
      <c r="A89" s="789"/>
      <c r="B89" s="790" t="s">
        <v>2757</v>
      </c>
      <c r="D89" s="1943" t="s">
        <v>2058</v>
      </c>
      <c r="E89" s="1943"/>
      <c r="F89" s="1943"/>
      <c r="I89" s="1618" t="s">
        <v>2209</v>
      </c>
    </row>
    <row r="90" spans="1:9" ht="14.25">
      <c r="A90" s="789"/>
      <c r="B90" s="789"/>
      <c r="D90" s="1943"/>
      <c r="E90" s="1943"/>
      <c r="F90" s="1943"/>
    </row>
    <row r="91" spans="1:9" ht="14.25">
      <c r="A91" s="789"/>
      <c r="B91" s="789"/>
      <c r="D91" s="1558"/>
      <c r="E91" s="1558"/>
      <c r="F91" s="1558"/>
    </row>
    <row r="92" spans="1:9" ht="14.25">
      <c r="A92" s="789"/>
      <c r="B92" s="790" t="s">
        <v>2757</v>
      </c>
      <c r="D92" s="1943" t="s">
        <v>2061</v>
      </c>
      <c r="E92" s="1943"/>
      <c r="F92" s="1943"/>
      <c r="I92" s="1618" t="s">
        <v>2210</v>
      </c>
    </row>
    <row r="93" spans="1:9" ht="14.25">
      <c r="A93" s="789"/>
      <c r="B93" s="789"/>
      <c r="D93" s="1943"/>
      <c r="E93" s="1943"/>
      <c r="F93" s="1943"/>
    </row>
    <row r="94" spans="1:9" ht="14.25">
      <c r="A94" s="789"/>
      <c r="B94" s="789"/>
      <c r="D94" s="1943"/>
      <c r="E94" s="1943"/>
      <c r="F94" s="1943"/>
    </row>
    <row r="95" spans="1:9" ht="14.25">
      <c r="A95" s="789"/>
      <c r="B95" s="789"/>
      <c r="D95" s="1558"/>
      <c r="E95" s="1558"/>
      <c r="F95" s="1558"/>
    </row>
    <row r="96" spans="1:9" ht="14.25">
      <c r="A96" s="789"/>
      <c r="B96" s="790" t="s">
        <v>2757</v>
      </c>
      <c r="D96" s="1943" t="s">
        <v>2060</v>
      </c>
      <c r="E96" s="1943"/>
      <c r="F96" s="1943"/>
      <c r="I96" s="1618" t="s">
        <v>2255</v>
      </c>
    </row>
    <row r="97" spans="1:9" s="1574" customFormat="1" ht="14.25">
      <c r="A97" s="1572"/>
      <c r="B97" s="1572"/>
      <c r="C97" s="1573"/>
      <c r="D97" s="1943"/>
      <c r="E97" s="1943"/>
      <c r="F97" s="1943"/>
      <c r="I97" s="1677"/>
    </row>
    <row r="98" spans="1:9" ht="14.25">
      <c r="A98" s="789"/>
      <c r="B98" s="789"/>
      <c r="D98" s="1564"/>
      <c r="E98" s="1746" t="s">
        <v>2373</v>
      </c>
      <c r="F98" s="1558"/>
    </row>
    <row r="99" spans="1:9" ht="14.25">
      <c r="A99" s="789"/>
      <c r="B99" s="789"/>
      <c r="D99" s="870"/>
      <c r="E99" s="870"/>
      <c r="F99" s="870"/>
    </row>
    <row r="100" spans="1:9" ht="14.25">
      <c r="A100" s="789"/>
      <c r="B100" s="790" t="s">
        <v>2758</v>
      </c>
      <c r="D100" s="1943" t="s">
        <v>2059</v>
      </c>
      <c r="E100" s="1943"/>
      <c r="F100" s="1943"/>
      <c r="I100" s="1618" t="s">
        <v>2211</v>
      </c>
    </row>
    <row r="101" spans="1:9" ht="14.25">
      <c r="A101" s="789"/>
      <c r="B101" s="789"/>
      <c r="D101" s="1943"/>
      <c r="E101" s="1943"/>
      <c r="F101" s="1943"/>
    </row>
    <row r="102" spans="1:9" ht="14.25">
      <c r="A102" s="789"/>
      <c r="B102" s="789"/>
      <c r="D102" s="1558"/>
      <c r="E102" s="1558"/>
      <c r="F102" s="1558"/>
    </row>
    <row r="103" spans="1:9" ht="14.45" customHeight="1">
      <c r="A103" s="789"/>
      <c r="B103" s="790" t="s">
        <v>2758</v>
      </c>
      <c r="D103" s="1943" t="s">
        <v>1358</v>
      </c>
      <c r="E103" s="1943"/>
      <c r="F103" s="1943"/>
      <c r="G103" s="782"/>
      <c r="I103" s="1618" t="s">
        <v>2212</v>
      </c>
    </row>
    <row r="104" spans="1:9" ht="14.25">
      <c r="A104" s="789"/>
      <c r="B104" s="789"/>
      <c r="D104" s="1943"/>
      <c r="E104" s="1943"/>
      <c r="F104" s="1943"/>
      <c r="G104" s="782"/>
    </row>
    <row r="105" spans="1:9" ht="14.25">
      <c r="A105" s="789"/>
      <c r="B105" s="789"/>
      <c r="D105" s="1943"/>
      <c r="E105" s="1943"/>
      <c r="F105" s="1943"/>
      <c r="G105" s="782"/>
    </row>
    <row r="106" spans="1:9" ht="14.25">
      <c r="A106" s="789"/>
      <c r="B106" s="789"/>
      <c r="D106" s="1943"/>
      <c r="E106" s="1943"/>
      <c r="F106" s="1943"/>
      <c r="G106" s="782"/>
    </row>
    <row r="107" spans="1:9" ht="14.25">
      <c r="A107" s="789"/>
      <c r="B107" s="789"/>
      <c r="D107" s="1943"/>
      <c r="E107" s="1943"/>
      <c r="F107" s="1943"/>
      <c r="G107" s="782"/>
    </row>
    <row r="108" spans="1:9" ht="14.25">
      <c r="A108" s="789"/>
      <c r="B108" s="789"/>
      <c r="D108" s="1943"/>
      <c r="E108" s="1943"/>
      <c r="F108" s="1943"/>
      <c r="G108" s="782"/>
    </row>
    <row r="109" spans="1:9" ht="14.25">
      <c r="A109" s="789"/>
      <c r="B109" s="789"/>
      <c r="D109" s="1943"/>
      <c r="E109" s="1943"/>
      <c r="F109" s="1943"/>
      <c r="G109" s="782"/>
    </row>
    <row r="110" spans="1:9" ht="14.25">
      <c r="A110" s="789"/>
      <c r="B110" s="789"/>
      <c r="D110" s="1943"/>
      <c r="E110" s="1943"/>
      <c r="F110" s="1943"/>
      <c r="G110" s="782"/>
    </row>
    <row r="111" spans="1:9" ht="14.25">
      <c r="A111" s="789"/>
      <c r="B111" s="789"/>
      <c r="D111" s="1943"/>
      <c r="E111" s="1943"/>
      <c r="F111" s="1943"/>
      <c r="G111" s="782"/>
    </row>
    <row r="112" spans="1:9" ht="14.25">
      <c r="A112" s="789"/>
      <c r="B112" s="789"/>
      <c r="D112" s="1943"/>
      <c r="E112" s="1943"/>
      <c r="F112" s="1943"/>
      <c r="G112" s="782"/>
    </row>
    <row r="113" spans="1:11" ht="14.25">
      <c r="A113" s="789"/>
      <c r="B113" s="789"/>
      <c r="D113" s="1943"/>
      <c r="E113" s="1943"/>
      <c r="F113" s="1943"/>
      <c r="G113" s="782"/>
    </row>
    <row r="114" spans="1:11" ht="14.25">
      <c r="A114" s="789"/>
      <c r="B114" s="789"/>
      <c r="D114" s="1943"/>
      <c r="E114" s="1943"/>
      <c r="F114" s="1943"/>
      <c r="G114" s="782"/>
    </row>
    <row r="115" spans="1:11" ht="14.25">
      <c r="A115" s="789"/>
      <c r="B115" s="789"/>
      <c r="D115" s="1943"/>
      <c r="E115" s="1943"/>
      <c r="F115" s="1943"/>
      <c r="G115" s="782"/>
    </row>
    <row r="116" spans="1:11" ht="14.25">
      <c r="A116" s="789"/>
      <c r="B116" s="789"/>
      <c r="D116" s="1943"/>
      <c r="E116" s="1943"/>
      <c r="F116" s="1943"/>
    </row>
    <row r="117" spans="1:11" ht="14.25">
      <c r="A117" s="789"/>
      <c r="B117" s="789"/>
      <c r="D117" s="1943"/>
      <c r="E117" s="1943"/>
      <c r="F117" s="1943"/>
    </row>
    <row r="118" spans="1:11" ht="14.25">
      <c r="A118" s="789"/>
      <c r="B118" s="789"/>
      <c r="D118" s="896"/>
      <c r="E118" s="896"/>
      <c r="F118" s="896"/>
    </row>
    <row r="119" spans="1:11" ht="14.25" customHeight="1">
      <c r="A119" s="789"/>
      <c r="B119" s="790" t="s">
        <v>2758</v>
      </c>
      <c r="D119" s="1963" t="s">
        <v>1229</v>
      </c>
      <c r="E119" s="1963"/>
      <c r="F119" s="1963"/>
    </row>
    <row r="120" spans="1:11" ht="14.25">
      <c r="A120" s="789"/>
      <c r="B120" s="789"/>
      <c r="D120" s="1963"/>
      <c r="E120" s="1963"/>
      <c r="F120" s="1963"/>
    </row>
    <row r="121" spans="1:11" ht="14.25">
      <c r="A121" s="789"/>
      <c r="B121" s="789"/>
      <c r="D121" s="1963"/>
      <c r="E121" s="1963"/>
      <c r="F121" s="1963"/>
    </row>
    <row r="122" spans="1:11" ht="14.25">
      <c r="A122" s="789"/>
      <c r="B122" s="789"/>
      <c r="D122" s="1963"/>
      <c r="E122" s="1963"/>
      <c r="F122" s="1963"/>
    </row>
    <row r="123" spans="1:11" ht="14.25">
      <c r="A123" s="789"/>
      <c r="B123" s="789"/>
      <c r="D123" s="1963"/>
      <c r="E123" s="1963"/>
      <c r="F123" s="1963"/>
    </row>
    <row r="124" spans="1:11" ht="14.25">
      <c r="A124" s="789"/>
      <c r="B124" s="789"/>
      <c r="D124" s="1963"/>
      <c r="E124" s="1963"/>
      <c r="F124" s="1963"/>
    </row>
    <row r="125" spans="1:11" ht="14.25">
      <c r="A125" s="789"/>
      <c r="B125" s="789"/>
      <c r="D125" s="1963"/>
      <c r="E125" s="1963"/>
      <c r="F125" s="1963"/>
    </row>
    <row r="126" spans="1:11" ht="14.25">
      <c r="A126" s="789"/>
      <c r="B126" s="789"/>
      <c r="D126" s="1963"/>
      <c r="E126" s="1963"/>
      <c r="F126" s="1963"/>
    </row>
    <row r="127" spans="1:11">
      <c r="C127" s="714"/>
      <c r="D127" s="897"/>
      <c r="E127" s="897"/>
      <c r="F127" s="897"/>
      <c r="G127" s="714"/>
      <c r="H127" s="714"/>
      <c r="I127" s="615"/>
      <c r="J127" s="714"/>
      <c r="K127" s="714"/>
    </row>
    <row r="128" spans="1:11" ht="14.25">
      <c r="A128" s="789"/>
      <c r="B128" s="790" t="s">
        <v>2757</v>
      </c>
      <c r="C128" s="714"/>
      <c r="D128" s="1963" t="s">
        <v>2521</v>
      </c>
      <c r="E128" s="1963"/>
      <c r="F128" s="1963"/>
      <c r="G128" s="714"/>
      <c r="H128" s="714"/>
      <c r="I128" s="615" t="s">
        <v>2213</v>
      </c>
      <c r="J128" s="714"/>
      <c r="K128" s="714"/>
    </row>
    <row r="129" spans="1:11" ht="14.25">
      <c r="A129" s="789"/>
      <c r="B129" s="789"/>
      <c r="C129" s="714"/>
      <c r="D129" s="1963"/>
      <c r="E129" s="1963"/>
      <c r="F129" s="1963"/>
      <c r="G129" s="714"/>
      <c r="H129" s="714"/>
      <c r="I129" s="615"/>
      <c r="J129" s="714"/>
      <c r="K129" s="714"/>
    </row>
    <row r="130" spans="1:11"/>
    <row r="131" spans="1:11" ht="14.25">
      <c r="A131" s="789"/>
      <c r="B131" s="790" t="s">
        <v>2757</v>
      </c>
      <c r="C131" s="796"/>
      <c r="D131" s="1943" t="s">
        <v>1232</v>
      </c>
      <c r="E131" s="1943"/>
      <c r="F131" s="1943"/>
      <c r="I131" s="615" t="s">
        <v>2213</v>
      </c>
    </row>
    <row r="132" spans="1:11">
      <c r="C132" s="796"/>
      <c r="D132" s="1943"/>
      <c r="E132" s="1943"/>
      <c r="F132" s="1943"/>
    </row>
    <row r="133" spans="1:11">
      <c r="C133" s="796"/>
      <c r="D133" s="1943"/>
      <c r="E133" s="1943"/>
      <c r="F133" s="1943"/>
    </row>
    <row r="134" spans="1:11">
      <c r="C134" s="796"/>
      <c r="D134" s="1943"/>
      <c r="E134" s="1943"/>
      <c r="F134" s="1943"/>
    </row>
    <row r="135" spans="1:11">
      <c r="C135" s="796"/>
      <c r="D135" s="1943"/>
      <c r="E135" s="1943"/>
      <c r="F135" s="1943"/>
    </row>
    <row r="136" spans="1:11">
      <c r="C136" s="796"/>
      <c r="D136" s="664"/>
      <c r="E136" s="664"/>
      <c r="F136" s="664"/>
    </row>
    <row r="137" spans="1:11" s="714" customFormat="1" ht="14.25">
      <c r="A137" s="789"/>
      <c r="B137" s="790" t="s">
        <v>2757</v>
      </c>
      <c r="C137" s="796"/>
      <c r="D137" s="1944" t="s">
        <v>1233</v>
      </c>
      <c r="E137" s="1944"/>
      <c r="F137" s="1944"/>
      <c r="G137" s="664"/>
      <c r="I137" s="615" t="s">
        <v>2214</v>
      </c>
    </row>
    <row r="138" spans="1:11" s="804" customFormat="1" ht="13.7" customHeight="1">
      <c r="A138" s="801"/>
      <c r="B138" s="801"/>
      <c r="C138" s="802"/>
      <c r="D138" s="1944"/>
      <c r="E138" s="1944"/>
      <c r="F138" s="1944"/>
      <c r="G138" s="803"/>
      <c r="I138" s="1678"/>
    </row>
    <row r="139" spans="1:11" s="714" customFormat="1" ht="13.7" customHeight="1">
      <c r="A139" s="780"/>
      <c r="B139" s="780"/>
      <c r="C139" s="796"/>
      <c r="D139" s="1944"/>
      <c r="E139" s="1944"/>
      <c r="F139" s="1944"/>
      <c r="G139" s="664"/>
      <c r="I139" s="615"/>
    </row>
    <row r="140" spans="1:11" s="714" customFormat="1" ht="13.7" customHeight="1">
      <c r="A140" s="780"/>
      <c r="B140" s="780"/>
      <c r="C140" s="796"/>
      <c r="D140" s="1944"/>
      <c r="E140" s="1944"/>
      <c r="F140" s="1944"/>
      <c r="G140" s="664"/>
      <c r="I140" s="615"/>
    </row>
    <row r="141" spans="1:11" s="714" customFormat="1" ht="13.7" customHeight="1">
      <c r="A141" s="780"/>
      <c r="B141" s="780"/>
      <c r="C141" s="796"/>
      <c r="D141" s="1944"/>
      <c r="E141" s="1944"/>
      <c r="F141" s="1944"/>
      <c r="G141" s="664"/>
      <c r="I141" s="615"/>
    </row>
    <row r="142" spans="1:11" s="714" customFormat="1" ht="13.7" customHeight="1">
      <c r="A142" s="805"/>
      <c r="B142" s="805"/>
      <c r="C142" s="796"/>
      <c r="D142" s="1944"/>
      <c r="E142" s="1944"/>
      <c r="F142" s="1944"/>
      <c r="G142" s="664"/>
      <c r="I142" s="615"/>
    </row>
    <row r="143" spans="1:11" s="611" customFormat="1" ht="13.7" customHeight="1">
      <c r="A143" s="793"/>
      <c r="B143" s="793"/>
      <c r="C143" s="798"/>
      <c r="D143" s="1944"/>
      <c r="E143" s="1944"/>
      <c r="F143" s="1944"/>
      <c r="G143" s="685"/>
      <c r="I143" s="635"/>
    </row>
    <row r="144" spans="1:11" s="611" customFormat="1" ht="13.7" customHeight="1">
      <c r="A144" s="793"/>
      <c r="B144" s="793"/>
      <c r="C144" s="798"/>
      <c r="D144" s="1944"/>
      <c r="E144" s="1944"/>
      <c r="F144" s="1944"/>
      <c r="G144" s="685"/>
      <c r="I144" s="635"/>
    </row>
    <row r="145" spans="1:9" s="611" customFormat="1" ht="13.7" customHeight="1">
      <c r="A145" s="793"/>
      <c r="B145" s="793"/>
      <c r="C145" s="1620"/>
      <c r="D145" s="1944"/>
      <c r="E145" s="1944"/>
      <c r="F145" s="1944"/>
      <c r="G145" s="685"/>
      <c r="I145" s="635"/>
    </row>
    <row r="146" spans="1:9" s="714" customFormat="1" ht="13.7" customHeight="1">
      <c r="A146" s="780"/>
      <c r="B146" s="780"/>
      <c r="C146" s="796"/>
      <c r="D146" s="1944"/>
      <c r="E146" s="1944"/>
      <c r="F146" s="1944"/>
      <c r="G146" s="664"/>
      <c r="I146" s="615"/>
    </row>
    <row r="147" spans="1:9" s="714" customFormat="1" ht="13.7" customHeight="1">
      <c r="A147" s="780"/>
      <c r="B147" s="780"/>
      <c r="C147" s="796"/>
      <c r="D147" s="1944"/>
      <c r="E147" s="1944"/>
      <c r="F147" s="1944"/>
      <c r="G147" s="664"/>
      <c r="I147" s="615"/>
    </row>
    <row r="148" spans="1:9" s="714" customFormat="1" ht="13.7" customHeight="1">
      <c r="A148" s="780"/>
      <c r="B148" s="780"/>
      <c r="C148" s="796"/>
      <c r="D148" s="1944"/>
      <c r="E148" s="1944"/>
      <c r="F148" s="1944"/>
      <c r="G148" s="664"/>
      <c r="I148" s="615"/>
    </row>
    <row r="149" spans="1:9" s="714" customFormat="1" ht="13.7" customHeight="1">
      <c r="A149" s="780"/>
      <c r="B149" s="780"/>
      <c r="C149" s="796"/>
      <c r="D149" s="1944"/>
      <c r="E149" s="1944"/>
      <c r="F149" s="1944"/>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2758</v>
      </c>
      <c r="C151" s="796"/>
      <c r="D151" s="2027" t="s">
        <v>1341</v>
      </c>
      <c r="E151" s="2027"/>
      <c r="F151" s="2027"/>
      <c r="G151" s="664"/>
      <c r="I151" s="615" t="s">
        <v>2215</v>
      </c>
    </row>
    <row r="152" spans="1:9" s="714" customFormat="1" ht="13.7" customHeight="1">
      <c r="A152" s="780"/>
      <c r="B152" s="780"/>
      <c r="C152" s="796"/>
      <c r="D152" s="2027"/>
      <c r="E152" s="2027"/>
      <c r="F152" s="2027"/>
      <c r="G152" s="664"/>
      <c r="I152" s="615"/>
    </row>
    <row r="153" spans="1:9" s="714" customFormat="1" ht="13.7" customHeight="1">
      <c r="A153" s="780"/>
      <c r="B153" s="780"/>
      <c r="C153" s="796"/>
      <c r="D153" s="2027"/>
      <c r="E153" s="2027"/>
      <c r="F153" s="2027"/>
      <c r="G153" s="664"/>
      <c r="I153" s="615"/>
    </row>
    <row r="154" spans="1:9" s="714" customFormat="1" ht="13.7" customHeight="1">
      <c r="A154" s="780"/>
      <c r="B154" s="780"/>
      <c r="C154" s="796"/>
      <c r="D154" s="2027"/>
      <c r="E154" s="2027"/>
      <c r="F154" s="2027"/>
      <c r="G154" s="664"/>
      <c r="I154" s="615"/>
    </row>
    <row r="155" spans="1:9" s="714" customFormat="1" ht="13.7" customHeight="1">
      <c r="A155" s="780"/>
      <c r="B155" s="780"/>
      <c r="C155" s="796"/>
      <c r="D155" s="2027"/>
      <c r="E155" s="2027"/>
      <c r="F155" s="2027"/>
      <c r="G155" s="664"/>
      <c r="I155" s="615"/>
    </row>
    <row r="156" spans="1:9" s="714" customFormat="1" ht="13.7" customHeight="1">
      <c r="A156" s="780"/>
      <c r="B156" s="780"/>
      <c r="C156" s="796"/>
      <c r="D156" s="2027"/>
      <c r="E156" s="2027"/>
      <c r="F156" s="2027"/>
      <c r="G156" s="664"/>
      <c r="I156" s="615"/>
    </row>
    <row r="157" spans="1:9" s="714" customFormat="1" ht="13.7" customHeight="1">
      <c r="A157" s="780"/>
      <c r="B157" s="780"/>
      <c r="C157" s="796"/>
      <c r="D157" s="2027"/>
      <c r="E157" s="2027"/>
      <c r="F157" s="2027"/>
      <c r="G157" s="664"/>
      <c r="I157" s="615"/>
    </row>
    <row r="158" spans="1:9" s="714" customFormat="1" ht="13.7" customHeight="1">
      <c r="A158" s="780"/>
      <c r="B158" s="780"/>
      <c r="C158" s="796"/>
      <c r="D158" s="2027"/>
      <c r="E158" s="2027"/>
      <c r="F158" s="2027"/>
      <c r="G158" s="664"/>
      <c r="I158" s="615"/>
    </row>
    <row r="159" spans="1:9" s="714" customFormat="1" ht="13.7" customHeight="1">
      <c r="A159" s="780"/>
      <c r="B159" s="780"/>
      <c r="C159" s="796"/>
      <c r="D159" s="2027"/>
      <c r="E159" s="2027"/>
      <c r="F159" s="2027"/>
      <c r="G159" s="664"/>
      <c r="I159" s="615"/>
    </row>
    <row r="160" spans="1:9" s="714" customFormat="1" ht="13.7" customHeight="1">
      <c r="A160" s="780"/>
      <c r="B160" s="780"/>
      <c r="C160" s="796"/>
      <c r="D160" s="2027"/>
      <c r="E160" s="2027"/>
      <c r="F160" s="2027"/>
      <c r="G160" s="664"/>
      <c r="I160" s="615"/>
    </row>
    <row r="161" spans="1:9" s="714" customFormat="1" ht="13.7" customHeight="1">
      <c r="A161" s="780"/>
      <c r="B161" s="780"/>
      <c r="C161" s="796"/>
      <c r="D161" s="2027"/>
      <c r="E161" s="2027"/>
      <c r="F161" s="2027"/>
      <c r="G161" s="664"/>
      <c r="I161" s="615"/>
    </row>
    <row r="162" spans="1:9" s="714" customFormat="1" ht="13.7" customHeight="1">
      <c r="A162" s="780"/>
      <c r="B162" s="780"/>
      <c r="C162" s="796"/>
      <c r="D162" s="2027"/>
      <c r="E162" s="2027"/>
      <c r="F162" s="2027"/>
      <c r="G162" s="664"/>
      <c r="I162" s="615"/>
    </row>
    <row r="163" spans="1:9" s="714" customFormat="1" ht="13.7" customHeight="1">
      <c r="A163" s="780"/>
      <c r="B163" s="780"/>
      <c r="C163" s="796"/>
      <c r="D163" s="2027"/>
      <c r="E163" s="2027"/>
      <c r="F163" s="2027"/>
      <c r="G163" s="664"/>
      <c r="I163" s="615"/>
    </row>
    <row r="164" spans="1:9" s="714" customFormat="1" ht="13.7" customHeight="1">
      <c r="A164" s="780"/>
      <c r="B164" s="780"/>
      <c r="C164" s="796"/>
      <c r="D164" s="2027"/>
      <c r="E164" s="2027"/>
      <c r="F164" s="2027"/>
      <c r="G164" s="664"/>
      <c r="I164" s="615"/>
    </row>
    <row r="165" spans="1:9" s="714" customFormat="1" ht="13.7" customHeight="1">
      <c r="A165" s="780"/>
      <c r="B165" s="780"/>
      <c r="C165" s="796"/>
      <c r="D165" s="2027"/>
      <c r="E165" s="2027"/>
      <c r="F165" s="2027"/>
      <c r="G165" s="664"/>
      <c r="I165" s="615"/>
    </row>
    <row r="166" spans="1:9" s="714" customFormat="1" ht="13.7" customHeight="1">
      <c r="A166" s="780"/>
      <c r="B166" s="780"/>
      <c r="C166" s="796"/>
      <c r="D166" s="2027"/>
      <c r="E166" s="2027"/>
      <c r="F166" s="2027"/>
      <c r="G166" s="664"/>
      <c r="I166" s="615"/>
    </row>
    <row r="167" spans="1:9" s="714" customFormat="1" ht="13.7" customHeight="1">
      <c r="A167" s="780"/>
      <c r="B167" s="780"/>
      <c r="C167" s="796"/>
      <c r="D167" s="2027"/>
      <c r="E167" s="2027"/>
      <c r="F167" s="2027"/>
      <c r="G167" s="664"/>
      <c r="I167" s="615"/>
    </row>
    <row r="168" spans="1:9" s="714" customFormat="1" ht="13.7" customHeight="1">
      <c r="A168" s="780"/>
      <c r="B168" s="780"/>
      <c r="C168" s="796"/>
      <c r="D168" s="2027"/>
      <c r="E168" s="2027"/>
      <c r="F168" s="2027"/>
      <c r="G168" s="664"/>
      <c r="I168" s="615"/>
    </row>
    <row r="169" spans="1:9" s="714" customFormat="1" ht="13.7" customHeight="1">
      <c r="A169" s="780"/>
      <c r="B169" s="780"/>
      <c r="C169" s="796"/>
      <c r="D169" s="2028" t="s">
        <v>2546</v>
      </c>
      <c r="E169" s="2028"/>
      <c r="F169" s="2028"/>
      <c r="G169" s="848"/>
      <c r="I169" s="615"/>
    </row>
    <row r="170" spans="1:9" s="714" customFormat="1" ht="13.7" customHeight="1">
      <c r="A170" s="780"/>
      <c r="B170" s="780"/>
      <c r="C170" s="796"/>
      <c r="D170" s="2026"/>
      <c r="E170" s="2026"/>
      <c r="F170" s="2026"/>
      <c r="G170" s="2026"/>
      <c r="I170" s="615"/>
    </row>
    <row r="171" spans="1:9" s="714" customFormat="1" ht="14.45" customHeight="1">
      <c r="A171" s="805"/>
      <c r="B171" s="790" t="s">
        <v>2758</v>
      </c>
      <c r="C171" s="806"/>
      <c r="D171" s="1917" t="s">
        <v>1389</v>
      </c>
      <c r="E171" s="1917"/>
      <c r="F171" s="1917"/>
      <c r="G171" s="807"/>
      <c r="I171" s="615" t="s">
        <v>2210</v>
      </c>
    </row>
    <row r="172" spans="1:9" s="714" customFormat="1" ht="14.45" customHeight="1">
      <c r="A172" s="805"/>
      <c r="B172" s="805"/>
      <c r="C172" s="806"/>
      <c r="D172" s="1917"/>
      <c r="E172" s="1917"/>
      <c r="F172" s="1917"/>
      <c r="G172" s="807"/>
      <c r="I172" s="615"/>
    </row>
    <row r="173" spans="1:9" s="714" customFormat="1" ht="13.7" customHeight="1">
      <c r="A173" s="805"/>
      <c r="B173" s="805"/>
      <c r="C173" s="806"/>
      <c r="D173" s="1917"/>
      <c r="E173" s="1917"/>
      <c r="F173" s="1917"/>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2758</v>
      </c>
      <c r="C175" s="806"/>
      <c r="D175" s="1913" t="s">
        <v>1235</v>
      </c>
      <c r="E175" s="1913"/>
      <c r="F175" s="1913"/>
      <c r="G175" s="807"/>
      <c r="I175" s="615" t="s">
        <v>2216</v>
      </c>
    </row>
    <row r="176" spans="1:9" s="714" customFormat="1" ht="13.7" customHeight="1">
      <c r="A176" s="805"/>
      <c r="B176" s="805"/>
      <c r="C176" s="806"/>
      <c r="D176" s="1913"/>
      <c r="E176" s="1913"/>
      <c r="F176" s="1913"/>
      <c r="G176" s="807"/>
      <c r="I176" s="615"/>
    </row>
    <row r="177" spans="1:9" s="714" customFormat="1" ht="13.7" customHeight="1">
      <c r="A177" s="805"/>
      <c r="B177" s="805"/>
      <c r="C177" s="806"/>
      <c r="D177" s="1913"/>
      <c r="E177" s="1913"/>
      <c r="F177" s="1913"/>
      <c r="G177" s="807"/>
      <c r="I177" s="615"/>
    </row>
    <row r="178" spans="1:9" s="714" customFormat="1" ht="13.7" customHeight="1">
      <c r="A178" s="805"/>
      <c r="B178" s="805"/>
      <c r="C178" s="806"/>
      <c r="D178" s="1913"/>
      <c r="E178" s="1913"/>
      <c r="F178" s="1913"/>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2758</v>
      </c>
      <c r="C180" s="796"/>
      <c r="D180" s="1948" t="s">
        <v>2522</v>
      </c>
      <c r="E180" s="1948"/>
      <c r="F180" s="1948"/>
      <c r="G180" s="664"/>
      <c r="I180" s="615" t="s">
        <v>2217</v>
      </c>
    </row>
    <row r="181" spans="1:9" s="714" customFormat="1" ht="13.7" customHeight="1">
      <c r="A181" s="780"/>
      <c r="B181" s="780"/>
      <c r="C181" s="796"/>
      <c r="D181" s="1948"/>
      <c r="E181" s="1948"/>
      <c r="F181" s="1948"/>
      <c r="G181" s="664"/>
      <c r="I181" s="615"/>
    </row>
    <row r="182" spans="1:9" s="714" customFormat="1" ht="13.7" customHeight="1">
      <c r="A182" s="780"/>
      <c r="B182" s="780"/>
      <c r="C182" s="796"/>
      <c r="D182" s="1948"/>
      <c r="E182" s="1948"/>
      <c r="F182" s="1948"/>
      <c r="G182" s="664"/>
      <c r="I182" s="615"/>
    </row>
    <row r="183" spans="1:9" s="714" customFormat="1" ht="13.7" customHeight="1">
      <c r="A183" s="808"/>
      <c r="B183" s="808"/>
      <c r="C183" s="796"/>
      <c r="D183" s="781"/>
      <c r="E183" s="777"/>
      <c r="F183" s="777"/>
      <c r="G183" s="664"/>
      <c r="I183" s="615"/>
    </row>
    <row r="184" spans="1:9">
      <c r="A184" s="1925" t="s">
        <v>2523</v>
      </c>
      <c r="B184" s="1925"/>
      <c r="C184" s="1925"/>
      <c r="D184" s="1925"/>
      <c r="E184" s="1925"/>
      <c r="F184" s="1925"/>
      <c r="G184" s="1925"/>
      <c r="H184" s="1692"/>
      <c r="I184" s="1693"/>
    </row>
    <row r="185" spans="1:9" ht="12" customHeight="1">
      <c r="D185" s="792"/>
      <c r="E185" s="792"/>
      <c r="F185" s="792"/>
    </row>
    <row r="186" spans="1:9">
      <c r="B186" s="2014" t="s">
        <v>464</v>
      </c>
      <c r="C186" s="2014"/>
      <c r="D186" s="2014"/>
      <c r="E186" s="2014"/>
      <c r="F186" s="2014"/>
    </row>
    <row r="187" spans="1:9" s="1616" customFormat="1">
      <c r="A187" s="780"/>
      <c r="B187" s="1670" t="s">
        <v>2195</v>
      </c>
      <c r="C187" s="1670"/>
      <c r="D187" s="1670"/>
      <c r="E187" s="1670"/>
      <c r="F187" s="1670"/>
      <c r="G187" s="1615"/>
      <c r="I187" s="1618"/>
    </row>
    <row r="188" spans="1:9" ht="12" customHeight="1">
      <c r="A188" s="785"/>
      <c r="B188" s="785"/>
      <c r="C188" s="785"/>
    </row>
    <row r="189" spans="1:9">
      <c r="A189" s="1925" t="s">
        <v>1131</v>
      </c>
      <c r="B189" s="1925"/>
      <c r="C189" s="1925"/>
      <c r="D189" s="1925"/>
      <c r="E189" s="1925"/>
      <c r="F189" s="1925"/>
      <c r="G189" s="1925"/>
      <c r="H189" s="1692"/>
      <c r="I189" s="1693"/>
    </row>
    <row r="190" spans="1:9" ht="12" customHeight="1">
      <c r="A190" s="809"/>
      <c r="B190" s="809"/>
      <c r="C190" s="810"/>
      <c r="D190" s="811"/>
      <c r="E190" s="812"/>
      <c r="F190" s="811"/>
      <c r="G190" s="811"/>
    </row>
    <row r="191" spans="1:9" ht="13.7" customHeight="1">
      <c r="A191" s="809"/>
      <c r="B191" s="809"/>
      <c r="C191" s="810"/>
      <c r="D191" s="1949" t="s">
        <v>2062</v>
      </c>
      <c r="E191" s="1949"/>
      <c r="F191" s="1949"/>
      <c r="G191" s="811"/>
    </row>
    <row r="192" spans="1:9">
      <c r="A192" s="809"/>
      <c r="B192" s="809"/>
      <c r="C192" s="810"/>
      <c r="D192" s="1949"/>
      <c r="E192" s="1949"/>
      <c r="F192" s="1949"/>
      <c r="G192" s="811"/>
    </row>
    <row r="193" spans="1:9">
      <c r="A193" s="809"/>
      <c r="B193" s="809"/>
      <c r="C193" s="810"/>
      <c r="D193" s="1950" t="s">
        <v>1359</v>
      </c>
      <c r="E193" s="1950"/>
      <c r="F193" s="1950"/>
      <c r="G193" s="811"/>
    </row>
    <row r="194" spans="1:9">
      <c r="A194" s="809"/>
      <c r="B194" s="809"/>
      <c r="C194" s="810"/>
      <c r="D194" s="1559"/>
      <c r="E194" s="1559"/>
      <c r="F194" s="1559"/>
      <c r="G194" s="811"/>
    </row>
    <row r="195" spans="1:9">
      <c r="A195" s="809"/>
      <c r="B195" s="790" t="s">
        <v>2758</v>
      </c>
      <c r="C195" s="810"/>
      <c r="D195" s="1918" t="s">
        <v>2063</v>
      </c>
      <c r="E195" s="1918"/>
      <c r="F195" s="1918"/>
      <c r="G195" s="811"/>
      <c r="I195" s="1618" t="s">
        <v>2266</v>
      </c>
    </row>
    <row r="196" spans="1:9">
      <c r="A196" s="809"/>
      <c r="B196" s="809"/>
      <c r="C196" s="810"/>
      <c r="D196" s="1971" t="s">
        <v>2351</v>
      </c>
      <c r="E196" s="1971"/>
      <c r="F196" s="1971"/>
      <c r="G196" s="811"/>
    </row>
    <row r="197" spans="1:9">
      <c r="A197" s="809"/>
      <c r="B197" s="809"/>
      <c r="C197" s="810"/>
      <c r="D197" s="1575" t="s">
        <v>2064</v>
      </c>
      <c r="E197" s="2032" t="s">
        <v>2374</v>
      </c>
      <c r="F197" s="2032"/>
      <c r="G197" s="811"/>
    </row>
    <row r="198" spans="1:9">
      <c r="A198" s="809"/>
      <c r="B198" s="809"/>
      <c r="C198" s="810"/>
      <c r="D198" s="155"/>
      <c r="E198" s="155"/>
      <c r="F198" s="155"/>
      <c r="G198" s="811"/>
    </row>
    <row r="199" spans="1:9">
      <c r="A199" s="809"/>
      <c r="B199" s="790" t="s">
        <v>2757</v>
      </c>
      <c r="C199" s="810"/>
      <c r="D199" s="1971" t="s">
        <v>2065</v>
      </c>
      <c r="E199" s="1971"/>
      <c r="F199" s="1971"/>
      <c r="G199" s="811"/>
      <c r="I199" s="1618" t="s">
        <v>2267</v>
      </c>
    </row>
    <row r="200" spans="1:9">
      <c r="A200" s="809"/>
      <c r="B200" s="809"/>
      <c r="C200" s="810"/>
      <c r="D200" s="1918" t="s">
        <v>2351</v>
      </c>
      <c r="E200" s="1918"/>
      <c r="F200" s="1918"/>
      <c r="G200" s="811"/>
    </row>
    <row r="201" spans="1:9">
      <c r="A201" s="809"/>
      <c r="B201" s="809"/>
      <c r="C201" s="810"/>
      <c r="D201" s="1557" t="s">
        <v>2066</v>
      </c>
      <c r="E201" s="2032" t="s">
        <v>2375</v>
      </c>
      <c r="F201" s="2032"/>
      <c r="G201" s="811"/>
    </row>
    <row r="202" spans="1:9">
      <c r="A202" s="809"/>
      <c r="B202" s="809"/>
      <c r="C202" s="810"/>
      <c r="D202" s="155"/>
      <c r="E202" s="155"/>
      <c r="F202" s="155"/>
      <c r="G202" s="811"/>
    </row>
    <row r="203" spans="1:9">
      <c r="A203" s="809"/>
      <c r="B203" s="790" t="s">
        <v>2757</v>
      </c>
      <c r="C203" s="810"/>
      <c r="D203" s="1971" t="s">
        <v>2067</v>
      </c>
      <c r="E203" s="1971"/>
      <c r="F203" s="1971"/>
      <c r="G203" s="811"/>
      <c r="I203" s="1618" t="s">
        <v>2268</v>
      </c>
    </row>
    <row r="204" spans="1:9">
      <c r="A204" s="809"/>
      <c r="B204" s="809"/>
      <c r="C204" s="810"/>
      <c r="D204" s="1918" t="s">
        <v>2351</v>
      </c>
      <c r="E204" s="1918"/>
      <c r="F204" s="1918"/>
      <c r="G204" s="811"/>
    </row>
    <row r="205" spans="1:9">
      <c r="A205" s="809"/>
      <c r="B205" s="809"/>
      <c r="C205" s="810"/>
      <c r="D205" s="1557" t="s">
        <v>2064</v>
      </c>
      <c r="E205" s="2032" t="s">
        <v>2376</v>
      </c>
      <c r="F205" s="2032"/>
      <c r="G205" s="811"/>
    </row>
    <row r="206" spans="1:9">
      <c r="A206" s="809"/>
      <c r="B206" s="809"/>
      <c r="C206" s="810"/>
      <c r="D206" s="1559"/>
      <c r="E206" s="1559"/>
      <c r="F206" s="1559"/>
      <c r="G206" s="811"/>
    </row>
    <row r="207" spans="1:9" ht="14.25" customHeight="1">
      <c r="A207" s="789"/>
      <c r="B207" s="790" t="s">
        <v>2758</v>
      </c>
      <c r="C207" s="810"/>
      <c r="D207" s="1747" t="s">
        <v>2344</v>
      </c>
      <c r="E207" s="870"/>
      <c r="F207" s="870"/>
      <c r="G207" s="811"/>
      <c r="I207" s="1618" t="s">
        <v>2269</v>
      </c>
    </row>
    <row r="208" spans="1:9" ht="14.25">
      <c r="A208" s="789"/>
      <c r="B208" s="789"/>
      <c r="C208" s="810"/>
      <c r="D208" s="1918" t="s">
        <v>2351</v>
      </c>
      <c r="E208" s="1918"/>
      <c r="F208" s="1918"/>
      <c r="G208" s="811"/>
    </row>
    <row r="209" spans="1:9">
      <c r="A209" s="810"/>
      <c r="B209" s="810"/>
      <c r="C209" s="810"/>
      <c r="D209" s="870"/>
      <c r="E209" s="2032" t="s">
        <v>2377</v>
      </c>
      <c r="F209" s="2032"/>
    </row>
    <row r="210" spans="1:9">
      <c r="A210" s="810"/>
      <c r="B210" s="810"/>
      <c r="C210" s="810"/>
      <c r="D210" s="795"/>
      <c r="E210" s="811"/>
      <c r="F210" s="811"/>
    </row>
    <row r="211" spans="1:9">
      <c r="A211" s="810"/>
      <c r="B211" s="790" t="s">
        <v>2758</v>
      </c>
      <c r="C211" s="810"/>
      <c r="D211" s="1971" t="s">
        <v>2068</v>
      </c>
      <c r="E211" s="1971"/>
      <c r="F211" s="1971"/>
      <c r="I211" s="1618" t="s">
        <v>2270</v>
      </c>
    </row>
    <row r="212" spans="1:9">
      <c r="A212" s="810"/>
      <c r="B212" s="810"/>
      <c r="C212" s="810"/>
      <c r="D212" s="1918" t="s">
        <v>2351</v>
      </c>
      <c r="E212" s="1918"/>
      <c r="F212" s="1918"/>
    </row>
    <row r="213" spans="1:9">
      <c r="A213" s="810"/>
      <c r="B213" s="810"/>
      <c r="C213" s="810"/>
      <c r="D213" s="1557" t="s">
        <v>2064</v>
      </c>
      <c r="E213" s="2032" t="s">
        <v>2378</v>
      </c>
      <c r="F213" s="2032"/>
    </row>
    <row r="214" spans="1:9">
      <c r="A214" s="810"/>
      <c r="B214" s="810"/>
      <c r="C214" s="810"/>
      <c r="D214" s="771"/>
      <c r="E214" s="771"/>
      <c r="F214" s="771"/>
    </row>
    <row r="215" spans="1:9" s="611" customFormat="1" ht="14.25">
      <c r="A215" s="789"/>
      <c r="B215" s="790" t="s">
        <v>2758</v>
      </c>
      <c r="C215" s="798"/>
      <c r="D215" s="1943" t="s">
        <v>1381</v>
      </c>
      <c r="E215" s="1943"/>
      <c r="F215" s="1943"/>
      <c r="G215" s="685"/>
      <c r="I215" s="635"/>
    </row>
    <row r="216" spans="1:9" s="611" customFormat="1" ht="14.45" customHeight="1">
      <c r="A216" s="789"/>
      <c r="C216" s="798"/>
      <c r="D216" s="1943"/>
      <c r="E216" s="1943"/>
      <c r="F216" s="1943"/>
      <c r="G216" s="685"/>
      <c r="I216" s="635"/>
    </row>
    <row r="217" spans="1:9" s="611" customFormat="1" ht="14.25">
      <c r="A217" s="789"/>
      <c r="B217" s="810"/>
      <c r="C217" s="798"/>
      <c r="D217" s="1943"/>
      <c r="E217" s="1943"/>
      <c r="F217" s="1943"/>
      <c r="G217" s="685"/>
      <c r="I217" s="635"/>
    </row>
    <row r="218" spans="1:9" s="611" customFormat="1" ht="14.25">
      <c r="A218" s="789"/>
      <c r="B218" s="810"/>
      <c r="C218" s="798"/>
      <c r="D218" s="1943"/>
      <c r="E218" s="1943"/>
      <c r="F218" s="1943"/>
      <c r="G218" s="685"/>
      <c r="I218" s="635"/>
    </row>
    <row r="219" spans="1:9">
      <c r="A219" s="810"/>
      <c r="B219" s="810"/>
      <c r="C219" s="810"/>
      <c r="D219" s="771"/>
      <c r="E219" s="771"/>
      <c r="F219" s="771"/>
    </row>
    <row r="220" spans="1:9">
      <c r="A220" s="1925" t="s">
        <v>1132</v>
      </c>
      <c r="B220" s="1925"/>
      <c r="C220" s="1925"/>
      <c r="D220" s="1925"/>
      <c r="E220" s="1925"/>
      <c r="F220" s="1925"/>
      <c r="G220" s="1925"/>
      <c r="H220" s="1692"/>
      <c r="I220" s="1693"/>
    </row>
    <row r="221" spans="1:9" ht="12" customHeight="1">
      <c r="D221" s="792"/>
      <c r="E221" s="792"/>
      <c r="F221" s="792"/>
    </row>
    <row r="222" spans="1:9">
      <c r="C222" s="799"/>
      <c r="D222" s="2036" t="s">
        <v>213</v>
      </c>
      <c r="E222" s="2036"/>
      <c r="F222" s="2036"/>
    </row>
    <row r="223" spans="1:9">
      <c r="A223" s="785"/>
      <c r="B223" s="785"/>
      <c r="C223" s="785"/>
      <c r="D223" s="2017" t="s">
        <v>1261</v>
      </c>
      <c r="E223" s="2017"/>
      <c r="F223" s="2017"/>
    </row>
    <row r="224" spans="1:9" ht="12" customHeight="1">
      <c r="A224" s="808"/>
      <c r="B224" s="808"/>
      <c r="C224" s="808"/>
    </row>
    <row r="225" spans="1:9" ht="13.7" customHeight="1">
      <c r="A225" s="808"/>
      <c r="C225" s="808"/>
      <c r="D225" s="1942" t="s">
        <v>571</v>
      </c>
      <c r="E225" s="1942"/>
      <c r="F225" s="1942"/>
      <c r="I225" s="1618" t="s">
        <v>2218</v>
      </c>
    </row>
    <row r="226" spans="1:9" ht="14.25">
      <c r="A226" s="789"/>
      <c r="B226" s="790" t="s">
        <v>2757</v>
      </c>
      <c r="D226" s="1943" t="s">
        <v>2069</v>
      </c>
      <c r="E226" s="1943"/>
      <c r="F226" s="1943"/>
    </row>
    <row r="227" spans="1:9" ht="14.25" customHeight="1">
      <c r="A227" s="789"/>
      <c r="B227" s="789"/>
      <c r="D227" s="1943"/>
      <c r="E227" s="1943"/>
      <c r="F227" s="1943"/>
    </row>
    <row r="228" spans="1:9" ht="14.25" customHeight="1">
      <c r="A228" s="789"/>
      <c r="B228" s="789"/>
      <c r="D228" s="1943"/>
      <c r="E228" s="1943"/>
      <c r="F228" s="1943"/>
    </row>
    <row r="229" spans="1:9" ht="14.25">
      <c r="A229" s="789"/>
      <c r="B229" s="789"/>
      <c r="D229" s="1943"/>
      <c r="E229" s="1943"/>
      <c r="F229" s="1943"/>
    </row>
    <row r="230" spans="1:9" ht="14.25">
      <c r="A230" s="789"/>
      <c r="B230" s="789"/>
      <c r="D230" s="1558"/>
      <c r="E230" s="1558"/>
      <c r="F230" s="1558"/>
    </row>
    <row r="231" spans="1:9" ht="14.25">
      <c r="A231" s="789"/>
      <c r="B231" s="790" t="s">
        <v>2757</v>
      </c>
      <c r="D231" s="1943" t="s">
        <v>2070</v>
      </c>
      <c r="E231" s="1943"/>
      <c r="F231" s="1943"/>
      <c r="I231" s="1618" t="s">
        <v>2219</v>
      </c>
    </row>
    <row r="232" spans="1:9" ht="14.25">
      <c r="A232" s="789"/>
      <c r="B232" s="789"/>
      <c r="D232" s="1943"/>
      <c r="E232" s="1943"/>
      <c r="F232" s="1943"/>
    </row>
    <row r="233" spans="1:9" ht="14.25">
      <c r="A233" s="789"/>
      <c r="B233" s="789"/>
      <c r="D233" s="1943"/>
      <c r="E233" s="1943"/>
      <c r="F233" s="1943"/>
    </row>
    <row r="234" spans="1:9" ht="14.25">
      <c r="A234" s="789"/>
      <c r="B234" s="789"/>
      <c r="D234" s="1943"/>
      <c r="E234" s="1943"/>
      <c r="F234" s="1943"/>
    </row>
    <row r="235" spans="1:9" ht="14.25" customHeight="1">
      <c r="A235" s="789"/>
      <c r="B235" s="789"/>
      <c r="D235" s="1943"/>
      <c r="E235" s="1943"/>
      <c r="F235" s="1943"/>
    </row>
    <row r="236" spans="1:9" ht="14.25" customHeight="1">
      <c r="A236" s="789"/>
      <c r="B236" s="789"/>
      <c r="D236" s="1558"/>
      <c r="E236" s="1558"/>
      <c r="F236" s="1558"/>
    </row>
    <row r="237" spans="1:9" ht="14.25">
      <c r="A237" s="789"/>
      <c r="B237" s="789"/>
      <c r="D237" s="1943" t="s">
        <v>1257</v>
      </c>
      <c r="E237" s="1943"/>
      <c r="F237" s="1943"/>
      <c r="I237" s="1618" t="s">
        <v>2218</v>
      </c>
    </row>
    <row r="238" spans="1:9" ht="14.25">
      <c r="A238" s="789"/>
      <c r="B238" s="789"/>
      <c r="D238" s="1943"/>
      <c r="E238" s="1943"/>
      <c r="F238" s="1943"/>
    </row>
    <row r="239" spans="1:9" ht="14.25">
      <c r="A239" s="789"/>
      <c r="B239" s="789"/>
      <c r="D239" s="1943"/>
      <c r="E239" s="1943"/>
      <c r="F239" s="1943"/>
    </row>
    <row r="240" spans="1:9" ht="14.25">
      <c r="A240" s="789"/>
      <c r="B240" s="789"/>
      <c r="D240" s="1943"/>
      <c r="E240" s="1943"/>
      <c r="F240" s="1943"/>
    </row>
    <row r="241" spans="1:9" ht="14.25">
      <c r="A241" s="789"/>
      <c r="B241" s="789"/>
      <c r="D241" s="1943"/>
      <c r="E241" s="1943"/>
      <c r="F241" s="1943"/>
    </row>
    <row r="242" spans="1:9" ht="14.25">
      <c r="A242" s="789"/>
      <c r="B242" s="789"/>
      <c r="D242" s="792"/>
      <c r="E242" s="792"/>
      <c r="F242" s="792"/>
    </row>
    <row r="243" spans="1:9" ht="14.25">
      <c r="A243" s="789"/>
      <c r="B243" s="790" t="s">
        <v>2757</v>
      </c>
      <c r="D243" s="2021" t="s">
        <v>2524</v>
      </c>
      <c r="E243" s="2021"/>
      <c r="F243" s="2021"/>
      <c r="I243" s="1618" t="s">
        <v>2257</v>
      </c>
    </row>
    <row r="244" spans="1:9" ht="14.25">
      <c r="A244" s="789"/>
      <c r="B244" s="789"/>
      <c r="D244" s="2021"/>
      <c r="E244" s="2021"/>
      <c r="F244" s="2021"/>
    </row>
    <row r="245" spans="1:9" ht="14.25">
      <c r="A245" s="789"/>
      <c r="B245" s="789"/>
      <c r="D245" s="2021"/>
      <c r="E245" s="2021"/>
      <c r="F245" s="2021"/>
    </row>
    <row r="246" spans="1:9" ht="14.25">
      <c r="A246" s="789"/>
      <c r="B246" s="789"/>
      <c r="E246" s="1748" t="s">
        <v>2345</v>
      </c>
    </row>
    <row r="247" spans="1:9" ht="14.25">
      <c r="A247" s="789"/>
      <c r="B247" s="789"/>
      <c r="D247" s="792"/>
      <c r="E247" s="792"/>
      <c r="F247" s="792"/>
    </row>
    <row r="248" spans="1:9" ht="14.45" customHeight="1">
      <c r="A248" s="789"/>
      <c r="B248" s="790" t="s">
        <v>2758</v>
      </c>
      <c r="D248" s="2021" t="s">
        <v>2525</v>
      </c>
      <c r="E248" s="2021"/>
      <c r="F248" s="2021"/>
      <c r="I248" s="1618" t="s">
        <v>2275</v>
      </c>
    </row>
    <row r="249" spans="1:9" ht="14.25">
      <c r="A249" s="789"/>
      <c r="B249" s="789"/>
      <c r="D249" s="2021"/>
      <c r="E249" s="2021"/>
      <c r="F249" s="2021"/>
    </row>
    <row r="250" spans="1:9" ht="14.25">
      <c r="A250" s="789"/>
      <c r="B250" s="789"/>
      <c r="D250" s="2021"/>
      <c r="E250" s="2021"/>
      <c r="F250" s="2021"/>
    </row>
    <row r="251" spans="1:9" ht="14.25">
      <c r="A251" s="789"/>
      <c r="B251" s="789"/>
      <c r="D251" s="2021"/>
      <c r="E251" s="2021"/>
      <c r="F251" s="2021"/>
    </row>
    <row r="252" spans="1:9" ht="14.25">
      <c r="A252" s="789"/>
      <c r="B252" s="789"/>
      <c r="D252" s="2021"/>
      <c r="E252" s="2021"/>
      <c r="F252" s="2021"/>
    </row>
    <row r="253" spans="1:9" ht="14.25">
      <c r="A253" s="789"/>
      <c r="B253" s="789"/>
      <c r="D253" s="1569"/>
      <c r="E253" s="1569"/>
      <c r="F253" s="1569"/>
    </row>
    <row r="254" spans="1:9" ht="14.25">
      <c r="A254" s="789"/>
      <c r="B254" s="790" t="s">
        <v>2757</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2757</v>
      </c>
      <c r="D257" s="1943" t="s">
        <v>1259</v>
      </c>
      <c r="E257" s="1943"/>
      <c r="F257" s="1943"/>
    </row>
    <row r="258" spans="1:9" ht="14.25">
      <c r="A258" s="789"/>
      <c r="B258" s="789"/>
      <c r="D258" s="1943"/>
      <c r="E258" s="1943"/>
      <c r="F258" s="1943"/>
    </row>
    <row r="259" spans="1:9">
      <c r="D259" s="813"/>
    </row>
    <row r="260" spans="1:9">
      <c r="A260" s="1925" t="s">
        <v>1133</v>
      </c>
      <c r="B260" s="1925"/>
      <c r="C260" s="1925"/>
      <c r="D260" s="1925"/>
      <c r="E260" s="1925"/>
      <c r="F260" s="1925"/>
      <c r="G260" s="1925"/>
      <c r="H260" s="1692"/>
      <c r="I260" s="1693"/>
    </row>
    <row r="261" spans="1:9">
      <c r="D261" s="813"/>
    </row>
    <row r="262" spans="1:9">
      <c r="C262" s="799"/>
      <c r="D262" s="1942" t="s">
        <v>1262</v>
      </c>
      <c r="E262" s="1942"/>
      <c r="F262" s="1942"/>
    </row>
    <row r="263" spans="1:9">
      <c r="A263" s="785"/>
      <c r="B263" s="785"/>
      <c r="C263" s="785"/>
      <c r="D263" s="792"/>
      <c r="E263" s="792"/>
      <c r="F263" s="792"/>
    </row>
    <row r="264" spans="1:9">
      <c r="A264" s="787"/>
      <c r="B264" s="787"/>
      <c r="C264" s="787"/>
      <c r="D264" s="1942" t="s">
        <v>274</v>
      </c>
      <c r="E264" s="1942"/>
      <c r="F264" s="1942"/>
      <c r="I264" s="1618" t="s">
        <v>2258</v>
      </c>
    </row>
    <row r="265" spans="1:9" ht="14.45" customHeight="1">
      <c r="A265" s="789"/>
      <c r="B265" s="790" t="s">
        <v>2757</v>
      </c>
      <c r="D265" s="2023" t="s">
        <v>1360</v>
      </c>
      <c r="E265" s="2023"/>
      <c r="F265" s="2023"/>
    </row>
    <row r="266" spans="1:9">
      <c r="D266" s="2023"/>
      <c r="E266" s="2023"/>
      <c r="F266" s="2023"/>
    </row>
    <row r="267" spans="1:9">
      <c r="E267" s="1748" t="s">
        <v>2347</v>
      </c>
    </row>
    <row r="268" spans="1:9">
      <c r="D268" s="792"/>
      <c r="E268" s="792"/>
      <c r="F268" s="792"/>
    </row>
    <row r="269" spans="1:9" ht="14.45" customHeight="1">
      <c r="A269" s="789"/>
      <c r="B269" s="790" t="s">
        <v>2758</v>
      </c>
      <c r="D269" s="2021" t="s">
        <v>2527</v>
      </c>
      <c r="E269" s="2021"/>
      <c r="F269" s="2021"/>
      <c r="I269" s="1618" t="s">
        <v>2276</v>
      </c>
    </row>
    <row r="270" spans="1:9">
      <c r="D270" s="2021"/>
      <c r="E270" s="2021"/>
      <c r="F270" s="2021"/>
    </row>
    <row r="271" spans="1:9">
      <c r="D271" s="2021"/>
      <c r="E271" s="2021"/>
      <c r="F271" s="2021"/>
    </row>
    <row r="272" spans="1:9">
      <c r="D272" s="2021"/>
      <c r="E272" s="2021"/>
      <c r="F272" s="2021"/>
    </row>
    <row r="273" spans="1:9">
      <c r="D273" s="2021"/>
      <c r="E273" s="2021"/>
      <c r="F273" s="2021"/>
    </row>
    <row r="274" spans="1:9">
      <c r="D274" s="2021"/>
      <c r="E274" s="2021"/>
      <c r="F274" s="2021"/>
    </row>
    <row r="275" spans="1:9">
      <c r="D275" s="792"/>
      <c r="E275" s="792"/>
      <c r="F275" s="792"/>
    </row>
    <row r="276" spans="1:9" ht="14.25">
      <c r="A276" s="789"/>
      <c r="B276" s="790" t="s">
        <v>2758</v>
      </c>
      <c r="D276" s="1943" t="s">
        <v>1265</v>
      </c>
      <c r="E276" s="1943"/>
      <c r="F276" s="1943"/>
    </row>
    <row r="277" spans="1:9">
      <c r="D277" s="1943"/>
      <c r="E277" s="1943"/>
      <c r="F277" s="1943"/>
    </row>
    <row r="278" spans="1:9">
      <c r="D278" s="1943"/>
      <c r="E278" s="1943"/>
      <c r="F278" s="1943"/>
    </row>
    <row r="279" spans="1:9">
      <c r="D279" s="814"/>
      <c r="E279" s="792"/>
      <c r="F279" s="792"/>
    </row>
    <row r="280" spans="1:9">
      <c r="A280" s="1925" t="s">
        <v>1134</v>
      </c>
      <c r="B280" s="1925"/>
      <c r="C280" s="1925"/>
      <c r="D280" s="1925"/>
      <c r="E280" s="1925"/>
      <c r="F280" s="1925"/>
      <c r="G280" s="1925"/>
      <c r="H280" s="1692"/>
      <c r="I280" s="1693"/>
    </row>
    <row r="281" spans="1:9">
      <c r="D281" s="814"/>
      <c r="E281" s="792"/>
      <c r="F281" s="792"/>
    </row>
    <row r="282" spans="1:9">
      <c r="C282" s="785"/>
      <c r="D282" s="2013" t="s">
        <v>1267</v>
      </c>
      <c r="E282" s="2013"/>
      <c r="F282" s="2013"/>
    </row>
    <row r="283" spans="1:9">
      <c r="C283" s="785"/>
      <c r="D283" s="2013"/>
      <c r="E283" s="2013"/>
      <c r="F283" s="2013"/>
    </row>
    <row r="284" spans="1:9">
      <c r="A284" s="787"/>
      <c r="B284" s="787"/>
      <c r="C284" s="787"/>
      <c r="D284" s="615"/>
      <c r="E284" s="664"/>
      <c r="F284" s="664"/>
    </row>
    <row r="285" spans="1:9">
      <c r="C285" s="787"/>
      <c r="D285" s="1942" t="s">
        <v>214</v>
      </c>
      <c r="E285" s="1942"/>
      <c r="F285" s="1942"/>
    </row>
    <row r="286" spans="1:9" ht="15.75" customHeight="1">
      <c r="A286" s="789"/>
      <c r="B286" s="789"/>
      <c r="D286" s="2039" t="s">
        <v>1268</v>
      </c>
      <c r="E286" s="2039"/>
      <c r="F286" s="2039"/>
    </row>
    <row r="287" spans="1:9">
      <c r="E287" s="792"/>
      <c r="F287" s="792"/>
    </row>
    <row r="288" spans="1:9" ht="14.25">
      <c r="A288" s="789"/>
      <c r="B288" s="790" t="s">
        <v>2758</v>
      </c>
      <c r="D288" s="1943" t="s">
        <v>1269</v>
      </c>
      <c r="E288" s="1943"/>
      <c r="F288" s="1943"/>
      <c r="I288" s="1618" t="s">
        <v>2220</v>
      </c>
    </row>
    <row r="289" spans="1:9" ht="14.25">
      <c r="A289" s="789"/>
      <c r="B289" s="789"/>
      <c r="D289" s="1943"/>
      <c r="E289" s="1943"/>
      <c r="F289" s="1943"/>
    </row>
    <row r="290" spans="1:9">
      <c r="D290" s="792"/>
      <c r="E290" s="792"/>
      <c r="F290" s="792"/>
    </row>
    <row r="291" spans="1:9" ht="14.25">
      <c r="A291" s="789"/>
      <c r="B291" s="790" t="s">
        <v>2758</v>
      </c>
      <c r="D291" s="2021" t="s">
        <v>1270</v>
      </c>
      <c r="E291" s="2021"/>
      <c r="F291" s="2021"/>
      <c r="I291" s="1618" t="s">
        <v>2220</v>
      </c>
    </row>
    <row r="292" spans="1:9" ht="14.25">
      <c r="A292" s="789"/>
      <c r="B292" s="789"/>
      <c r="D292" s="2021"/>
      <c r="E292" s="2021"/>
      <c r="F292" s="2021"/>
    </row>
    <row r="293" spans="1:9" ht="14.25">
      <c r="A293" s="789"/>
      <c r="B293" s="789"/>
      <c r="D293" s="2021"/>
      <c r="E293" s="2021"/>
      <c r="F293" s="2021"/>
    </row>
    <row r="294" spans="1:9">
      <c r="D294" s="792"/>
      <c r="E294" s="792"/>
      <c r="F294" s="792"/>
    </row>
    <row r="295" spans="1:9" ht="14.25">
      <c r="A295" s="789"/>
      <c r="B295" s="790" t="s">
        <v>2758</v>
      </c>
      <c r="D295" s="1943" t="s">
        <v>1271</v>
      </c>
      <c r="E295" s="1943"/>
      <c r="F295" s="1943"/>
      <c r="I295" s="1618" t="s">
        <v>2220</v>
      </c>
    </row>
    <row r="296" spans="1:9" ht="14.25">
      <c r="A296" s="789"/>
      <c r="B296" s="789"/>
      <c r="D296" s="1943"/>
      <c r="E296" s="1943"/>
      <c r="F296" s="1943"/>
    </row>
    <row r="297" spans="1:9">
      <c r="A297" s="808"/>
      <c r="B297" s="808"/>
      <c r="E297" s="792"/>
      <c r="F297" s="792"/>
    </row>
    <row r="298" spans="1:9">
      <c r="A298" s="1925" t="s">
        <v>1135</v>
      </c>
      <c r="B298" s="1925"/>
      <c r="C298" s="1925"/>
      <c r="D298" s="1925"/>
      <c r="E298" s="1925"/>
      <c r="F298" s="1925"/>
      <c r="G298" s="1925"/>
      <c r="H298" s="1692"/>
      <c r="I298" s="1693"/>
    </row>
    <row r="299" spans="1:9">
      <c r="A299" s="808"/>
      <c r="B299" s="808"/>
      <c r="D299" s="792"/>
      <c r="E299" s="792"/>
      <c r="F299" s="792"/>
    </row>
    <row r="300" spans="1:9">
      <c r="C300" s="808"/>
      <c r="D300" s="1942" t="s">
        <v>708</v>
      </c>
      <c r="E300" s="1942"/>
      <c r="F300" s="1942"/>
    </row>
    <row r="301" spans="1:9">
      <c r="C301" s="808"/>
      <c r="D301" s="1945" t="s">
        <v>1272</v>
      </c>
      <c r="E301" s="1945"/>
      <c r="F301" s="1945"/>
    </row>
    <row r="302" spans="1:9">
      <c r="C302" s="808"/>
      <c r="D302" s="815"/>
    </row>
    <row r="303" spans="1:9">
      <c r="A303" s="793"/>
      <c r="B303" s="790" t="s">
        <v>2758</v>
      </c>
      <c r="D303" s="1945" t="s">
        <v>1273</v>
      </c>
      <c r="E303" s="1945"/>
      <c r="F303" s="1945"/>
      <c r="I303" s="1618" t="s">
        <v>2221</v>
      </c>
    </row>
    <row r="304" spans="1:9" s="783" customFormat="1" ht="14.25">
      <c r="A304" s="797"/>
      <c r="B304" s="797"/>
      <c r="C304" s="793"/>
      <c r="D304" s="816"/>
      <c r="E304" s="817"/>
      <c r="F304" s="817"/>
      <c r="G304" s="794"/>
      <c r="I304" s="1676"/>
    </row>
    <row r="305" spans="1:9" s="783" customFormat="1" ht="13.7" customHeight="1">
      <c r="A305" s="793"/>
      <c r="B305" s="790" t="s">
        <v>2758</v>
      </c>
      <c r="C305" s="793"/>
      <c r="D305" s="2042" t="s">
        <v>1385</v>
      </c>
      <c r="E305" s="2042"/>
      <c r="F305" s="2042"/>
      <c r="G305" s="794"/>
      <c r="I305" s="1676" t="s">
        <v>2221</v>
      </c>
    </row>
    <row r="306" spans="1:9" s="783" customFormat="1" ht="14.25">
      <c r="A306" s="797"/>
      <c r="B306" s="797"/>
      <c r="C306" s="793"/>
      <c r="D306" s="2042"/>
      <c r="E306" s="2042"/>
      <c r="F306" s="2042"/>
      <c r="G306" s="794"/>
      <c r="I306" s="1676"/>
    </row>
    <row r="307" spans="1:9" s="783" customFormat="1" ht="14.25">
      <c r="A307" s="797"/>
      <c r="B307" s="797"/>
      <c r="C307" s="793"/>
      <c r="D307" s="2042"/>
      <c r="E307" s="2042"/>
      <c r="F307" s="2042"/>
      <c r="G307" s="794"/>
      <c r="I307" s="1676"/>
    </row>
    <row r="308" spans="1:9" s="783" customFormat="1" ht="14.25">
      <c r="A308" s="797"/>
      <c r="B308" s="797"/>
      <c r="C308" s="793"/>
      <c r="D308" s="2042"/>
      <c r="E308" s="2042"/>
      <c r="F308" s="2042"/>
      <c r="G308" s="794"/>
      <c r="I308" s="1676"/>
    </row>
    <row r="309" spans="1:9" s="783" customFormat="1" ht="14.25">
      <c r="A309" s="797"/>
      <c r="B309" s="797"/>
      <c r="C309" s="793"/>
      <c r="D309" s="2042"/>
      <c r="E309" s="2042"/>
      <c r="F309" s="2042"/>
      <c r="G309" s="794"/>
      <c r="I309" s="1676"/>
    </row>
    <row r="310" spans="1:9" s="783" customFormat="1" ht="14.25">
      <c r="A310" s="797"/>
      <c r="B310" s="797"/>
      <c r="C310" s="793"/>
      <c r="D310" s="816"/>
      <c r="E310" s="817"/>
      <c r="F310" s="817"/>
      <c r="G310" s="794"/>
      <c r="I310" s="1676"/>
    </row>
    <row r="311" spans="1:9" s="783" customFormat="1" ht="13.7" customHeight="1">
      <c r="A311" s="793"/>
      <c r="B311" s="790" t="s">
        <v>2758</v>
      </c>
      <c r="C311" s="793"/>
      <c r="D311" s="2042" t="s">
        <v>1275</v>
      </c>
      <c r="E311" s="2042"/>
      <c r="F311" s="2042"/>
      <c r="G311" s="794"/>
      <c r="I311" s="1676" t="s">
        <v>2221</v>
      </c>
    </row>
    <row r="312" spans="1:9" s="783" customFormat="1">
      <c r="A312" s="793"/>
      <c r="B312" s="793"/>
      <c r="C312" s="793"/>
      <c r="D312" s="2042"/>
      <c r="E312" s="2042"/>
      <c r="F312" s="2042"/>
      <c r="G312" s="794"/>
      <c r="I312" s="1676"/>
    </row>
    <row r="313" spans="1:9" s="783" customFormat="1" ht="14.25">
      <c r="A313" s="797"/>
      <c r="B313" s="797"/>
      <c r="C313" s="793"/>
      <c r="D313" s="816"/>
      <c r="E313" s="817"/>
      <c r="F313" s="817"/>
      <c r="G313" s="794"/>
      <c r="I313" s="1676"/>
    </row>
    <row r="314" spans="1:9">
      <c r="A314" s="793"/>
      <c r="B314" s="790" t="s">
        <v>2758</v>
      </c>
      <c r="D314" s="1945" t="s">
        <v>1276</v>
      </c>
      <c r="E314" s="1945"/>
      <c r="F314" s="1945"/>
      <c r="I314" s="1618" t="s">
        <v>2207</v>
      </c>
    </row>
    <row r="315" spans="1:9">
      <c r="E315" s="792"/>
      <c r="F315" s="792"/>
    </row>
    <row r="316" spans="1:9" ht="14.25">
      <c r="A316" s="789"/>
      <c r="B316" s="790" t="s">
        <v>2758</v>
      </c>
      <c r="D316" s="2021" t="s">
        <v>2547</v>
      </c>
      <c r="E316" s="2021"/>
      <c r="F316" s="2021"/>
      <c r="I316" s="1618" t="s">
        <v>2222</v>
      </c>
    </row>
    <row r="317" spans="1:9" ht="14.25">
      <c r="A317" s="789"/>
      <c r="B317" s="789"/>
      <c r="D317" s="2021"/>
      <c r="E317" s="2021"/>
      <c r="F317" s="2021"/>
    </row>
    <row r="318" spans="1:9" ht="14.25">
      <c r="A318" s="789"/>
      <c r="B318" s="789"/>
      <c r="D318" s="2021"/>
      <c r="E318" s="2021"/>
      <c r="F318" s="2021"/>
    </row>
    <row r="319" spans="1:9" ht="14.25">
      <c r="A319" s="789"/>
      <c r="B319" s="789"/>
      <c r="D319" s="2021"/>
      <c r="E319" s="2021"/>
      <c r="F319" s="2021"/>
    </row>
    <row r="320" spans="1:9" ht="14.25">
      <c r="A320" s="789"/>
      <c r="B320" s="789"/>
      <c r="D320" s="2021"/>
      <c r="E320" s="2021"/>
      <c r="F320" s="2021"/>
    </row>
    <row r="321" spans="1:9" ht="14.25">
      <c r="A321" s="789"/>
      <c r="B321" s="789"/>
      <c r="D321" s="2021"/>
      <c r="E321" s="2021"/>
      <c r="F321" s="2021"/>
    </row>
    <row r="322" spans="1:9" ht="14.25">
      <c r="A322" s="789"/>
      <c r="B322" s="789"/>
      <c r="D322" s="2021"/>
      <c r="E322" s="2021"/>
      <c r="F322" s="2021"/>
    </row>
    <row r="323" spans="1:9" ht="14.25">
      <c r="A323" s="789"/>
      <c r="B323" s="789"/>
      <c r="D323" s="2021"/>
      <c r="E323" s="2021"/>
      <c r="F323" s="2021"/>
    </row>
    <row r="324" spans="1:9" ht="14.25">
      <c r="A324" s="789"/>
      <c r="B324" s="789"/>
      <c r="D324" s="2021"/>
      <c r="E324" s="2021"/>
      <c r="F324" s="2021"/>
    </row>
    <row r="325" spans="1:9" ht="14.25">
      <c r="A325" s="789"/>
      <c r="B325" s="789"/>
      <c r="D325" s="2021"/>
      <c r="E325" s="2021"/>
      <c r="F325" s="2021"/>
    </row>
    <row r="326" spans="1:9" ht="14.25">
      <c r="A326" s="789"/>
      <c r="B326" s="789"/>
      <c r="D326" s="2021"/>
      <c r="E326" s="2021"/>
      <c r="F326" s="2021"/>
    </row>
    <row r="327" spans="1:9" ht="14.25">
      <c r="A327" s="789"/>
      <c r="B327" s="789"/>
      <c r="D327" s="2021"/>
      <c r="E327" s="2021"/>
      <c r="F327" s="2021"/>
    </row>
    <row r="328" spans="1:9" ht="14.25">
      <c r="A328" s="789"/>
      <c r="B328" s="789"/>
      <c r="D328" s="2021"/>
      <c r="E328" s="2021"/>
      <c r="F328" s="2021"/>
    </row>
    <row r="329" spans="1:9" ht="14.25">
      <c r="A329" s="789"/>
      <c r="B329" s="789"/>
      <c r="D329" s="2021"/>
      <c r="E329" s="2021"/>
      <c r="F329" s="2021"/>
    </row>
    <row r="330" spans="1:9" ht="14.25">
      <c r="A330" s="789"/>
      <c r="B330" s="789"/>
      <c r="D330" s="2021"/>
      <c r="E330" s="2021"/>
      <c r="F330" s="2021"/>
    </row>
    <row r="331" spans="1:9">
      <c r="D331" s="792"/>
      <c r="E331" s="792"/>
      <c r="F331" s="792"/>
    </row>
    <row r="332" spans="1:9" ht="14.25">
      <c r="A332" s="789"/>
      <c r="B332" s="790" t="s">
        <v>2758</v>
      </c>
      <c r="D332" s="2021" t="s">
        <v>1278</v>
      </c>
      <c r="E332" s="2021"/>
      <c r="F332" s="2021"/>
      <c r="I332" s="1618" t="s">
        <v>2222</v>
      </c>
    </row>
    <row r="333" spans="1:9">
      <c r="D333" s="2021"/>
      <c r="E333" s="2021"/>
      <c r="F333" s="2021"/>
    </row>
    <row r="334" spans="1:9">
      <c r="D334" s="2021"/>
      <c r="E334" s="2021"/>
      <c r="F334" s="2021"/>
    </row>
    <row r="335" spans="1:9">
      <c r="D335" s="2021"/>
      <c r="E335" s="2021"/>
      <c r="F335" s="2021"/>
    </row>
    <row r="336" spans="1:9">
      <c r="D336" s="2021"/>
      <c r="E336" s="2021"/>
      <c r="F336" s="2021"/>
    </row>
    <row r="337" spans="1:9">
      <c r="D337" s="2021"/>
      <c r="E337" s="2021"/>
      <c r="F337" s="2021"/>
    </row>
    <row r="338" spans="1:9">
      <c r="D338" s="2021"/>
      <c r="E338" s="2021"/>
      <c r="F338" s="2021"/>
    </row>
    <row r="339" spans="1:9">
      <c r="D339" s="2021"/>
      <c r="E339" s="2021"/>
      <c r="F339" s="2021"/>
    </row>
    <row r="340" spans="1:9">
      <c r="D340" s="2021"/>
      <c r="E340" s="2021"/>
      <c r="F340" s="2021"/>
    </row>
    <row r="341" spans="1:9">
      <c r="D341" s="792"/>
      <c r="E341" s="792"/>
      <c r="F341" s="792"/>
    </row>
    <row r="342" spans="1:9" ht="14.25" customHeight="1">
      <c r="A342" s="789"/>
      <c r="B342" s="790" t="s">
        <v>2758</v>
      </c>
      <c r="D342" s="1943" t="s">
        <v>2352</v>
      </c>
      <c r="E342" s="1943"/>
      <c r="F342" s="1943"/>
      <c r="I342" s="1618" t="s">
        <v>2259</v>
      </c>
    </row>
    <row r="343" spans="1:9">
      <c r="D343" s="1943"/>
      <c r="E343" s="1943"/>
      <c r="F343" s="1943"/>
      <c r="G343" s="782"/>
    </row>
    <row r="344" spans="1:9">
      <c r="D344" s="1943"/>
      <c r="E344" s="1943"/>
      <c r="F344" s="1943"/>
      <c r="G344" s="782"/>
    </row>
    <row r="345" spans="1:9">
      <c r="D345" s="1943"/>
      <c r="E345" s="1943"/>
      <c r="F345" s="1943"/>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2" t="s">
        <v>1038</v>
      </c>
      <c r="E349" s="2022"/>
      <c r="F349" s="2022"/>
      <c r="G349" s="1690"/>
      <c r="H349" s="1690"/>
      <c r="I349" s="1691"/>
    </row>
    <row r="350" spans="1:9" ht="13.5" thickTop="1">
      <c r="D350" s="2043" t="s">
        <v>1280</v>
      </c>
      <c r="E350" s="2043"/>
      <c r="F350" s="2043"/>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1619" t="s">
        <v>2758</v>
      </c>
      <c r="C353" s="821"/>
      <c r="D353" s="1945" t="s">
        <v>2350</v>
      </c>
      <c r="E353" s="1945"/>
      <c r="F353" s="1945"/>
      <c r="I353" s="2048" t="s">
        <v>2273</v>
      </c>
    </row>
    <row r="354" spans="1:9" ht="12.75" customHeight="1">
      <c r="D354" s="1749"/>
      <c r="E354" s="1575" t="s">
        <v>2349</v>
      </c>
      <c r="F354" s="1749"/>
      <c r="I354" s="2049"/>
    </row>
    <row r="355" spans="1:9">
      <c r="D355" s="2021" t="s">
        <v>1408</v>
      </c>
      <c r="E355" s="2021"/>
      <c r="F355" s="2021"/>
      <c r="I355" s="2049"/>
    </row>
    <row r="356" spans="1:9">
      <c r="D356" s="2021"/>
      <c r="E356" s="2021"/>
      <c r="F356" s="2021"/>
      <c r="I356" s="2049"/>
    </row>
    <row r="357" spans="1:9">
      <c r="D357" s="2021"/>
      <c r="E357" s="2021"/>
      <c r="F357" s="2021"/>
      <c r="I357" s="2050"/>
    </row>
    <row r="358" spans="1:9" ht="14.25">
      <c r="A358" s="789"/>
      <c r="B358" s="1619" t="s">
        <v>2758</v>
      </c>
      <c r="C358" s="806"/>
      <c r="D358" s="1939" t="s">
        <v>2528</v>
      </c>
      <c r="E358" s="1939"/>
      <c r="F358" s="1939"/>
      <c r="G358" s="782"/>
      <c r="I358" s="612"/>
    </row>
    <row r="359" spans="1:9">
      <c r="A359" s="806"/>
      <c r="B359" s="806"/>
      <c r="C359" s="806"/>
      <c r="D359" s="778"/>
      <c r="E359" s="778"/>
      <c r="F359" s="792"/>
      <c r="G359" s="782"/>
    </row>
    <row r="360" spans="1:9">
      <c r="A360" s="806"/>
      <c r="B360" s="1619" t="s">
        <v>2758</v>
      </c>
      <c r="C360" s="806"/>
      <c r="D360" s="1934" t="s">
        <v>2529</v>
      </c>
      <c r="E360" s="1934"/>
      <c r="F360" s="1934"/>
      <c r="G360" s="782"/>
    </row>
    <row r="361" spans="1:9">
      <c r="A361" s="806"/>
      <c r="B361" s="806"/>
      <c r="C361" s="806"/>
      <c r="D361" s="1934"/>
      <c r="E361" s="1934"/>
      <c r="F361" s="1934"/>
      <c r="G361" s="782"/>
    </row>
    <row r="362" spans="1:9">
      <c r="A362" s="806"/>
      <c r="B362" s="806"/>
      <c r="C362" s="806"/>
      <c r="D362" s="1934"/>
      <c r="E362" s="1934"/>
      <c r="F362" s="1934"/>
      <c r="G362" s="782"/>
    </row>
    <row r="363" spans="1:9">
      <c r="A363" s="806"/>
      <c r="B363" s="806"/>
      <c r="C363" s="806"/>
      <c r="D363" s="1934"/>
      <c r="E363" s="1934"/>
      <c r="F363" s="1934"/>
      <c r="G363" s="782"/>
    </row>
    <row r="364" spans="1:9">
      <c r="A364" s="806"/>
      <c r="B364" s="806"/>
      <c r="C364" s="806"/>
      <c r="D364" s="1934"/>
      <c r="E364" s="1934"/>
      <c r="F364" s="1934"/>
      <c r="G364" s="782"/>
    </row>
    <row r="365" spans="1:9">
      <c r="A365" s="806"/>
      <c r="B365" s="806"/>
      <c r="C365" s="806"/>
      <c r="D365" s="1934"/>
      <c r="E365" s="1934"/>
      <c r="F365" s="1934"/>
      <c r="G365" s="782"/>
    </row>
    <row r="366" spans="1:9">
      <c r="A366" s="806"/>
      <c r="B366" s="806"/>
      <c r="C366" s="806"/>
      <c r="D366" s="1934"/>
      <c r="E366" s="1934"/>
      <c r="F366" s="1934"/>
      <c r="G366" s="782"/>
    </row>
    <row r="367" spans="1:9">
      <c r="A367" s="806"/>
      <c r="B367" s="806"/>
      <c r="C367" s="806"/>
      <c r="D367" s="1934"/>
      <c r="E367" s="1934"/>
      <c r="F367" s="1934"/>
      <c r="G367" s="782"/>
    </row>
    <row r="368" spans="1:9">
      <c r="A368" s="806"/>
      <c r="B368" s="806"/>
      <c r="C368" s="806"/>
      <c r="D368" s="1934"/>
      <c r="E368" s="1934"/>
      <c r="F368" s="1934"/>
      <c r="G368" s="782"/>
    </row>
    <row r="369" spans="1:9">
      <c r="A369" s="806"/>
      <c r="B369" s="806"/>
      <c r="C369" s="806"/>
      <c r="D369" s="1934"/>
      <c r="E369" s="1934"/>
      <c r="F369" s="1934"/>
      <c r="G369" s="782"/>
    </row>
    <row r="370" spans="1:9">
      <c r="A370" s="806"/>
      <c r="B370" s="806"/>
      <c r="C370" s="806"/>
      <c r="D370" s="1934"/>
      <c r="E370" s="1934"/>
      <c r="F370" s="1934"/>
      <c r="G370" s="782"/>
    </row>
    <row r="371" spans="1:9">
      <c r="A371" s="806"/>
      <c r="B371" s="806"/>
      <c r="C371" s="806"/>
      <c r="D371" s="1934"/>
      <c r="E371" s="1934"/>
      <c r="F371" s="1934"/>
      <c r="G371" s="782"/>
    </row>
    <row r="372" spans="1:9" s="1616" customFormat="1">
      <c r="A372" s="1621"/>
      <c r="B372" s="1621"/>
      <c r="C372" s="1621"/>
      <c r="D372" s="1623"/>
      <c r="E372" s="1623"/>
      <c r="F372" s="1623"/>
      <c r="I372" s="1618"/>
    </row>
    <row r="373" spans="1:9" ht="12.4" customHeight="1">
      <c r="A373" s="806"/>
      <c r="B373" s="1619" t="s">
        <v>2758</v>
      </c>
      <c r="C373" s="806"/>
      <c r="D373" s="2051" t="s">
        <v>1388</v>
      </c>
      <c r="E373" s="2051"/>
      <c r="F373" s="2051"/>
      <c r="G373" s="782"/>
    </row>
    <row r="374" spans="1:9">
      <c r="A374" s="806"/>
      <c r="B374" s="806"/>
      <c r="C374" s="806"/>
      <c r="D374" s="2051"/>
      <c r="E374" s="2051"/>
      <c r="F374" s="2051"/>
      <c r="G374" s="782"/>
    </row>
    <row r="375" spans="1:9">
      <c r="A375" s="806"/>
      <c r="B375" s="806"/>
      <c r="C375" s="806"/>
      <c r="D375" s="2051"/>
      <c r="E375" s="2051"/>
      <c r="F375" s="2051"/>
      <c r="G375" s="782"/>
    </row>
    <row r="376" spans="1:9">
      <c r="A376" s="806"/>
      <c r="B376" s="806"/>
      <c r="C376" s="806"/>
      <c r="D376" s="2051"/>
      <c r="E376" s="2051"/>
      <c r="F376" s="2051"/>
      <c r="G376" s="782"/>
    </row>
    <row r="377" spans="1:9" s="1616" customFormat="1">
      <c r="A377" s="1621"/>
      <c r="B377" s="1621"/>
      <c r="C377" s="1621"/>
      <c r="D377" s="1622"/>
      <c r="E377" s="1622"/>
      <c r="F377" s="1622"/>
      <c r="I377" s="1618"/>
    </row>
    <row r="378" spans="1:9" s="1616" customFormat="1">
      <c r="A378" s="1621"/>
      <c r="B378" s="1619" t="s">
        <v>2758</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1619" t="s">
        <v>2758</v>
      </c>
      <c r="C385" s="806"/>
      <c r="D385" s="1932" t="s">
        <v>1283</v>
      </c>
      <c r="E385" s="1932"/>
      <c r="F385" s="1932"/>
      <c r="G385" s="782"/>
    </row>
    <row r="386" spans="1:7">
      <c r="A386" s="806"/>
      <c r="B386" s="806"/>
      <c r="C386" s="806"/>
      <c r="D386" s="1932"/>
      <c r="E386" s="1932"/>
      <c r="F386" s="1932"/>
      <c r="G386" s="782"/>
    </row>
    <row r="387" spans="1:7">
      <c r="A387" s="806"/>
      <c r="B387" s="806"/>
      <c r="C387" s="806"/>
      <c r="D387" s="1932"/>
      <c r="E387" s="1932"/>
      <c r="F387" s="1932"/>
      <c r="G387" s="782"/>
    </row>
    <row r="388" spans="1:7">
      <c r="A388" s="806"/>
      <c r="B388" s="806"/>
      <c r="C388" s="806"/>
      <c r="D388" s="1932"/>
      <c r="E388" s="1932"/>
      <c r="F388" s="1932"/>
      <c r="G388" s="782"/>
    </row>
    <row r="389" spans="1:7">
      <c r="A389" s="806"/>
      <c r="B389" s="806"/>
      <c r="C389" s="806"/>
      <c r="D389" s="818"/>
      <c r="E389" s="778"/>
      <c r="F389" s="792"/>
      <c r="G389" s="782"/>
    </row>
    <row r="390" spans="1:7">
      <c r="A390" s="806"/>
      <c r="B390" s="806"/>
      <c r="C390" s="806"/>
      <c r="D390" s="1932" t="s">
        <v>1284</v>
      </c>
      <c r="E390" s="1932"/>
      <c r="F390" s="1932"/>
      <c r="G390" s="782"/>
    </row>
    <row r="391" spans="1:7">
      <c r="A391" s="806"/>
      <c r="B391" s="806"/>
      <c r="C391" s="806"/>
      <c r="D391" s="1932"/>
      <c r="E391" s="1932"/>
      <c r="F391" s="1932"/>
      <c r="G391" s="782"/>
    </row>
    <row r="392" spans="1:7">
      <c r="A392" s="806"/>
      <c r="B392" s="806"/>
      <c r="C392" s="806"/>
      <c r="D392" s="1932"/>
      <c r="E392" s="1932"/>
      <c r="F392" s="1932"/>
      <c r="G392" s="782"/>
    </row>
    <row r="393" spans="1:7">
      <c r="A393" s="806"/>
      <c r="B393" s="806"/>
      <c r="C393" s="806"/>
      <c r="D393" s="1932"/>
      <c r="E393" s="1932"/>
      <c r="F393" s="1932"/>
      <c r="G393" s="782"/>
    </row>
    <row r="394" spans="1:7" ht="18" customHeight="1">
      <c r="A394" s="806"/>
      <c r="B394" s="806"/>
      <c r="C394" s="806"/>
      <c r="D394" s="1932"/>
      <c r="E394" s="1932"/>
      <c r="F394" s="1932"/>
      <c r="G394" s="782"/>
    </row>
    <row r="395" spans="1:7">
      <c r="A395" s="806"/>
      <c r="B395" s="806"/>
      <c r="C395" s="806"/>
      <c r="D395" s="1932"/>
      <c r="E395" s="1932"/>
      <c r="F395" s="1932"/>
      <c r="G395" s="782"/>
    </row>
    <row r="396" spans="1:7">
      <c r="A396" s="806"/>
      <c r="B396" s="806"/>
      <c r="C396" s="806"/>
      <c r="D396" s="1932"/>
      <c r="E396" s="1932"/>
      <c r="F396" s="1932"/>
      <c r="G396" s="782"/>
    </row>
    <row r="397" spans="1:7">
      <c r="A397" s="806"/>
      <c r="B397" s="806"/>
      <c r="C397" s="806"/>
      <c r="D397" s="1932"/>
      <c r="E397" s="1932"/>
      <c r="F397" s="1932"/>
      <c r="G397" s="782"/>
    </row>
    <row r="398" spans="1:7" ht="8.25" customHeight="1">
      <c r="A398" s="806"/>
      <c r="B398" s="806"/>
      <c r="C398" s="806"/>
      <c r="D398" s="1932"/>
      <c r="E398" s="1932"/>
      <c r="F398" s="1932"/>
      <c r="G398" s="782"/>
    </row>
    <row r="399" spans="1:7" ht="13.7" customHeight="1">
      <c r="A399" s="806"/>
      <c r="B399" s="806"/>
      <c r="C399" s="806"/>
      <c r="D399" s="1933" t="s">
        <v>1285</v>
      </c>
      <c r="E399" s="1933"/>
      <c r="F399" s="1933"/>
      <c r="G399" s="782"/>
    </row>
    <row r="400" spans="1:7">
      <c r="A400" s="806"/>
      <c r="B400" s="806"/>
      <c r="C400" s="806"/>
      <c r="D400" s="1933"/>
      <c r="E400" s="1933"/>
      <c r="F400" s="1933"/>
      <c r="G400" s="782"/>
    </row>
    <row r="401" spans="1:7">
      <c r="A401" s="806"/>
      <c r="B401" s="806"/>
      <c r="C401" s="806"/>
      <c r="D401" s="1933"/>
      <c r="E401" s="1933"/>
      <c r="F401" s="1933"/>
      <c r="G401" s="782"/>
    </row>
    <row r="402" spans="1:7">
      <c r="A402" s="806"/>
      <c r="B402" s="806"/>
      <c r="C402" s="806"/>
      <c r="D402" s="1933"/>
      <c r="E402" s="1933"/>
      <c r="F402" s="1933"/>
      <c r="G402" s="782"/>
    </row>
    <row r="403" spans="1:7">
      <c r="A403" s="806"/>
      <c r="B403" s="806"/>
      <c r="C403" s="806"/>
      <c r="D403" s="1933"/>
      <c r="E403" s="1933"/>
      <c r="F403" s="1933"/>
      <c r="G403" s="782"/>
    </row>
    <row r="404" spans="1:7">
      <c r="A404" s="806"/>
      <c r="B404" s="806"/>
      <c r="C404" s="806"/>
      <c r="D404" s="1933"/>
      <c r="E404" s="1933"/>
      <c r="F404" s="1933"/>
      <c r="G404" s="782"/>
    </row>
    <row r="405" spans="1:7">
      <c r="A405" s="806"/>
      <c r="B405" s="806"/>
      <c r="C405" s="806"/>
      <c r="D405" s="1933"/>
      <c r="E405" s="1933"/>
      <c r="F405" s="1933"/>
      <c r="G405" s="782"/>
    </row>
    <row r="406" spans="1:7">
      <c r="A406" s="806"/>
      <c r="B406" s="806"/>
      <c r="C406" s="806"/>
      <c r="D406" s="1933"/>
      <c r="E406" s="1933"/>
      <c r="F406" s="1933"/>
      <c r="G406" s="782"/>
    </row>
    <row r="407" spans="1:7">
      <c r="A407" s="806"/>
      <c r="B407" s="806"/>
      <c r="C407" s="806"/>
      <c r="D407" s="1933"/>
      <c r="E407" s="1933"/>
      <c r="F407" s="1933"/>
      <c r="G407" s="782"/>
    </row>
    <row r="408" spans="1:7">
      <c r="A408" s="806"/>
      <c r="B408" s="806"/>
      <c r="C408" s="806"/>
      <c r="D408" s="1933"/>
      <c r="E408" s="1933"/>
      <c r="F408" s="1933"/>
      <c r="G408" s="782"/>
    </row>
    <row r="409" spans="1:7">
      <c r="A409" s="806"/>
      <c r="B409" s="806"/>
      <c r="C409" s="806"/>
      <c r="D409" s="1933"/>
      <c r="E409" s="1933"/>
      <c r="F409" s="1933"/>
      <c r="G409" s="782"/>
    </row>
    <row r="410" spans="1:7">
      <c r="A410" s="806"/>
      <c r="B410" s="806"/>
      <c r="C410" s="806"/>
      <c r="D410" s="1933"/>
      <c r="E410" s="1933"/>
      <c r="F410" s="1933"/>
      <c r="G410" s="782"/>
    </row>
    <row r="411" spans="1:7">
      <c r="A411" s="806"/>
      <c r="B411" s="806"/>
      <c r="C411" s="819"/>
      <c r="D411" s="1933"/>
      <c r="E411" s="1933"/>
      <c r="F411" s="1933"/>
      <c r="G411" s="782"/>
    </row>
    <row r="412" spans="1:7">
      <c r="A412" s="806"/>
      <c r="B412" s="806"/>
      <c r="C412" s="819"/>
      <c r="D412" s="1933"/>
      <c r="E412" s="1933"/>
      <c r="F412" s="1933"/>
      <c r="G412" s="782"/>
    </row>
    <row r="413" spans="1:7">
      <c r="A413" s="806"/>
      <c r="B413" s="806"/>
      <c r="C413" s="806"/>
      <c r="D413" s="1933"/>
      <c r="E413" s="1933"/>
      <c r="F413" s="1933"/>
      <c r="G413" s="782"/>
    </row>
    <row r="414" spans="1:7">
      <c r="A414" s="806"/>
      <c r="B414" s="806"/>
      <c r="C414" s="819"/>
      <c r="D414" s="1933"/>
      <c r="E414" s="1933"/>
      <c r="F414" s="1933"/>
      <c r="G414" s="782"/>
    </row>
    <row r="415" spans="1:7">
      <c r="A415" s="806"/>
      <c r="B415" s="806"/>
      <c r="C415" s="819"/>
      <c r="D415" s="1933"/>
      <c r="E415" s="1933"/>
      <c r="F415" s="1933"/>
      <c r="G415" s="782"/>
    </row>
    <row r="416" spans="1:7">
      <c r="A416" s="806"/>
      <c r="B416" s="806"/>
      <c r="C416" s="819"/>
      <c r="D416" s="1933"/>
      <c r="E416" s="1933"/>
      <c r="F416" s="1933"/>
      <c r="G416" s="782"/>
    </row>
    <row r="417" spans="1:7">
      <c r="A417" s="806"/>
      <c r="B417" s="806"/>
      <c r="C417" s="806"/>
      <c r="D417" s="818"/>
      <c r="E417" s="778"/>
      <c r="F417" s="792"/>
      <c r="G417" s="782"/>
    </row>
    <row r="418" spans="1:7">
      <c r="A418" s="806"/>
      <c r="B418" s="1619" t="s">
        <v>2758</v>
      </c>
      <c r="C418" s="806"/>
      <c r="D418" s="1933" t="s">
        <v>1286</v>
      </c>
      <c r="E418" s="1933"/>
      <c r="F418" s="1933"/>
      <c r="G418" s="782"/>
    </row>
    <row r="419" spans="1:7">
      <c r="A419" s="806"/>
      <c r="B419" s="806"/>
      <c r="C419" s="806"/>
      <c r="D419" s="1933"/>
      <c r="E419" s="1933"/>
      <c r="F419" s="1933"/>
      <c r="G419" s="782"/>
    </row>
    <row r="420" spans="1:7">
      <c r="A420" s="806"/>
      <c r="B420" s="806"/>
      <c r="C420" s="806"/>
      <c r="D420" s="895"/>
      <c r="E420" s="895"/>
      <c r="F420" s="895"/>
      <c r="G420" s="782"/>
    </row>
    <row r="421" spans="1:7" ht="14.45" customHeight="1">
      <c r="A421" s="789"/>
      <c r="B421" s="1619" t="s">
        <v>2758</v>
      </c>
      <c r="D421" s="1933" t="s">
        <v>2260</v>
      </c>
      <c r="E421" s="1933"/>
      <c r="F421" s="1933"/>
    </row>
    <row r="422" spans="1:7" ht="14.45" customHeight="1">
      <c r="A422" s="789"/>
      <c r="D422" s="1933"/>
      <c r="E422" s="1933"/>
      <c r="F422" s="1933"/>
    </row>
    <row r="423" spans="1:7" ht="14.45" customHeight="1">
      <c r="A423" s="789"/>
      <c r="D423" s="1933"/>
      <c r="E423" s="1933"/>
      <c r="F423" s="1933"/>
    </row>
    <row r="424" spans="1:7" ht="14.45" customHeight="1">
      <c r="A424" s="789"/>
      <c r="D424" s="1933"/>
      <c r="E424" s="1933"/>
      <c r="F424" s="1933"/>
    </row>
    <row r="425" spans="1:7" ht="14.45" customHeight="1">
      <c r="A425" s="789"/>
      <c r="D425" s="1933"/>
      <c r="E425" s="1933"/>
      <c r="F425" s="1933"/>
    </row>
    <row r="426" spans="1:7" ht="14.45" customHeight="1">
      <c r="A426" s="789"/>
      <c r="D426" s="870"/>
      <c r="E426" s="870"/>
      <c r="F426" s="870"/>
    </row>
    <row r="427" spans="1:7" ht="13.7" customHeight="1">
      <c r="A427" s="789"/>
      <c r="B427" s="1619" t="s">
        <v>2758</v>
      </c>
      <c r="C427" s="806"/>
      <c r="D427" s="1934" t="s">
        <v>1410</v>
      </c>
      <c r="E427" s="1934"/>
      <c r="F427" s="1934"/>
      <c r="G427" s="782"/>
    </row>
    <row r="428" spans="1:7" ht="14.25">
      <c r="A428" s="820"/>
      <c r="B428" s="820"/>
      <c r="C428" s="806"/>
      <c r="D428" s="1934"/>
      <c r="E428" s="1934"/>
      <c r="F428" s="1934"/>
      <c r="G428" s="782"/>
    </row>
    <row r="429" spans="1:7" ht="14.25">
      <c r="A429" s="820"/>
      <c r="B429" s="820"/>
      <c r="C429" s="806"/>
      <c r="D429" s="1934"/>
      <c r="E429" s="1934"/>
      <c r="F429" s="1934"/>
      <c r="G429" s="782"/>
    </row>
    <row r="430" spans="1:7" ht="14.25">
      <c r="A430" s="820"/>
      <c r="B430" s="820"/>
      <c r="C430" s="806"/>
      <c r="D430" s="1934"/>
      <c r="E430" s="1934"/>
      <c r="F430" s="1934"/>
      <c r="G430" s="782"/>
    </row>
    <row r="431" spans="1:7" ht="15.75" customHeight="1">
      <c r="A431" s="820"/>
      <c r="B431" s="820"/>
      <c r="C431" s="806"/>
      <c r="D431" s="2044" t="s">
        <v>2548</v>
      </c>
      <c r="E431" s="1934"/>
      <c r="F431" s="1934"/>
      <c r="G431" s="782"/>
    </row>
    <row r="432" spans="1:7">
      <c r="D432" s="792"/>
      <c r="E432" s="792"/>
      <c r="F432" s="792"/>
      <c r="G432" s="782"/>
    </row>
    <row r="433" spans="1:7" ht="14.25">
      <c r="A433" s="789"/>
      <c r="B433" s="1619" t="s">
        <v>2758</v>
      </c>
      <c r="C433" s="821"/>
      <c r="D433" s="1943" t="s">
        <v>2530</v>
      </c>
      <c r="E433" s="1943"/>
      <c r="F433" s="1943"/>
      <c r="G433" s="782"/>
    </row>
    <row r="434" spans="1:7" ht="14.25">
      <c r="A434" s="789"/>
      <c r="B434" s="789"/>
      <c r="D434" s="1943"/>
      <c r="E434" s="1943"/>
      <c r="F434" s="1943"/>
      <c r="G434" s="782"/>
    </row>
    <row r="435" spans="1:7">
      <c r="D435" s="1943"/>
      <c r="E435" s="1943"/>
      <c r="F435" s="1943"/>
      <c r="G435" s="782"/>
    </row>
    <row r="436" spans="1:7">
      <c r="D436" s="1943"/>
      <c r="E436" s="1943"/>
      <c r="F436" s="1943"/>
      <c r="G436" s="782"/>
    </row>
    <row r="437" spans="1:7">
      <c r="D437" s="1943"/>
      <c r="E437" s="1943"/>
      <c r="F437" s="1943"/>
      <c r="G437" s="782"/>
    </row>
    <row r="438" spans="1:7">
      <c r="D438" s="1943"/>
      <c r="E438" s="1943"/>
      <c r="F438" s="1943"/>
      <c r="G438" s="782"/>
    </row>
    <row r="439" spans="1:7">
      <c r="D439" s="1943"/>
      <c r="E439" s="1943"/>
      <c r="F439" s="1943"/>
      <c r="G439" s="782"/>
    </row>
    <row r="440" spans="1:7">
      <c r="D440" s="1943"/>
      <c r="E440" s="1943"/>
      <c r="F440" s="1943"/>
      <c r="G440" s="782"/>
    </row>
    <row r="441" spans="1:7">
      <c r="D441" s="1943"/>
      <c r="E441" s="1943"/>
      <c r="F441" s="1943"/>
      <c r="G441" s="782"/>
    </row>
    <row r="442" spans="1:7">
      <c r="D442" s="1943"/>
      <c r="E442" s="1943"/>
      <c r="F442" s="1943"/>
      <c r="G442" s="782"/>
    </row>
    <row r="443" spans="1:7">
      <c r="D443" s="1943"/>
      <c r="E443" s="1943"/>
      <c r="F443" s="1943"/>
      <c r="G443" s="782"/>
    </row>
    <row r="444" spans="1:7">
      <c r="D444" s="1943"/>
      <c r="E444" s="1943"/>
      <c r="F444" s="1943"/>
      <c r="G444" s="782"/>
    </row>
    <row r="445" spans="1:7">
      <c r="D445" s="1943"/>
      <c r="E445" s="1943"/>
      <c r="F445" s="1943"/>
      <c r="G445" s="782"/>
    </row>
    <row r="446" spans="1:7">
      <c r="A446" s="782"/>
      <c r="B446" s="782"/>
      <c r="C446" s="782"/>
      <c r="D446" s="1943"/>
      <c r="E446" s="1943"/>
      <c r="F446" s="1943"/>
      <c r="G446" s="782"/>
    </row>
    <row r="447" spans="1:7">
      <c r="A447" s="782"/>
      <c r="B447" s="782"/>
      <c r="C447" s="782"/>
      <c r="D447" s="1943"/>
      <c r="E447" s="1943"/>
      <c r="F447" s="1943"/>
      <c r="G447" s="782"/>
    </row>
    <row r="448" spans="1:7">
      <c r="A448" s="782"/>
      <c r="B448" s="782"/>
      <c r="C448" s="782"/>
      <c r="D448" s="1943"/>
      <c r="E448" s="1943"/>
      <c r="F448" s="1943"/>
      <c r="G448" s="782"/>
    </row>
    <row r="449" spans="1:9">
      <c r="A449" s="782"/>
      <c r="B449" s="782"/>
      <c r="C449" s="782"/>
      <c r="D449" s="1943"/>
      <c r="E449" s="1943"/>
      <c r="F449" s="1943"/>
      <c r="G449" s="782"/>
    </row>
    <row r="450" spans="1:9">
      <c r="A450" s="782"/>
      <c r="B450" s="782"/>
      <c r="C450" s="782"/>
      <c r="D450" s="1943"/>
      <c r="E450" s="1943"/>
      <c r="F450" s="1943"/>
      <c r="G450" s="782"/>
    </row>
    <row r="451" spans="1:9">
      <c r="A451" s="782"/>
      <c r="B451" s="782"/>
      <c r="C451" s="782"/>
      <c r="D451" s="1943"/>
      <c r="E451" s="1943"/>
      <c r="F451" s="1943"/>
      <c r="G451" s="782"/>
    </row>
    <row r="452" spans="1:9">
      <c r="A452" s="782"/>
      <c r="B452" s="782"/>
      <c r="C452" s="782"/>
      <c r="D452" s="1943"/>
      <c r="E452" s="1943"/>
      <c r="F452" s="1943"/>
      <c r="G452" s="782"/>
    </row>
    <row r="453" spans="1:9">
      <c r="A453" s="782"/>
      <c r="B453" s="782"/>
      <c r="C453" s="782"/>
      <c r="D453" s="1943"/>
      <c r="E453" s="1943"/>
      <c r="F453" s="1943"/>
      <c r="G453" s="782"/>
    </row>
    <row r="454" spans="1:9">
      <c r="A454" s="782"/>
      <c r="B454" s="782"/>
      <c r="C454" s="782"/>
      <c r="D454" s="1943"/>
      <c r="E454" s="1943"/>
      <c r="F454" s="1943"/>
      <c r="G454" s="782"/>
    </row>
    <row r="455" spans="1:9">
      <c r="A455" s="782"/>
      <c r="B455" s="782"/>
      <c r="C455" s="782"/>
      <c r="D455" s="1943"/>
      <c r="E455" s="1943"/>
      <c r="F455" s="1943"/>
      <c r="G455" s="782"/>
    </row>
    <row r="456" spans="1:9">
      <c r="A456" s="782"/>
      <c r="B456" s="782"/>
      <c r="C456" s="782"/>
      <c r="D456" s="1943"/>
      <c r="E456" s="1943"/>
      <c r="F456" s="1943"/>
      <c r="G456" s="782"/>
    </row>
    <row r="457" spans="1:9">
      <c r="A457" s="782"/>
      <c r="B457" s="782"/>
      <c r="C457" s="782"/>
      <c r="D457" s="1943"/>
      <c r="E457" s="1943"/>
      <c r="F457" s="1943"/>
      <c r="G457" s="782"/>
    </row>
    <row r="458" spans="1:9">
      <c r="A458" s="782"/>
      <c r="B458" s="782"/>
      <c r="C458" s="782"/>
      <c r="D458" s="1943"/>
      <c r="E458" s="1943"/>
      <c r="F458" s="1943"/>
      <c r="G458" s="782"/>
    </row>
    <row r="459" spans="1:9">
      <c r="A459" s="782"/>
      <c r="B459" s="782"/>
      <c r="C459" s="782"/>
      <c r="D459" s="1943"/>
      <c r="E459" s="1943"/>
      <c r="F459" s="1943"/>
      <c r="G459" s="782"/>
    </row>
    <row r="460" spans="1:9">
      <c r="A460" s="782"/>
      <c r="B460" s="782"/>
      <c r="C460" s="782"/>
      <c r="D460" s="1943"/>
      <c r="E460" s="1943"/>
      <c r="F460" s="1943"/>
      <c r="G460" s="782"/>
    </row>
    <row r="461" spans="1:9">
      <c r="A461" s="782"/>
      <c r="B461" s="782"/>
      <c r="C461" s="782"/>
      <c r="D461" s="1943"/>
      <c r="E461" s="1943"/>
      <c r="F461" s="1943"/>
      <c r="G461" s="782"/>
    </row>
    <row r="462" spans="1:9" s="823" customFormat="1">
      <c r="A462" s="780"/>
      <c r="B462" s="780"/>
      <c r="C462" s="780"/>
      <c r="D462" s="1943"/>
      <c r="E462" s="1943"/>
      <c r="F462" s="1943"/>
      <c r="G462" s="822"/>
      <c r="I462" s="1679"/>
    </row>
    <row r="463" spans="1:9" s="823" customFormat="1" ht="40.700000000000003" customHeight="1">
      <c r="A463" s="780"/>
      <c r="B463" s="780"/>
      <c r="C463" s="780"/>
      <c r="D463" s="1943"/>
      <c r="E463" s="1943"/>
      <c r="F463" s="1943"/>
      <c r="G463" s="822"/>
      <c r="I463" s="1679"/>
    </row>
    <row r="464" spans="1:9">
      <c r="D464" s="792"/>
      <c r="E464" s="792"/>
      <c r="F464" s="792"/>
      <c r="G464" s="782"/>
    </row>
    <row r="465" spans="1:7" ht="14.25">
      <c r="A465" s="789"/>
      <c r="B465" s="1619" t="s">
        <v>2758</v>
      </c>
      <c r="C465" s="821"/>
      <c r="D465" s="1943" t="s">
        <v>1291</v>
      </c>
      <c r="E465" s="1943"/>
      <c r="F465" s="1943"/>
      <c r="G465" s="782"/>
    </row>
    <row r="466" spans="1:7">
      <c r="D466" s="1943"/>
      <c r="E466" s="1943"/>
      <c r="F466" s="1943"/>
      <c r="G466" s="782"/>
    </row>
    <row r="467" spans="1:7">
      <c r="D467" s="1943"/>
      <c r="E467" s="1943"/>
      <c r="F467" s="1943"/>
      <c r="G467" s="782"/>
    </row>
    <row r="468" spans="1:7">
      <c r="D468" s="776"/>
      <c r="E468" s="776"/>
      <c r="F468" s="776"/>
      <c r="G468" s="782"/>
    </row>
    <row r="469" spans="1:7" ht="14.25">
      <c r="B469" s="1619" t="s">
        <v>2758</v>
      </c>
      <c r="C469" s="789"/>
      <c r="D469" s="2021" t="s">
        <v>1361</v>
      </c>
      <c r="E469" s="2021"/>
      <c r="F469" s="2021"/>
      <c r="G469" s="782"/>
    </row>
    <row r="470" spans="1:7">
      <c r="D470" s="2021"/>
      <c r="E470" s="2021"/>
      <c r="F470" s="2021"/>
      <c r="G470" s="782"/>
    </row>
    <row r="471" spans="1:7">
      <c r="D471" s="792"/>
      <c r="E471" s="792"/>
      <c r="F471" s="792"/>
      <c r="G471" s="782"/>
    </row>
    <row r="472" spans="1:7" ht="14.25">
      <c r="B472" s="1619" t="s">
        <v>2758</v>
      </c>
      <c r="C472" s="789"/>
      <c r="D472" s="2021" t="s">
        <v>1293</v>
      </c>
      <c r="E472" s="2021"/>
      <c r="F472" s="2021"/>
      <c r="G472" s="782"/>
    </row>
    <row r="473" spans="1:7">
      <c r="D473" s="2021"/>
      <c r="E473" s="2021"/>
      <c r="F473" s="2021"/>
      <c r="G473" s="782"/>
    </row>
    <row r="474" spans="1:7">
      <c r="D474" s="2021"/>
      <c r="E474" s="2021"/>
      <c r="F474" s="2021"/>
      <c r="G474" s="782"/>
    </row>
    <row r="475" spans="1:7">
      <c r="D475" s="2021"/>
      <c r="E475" s="2021"/>
      <c r="F475" s="2021"/>
      <c r="G475" s="782"/>
    </row>
    <row r="476" spans="1:7">
      <c r="B476" s="1619" t="s">
        <v>2758</v>
      </c>
      <c r="D476" s="2021"/>
      <c r="E476" s="2021"/>
      <c r="F476" s="2021"/>
      <c r="G476" s="782"/>
    </row>
    <row r="477" spans="1:7">
      <c r="A477" s="782"/>
      <c r="B477" s="782"/>
      <c r="C477" s="782"/>
      <c r="D477" s="2021"/>
      <c r="E477" s="2021"/>
      <c r="F477" s="2021"/>
      <c r="G477" s="782"/>
    </row>
    <row r="478" spans="1:7">
      <c r="A478" s="782"/>
      <c r="C478" s="782"/>
      <c r="D478" s="2021"/>
      <c r="E478" s="2021"/>
      <c r="F478" s="2021"/>
      <c r="G478" s="782"/>
    </row>
    <row r="479" spans="1:7">
      <c r="A479" s="782"/>
      <c r="B479" s="1619" t="s">
        <v>2758</v>
      </c>
      <c r="C479" s="782"/>
      <c r="D479" s="2021"/>
      <c r="E479" s="2021"/>
      <c r="F479" s="2021"/>
      <c r="G479" s="782"/>
    </row>
    <row r="480" spans="1:7">
      <c r="A480" s="782"/>
      <c r="B480" s="782"/>
      <c r="C480" s="782"/>
      <c r="D480" s="2021"/>
      <c r="E480" s="2021"/>
      <c r="F480" s="2021"/>
      <c r="G480" s="782"/>
    </row>
    <row r="481" spans="1:9">
      <c r="A481" s="782"/>
      <c r="C481" s="782"/>
      <c r="D481" s="2021"/>
      <c r="E481" s="2021"/>
      <c r="F481" s="2021"/>
      <c r="G481" s="782"/>
    </row>
    <row r="482" spans="1:9">
      <c r="A482" s="782"/>
      <c r="C482" s="782"/>
      <c r="D482" s="2021"/>
      <c r="E482" s="2021"/>
      <c r="F482" s="2021"/>
      <c r="G482" s="782"/>
    </row>
    <row r="483" spans="1:9">
      <c r="A483" s="782"/>
      <c r="C483" s="782"/>
      <c r="D483" s="2021"/>
      <c r="E483" s="2021"/>
      <c r="F483" s="2021"/>
      <c r="G483" s="782"/>
    </row>
    <row r="484" spans="1:9">
      <c r="A484" s="782"/>
      <c r="B484" s="1619" t="s">
        <v>2758</v>
      </c>
      <c r="C484" s="782"/>
      <c r="D484" s="2021"/>
      <c r="E484" s="2021"/>
      <c r="F484" s="2021"/>
      <c r="G484" s="782"/>
    </row>
    <row r="485" spans="1:9">
      <c r="A485" s="782"/>
      <c r="C485" s="782"/>
      <c r="D485" s="2021"/>
      <c r="E485" s="2021"/>
      <c r="F485" s="2021"/>
      <c r="G485" s="782"/>
    </row>
    <row r="486" spans="1:9">
      <c r="A486" s="782"/>
      <c r="B486" s="1619" t="s">
        <v>2758</v>
      </c>
      <c r="C486" s="782"/>
      <c r="D486" s="2021" t="s">
        <v>1294</v>
      </c>
      <c r="E486" s="2021"/>
      <c r="F486" s="2021"/>
      <c r="G486" s="782"/>
    </row>
    <row r="487" spans="1:9">
      <c r="A487" s="782"/>
      <c r="B487" s="782"/>
      <c r="C487" s="782"/>
      <c r="D487" s="2021"/>
      <c r="E487" s="2021"/>
      <c r="F487" s="2021"/>
      <c r="G487" s="782"/>
    </row>
    <row r="488" spans="1:9">
      <c r="A488" s="782"/>
      <c r="B488" s="782"/>
      <c r="C488" s="782"/>
      <c r="D488" s="2021"/>
      <c r="E488" s="2021"/>
      <c r="F488" s="2021"/>
      <c r="G488" s="782"/>
    </row>
    <row r="489" spans="1:9">
      <c r="A489" s="782"/>
      <c r="B489" s="782"/>
      <c r="C489" s="782"/>
      <c r="D489" s="2021"/>
      <c r="E489" s="2021"/>
      <c r="F489" s="2021"/>
      <c r="G489" s="782"/>
    </row>
    <row r="490" spans="1:9">
      <c r="D490" s="2021"/>
      <c r="E490" s="2021"/>
      <c r="F490" s="2021"/>
    </row>
    <row r="491" spans="1:9">
      <c r="D491" s="792"/>
      <c r="E491" s="792"/>
      <c r="F491" s="792"/>
    </row>
    <row r="492" spans="1:9">
      <c r="B492" s="1619" t="s">
        <v>2758</v>
      </c>
      <c r="D492" s="2017" t="s">
        <v>1295</v>
      </c>
      <c r="E492" s="2017"/>
      <c r="F492" s="2017"/>
    </row>
    <row r="493" spans="1:9">
      <c r="A493" s="792"/>
      <c r="B493" s="792"/>
    </row>
    <row r="494" spans="1:9">
      <c r="A494" s="1925" t="s">
        <v>1136</v>
      </c>
      <c r="B494" s="1925"/>
      <c r="C494" s="1925"/>
      <c r="D494" s="1925"/>
      <c r="E494" s="1925"/>
      <c r="F494" s="1925"/>
      <c r="G494" s="1925"/>
      <c r="H494" s="1692"/>
      <c r="I494" s="1693"/>
    </row>
    <row r="495" spans="1:9">
      <c r="A495" s="792"/>
      <c r="B495" s="792"/>
    </row>
    <row r="496" spans="1:9">
      <c r="D496" s="1921" t="s">
        <v>931</v>
      </c>
      <c r="E496" s="1921"/>
      <c r="F496" s="1921"/>
    </row>
    <row r="497" spans="1:9" s="783" customFormat="1" ht="14.25">
      <c r="A497" s="797"/>
      <c r="B497" s="797"/>
      <c r="C497" s="793"/>
      <c r="D497" s="1922" t="s">
        <v>1296</v>
      </c>
      <c r="E497" s="1922"/>
      <c r="F497" s="1922"/>
      <c r="G497" s="794"/>
      <c r="I497" s="1676"/>
    </row>
    <row r="498" spans="1:9" s="783" customFormat="1" ht="14.25">
      <c r="A498" s="797"/>
      <c r="B498" s="797"/>
      <c r="C498" s="793"/>
      <c r="D498" s="779"/>
      <c r="E498" s="664"/>
      <c r="F498" s="664"/>
      <c r="G498" s="794"/>
      <c r="I498" s="1676"/>
    </row>
    <row r="499" spans="1:9" s="783" customFormat="1" ht="14.25">
      <c r="A499" s="789"/>
      <c r="B499" s="790" t="s">
        <v>2758</v>
      </c>
      <c r="C499" s="793"/>
      <c r="D499" s="1923" t="s">
        <v>1297</v>
      </c>
      <c r="E499" s="1923"/>
      <c r="F499" s="1923"/>
      <c r="G499" s="794"/>
      <c r="I499" s="1676" t="s">
        <v>2224</v>
      </c>
    </row>
    <row r="500" spans="1:9" s="783" customFormat="1" ht="14.25">
      <c r="A500" s="789"/>
      <c r="B500" s="789"/>
      <c r="C500" s="793"/>
      <c r="D500" s="1923"/>
      <c r="E500" s="1923"/>
      <c r="F500" s="1923"/>
      <c r="G500" s="794"/>
      <c r="I500" s="1676"/>
    </row>
    <row r="501" spans="1:9" s="783" customFormat="1" ht="14.25">
      <c r="A501" s="789"/>
      <c r="B501" s="789"/>
      <c r="C501" s="793"/>
      <c r="D501" s="777"/>
      <c r="E501" s="664"/>
      <c r="F501" s="664"/>
      <c r="G501" s="794"/>
      <c r="I501" s="1676"/>
    </row>
    <row r="502" spans="1:9" ht="12.75" customHeight="1">
      <c r="B502" s="1619" t="s">
        <v>2758</v>
      </c>
      <c r="D502" s="1924" t="s">
        <v>1454</v>
      </c>
      <c r="E502" s="1924"/>
      <c r="F502" s="1924"/>
      <c r="I502" s="1618" t="s">
        <v>2225</v>
      </c>
    </row>
    <row r="503" spans="1:9" ht="14.25">
      <c r="A503" s="789"/>
      <c r="D503" s="1924"/>
      <c r="E503" s="1924"/>
      <c r="F503" s="1924"/>
    </row>
    <row r="504" spans="1:9" ht="14.25">
      <c r="A504" s="789"/>
      <c r="B504" s="789"/>
      <c r="D504" s="1924"/>
      <c r="E504" s="1924"/>
      <c r="F504" s="1924"/>
    </row>
    <row r="505" spans="1:9" ht="14.25">
      <c r="A505" s="789"/>
      <c r="B505" s="789"/>
      <c r="D505" s="1924"/>
      <c r="E505" s="1924"/>
      <c r="F505" s="1924"/>
    </row>
    <row r="506" spans="1:9" ht="14.25">
      <c r="A506" s="789"/>
      <c r="D506" s="885"/>
      <c r="E506" s="885"/>
      <c r="F506" s="885"/>
      <c r="G506" s="782"/>
    </row>
    <row r="507" spans="1:9" ht="14.25">
      <c r="A507" s="789"/>
      <c r="B507" s="1619" t="s">
        <v>2758</v>
      </c>
      <c r="D507" s="1945" t="s">
        <v>1300</v>
      </c>
      <c r="E507" s="1945"/>
      <c r="F507" s="1945"/>
      <c r="G507" s="782"/>
      <c r="I507" s="1618" t="s">
        <v>2226</v>
      </c>
    </row>
    <row r="508" spans="1:9" ht="14.25">
      <c r="A508" s="789"/>
      <c r="B508" s="789"/>
      <c r="D508" s="777"/>
      <c r="E508" s="664"/>
      <c r="F508" s="664"/>
      <c r="G508" s="782"/>
    </row>
    <row r="509" spans="1:9" ht="14.25">
      <c r="A509" s="789"/>
      <c r="B509" s="1619" t="s">
        <v>2758</v>
      </c>
      <c r="D509" s="1943" t="s">
        <v>1301</v>
      </c>
      <c r="E509" s="1943"/>
      <c r="F509" s="1943"/>
      <c r="G509" s="782"/>
      <c r="I509" s="1618" t="s">
        <v>2226</v>
      </c>
    </row>
    <row r="510" spans="1:9" ht="14.25">
      <c r="A510" s="789"/>
      <c r="D510" s="1943"/>
      <c r="E510" s="1943"/>
      <c r="F510" s="1943"/>
      <c r="G510" s="782"/>
    </row>
    <row r="511" spans="1:9">
      <c r="A511" s="808"/>
      <c r="B511" s="808"/>
      <c r="D511" s="725"/>
      <c r="E511" s="664"/>
      <c r="F511" s="664"/>
      <c r="G511" s="782"/>
    </row>
    <row r="512" spans="1:9">
      <c r="A512" s="808"/>
      <c r="B512" s="1619" t="s">
        <v>2758</v>
      </c>
      <c r="D512" s="1945" t="s">
        <v>1302</v>
      </c>
      <c r="E512" s="1945"/>
      <c r="F512" s="1945"/>
      <c r="G512" s="782"/>
      <c r="I512" s="1618" t="s">
        <v>2279</v>
      </c>
    </row>
    <row r="513" spans="1:9" ht="14.25">
      <c r="A513" s="789"/>
      <c r="B513" s="789"/>
      <c r="D513" s="792"/>
    </row>
    <row r="514" spans="1:9">
      <c r="A514" s="1925" t="s">
        <v>1137</v>
      </c>
      <c r="B514" s="1925"/>
      <c r="C514" s="1925"/>
      <c r="D514" s="1925"/>
      <c r="E514" s="1925"/>
      <c r="F514" s="1925"/>
      <c r="G514" s="1925"/>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52" t="s">
        <v>835</v>
      </c>
      <c r="E516" s="2052"/>
      <c r="F516" s="2052"/>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2757</v>
      </c>
      <c r="C520" s="791"/>
      <c r="D520" s="1917" t="s">
        <v>2531</v>
      </c>
      <c r="E520" s="1917"/>
      <c r="F520" s="1917"/>
      <c r="G520" s="664"/>
      <c r="I520" s="615" t="s">
        <v>2261</v>
      </c>
    </row>
    <row r="521" spans="1:9" s="714" customFormat="1">
      <c r="A521" s="787"/>
      <c r="B521" s="787"/>
      <c r="C521" s="791"/>
      <c r="D521" s="1917"/>
      <c r="E521" s="1917"/>
      <c r="F521" s="1917"/>
      <c r="G521" s="664"/>
      <c r="I521" s="615"/>
    </row>
    <row r="522" spans="1:9" s="714" customFormat="1">
      <c r="A522" s="787"/>
      <c r="B522" s="787"/>
      <c r="C522" s="791"/>
      <c r="D522" s="1553"/>
      <c r="E522" s="1553"/>
      <c r="F522" s="1553"/>
      <c r="G522" s="664"/>
    </row>
    <row r="523" spans="1:9" s="714" customFormat="1" ht="12.75" customHeight="1">
      <c r="A523" s="787"/>
      <c r="B523" s="1619" t="s">
        <v>2757</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8" t="s">
        <v>2532</v>
      </c>
      <c r="E525" s="2038"/>
      <c r="F525" s="2038"/>
      <c r="G525" s="664"/>
      <c r="I525" s="615"/>
    </row>
    <row r="526" spans="1:9" s="1613" customFormat="1">
      <c r="A526" s="787"/>
      <c r="B526" s="787"/>
      <c r="C526" s="796"/>
      <c r="D526" s="2038"/>
      <c r="E526" s="2038"/>
      <c r="F526" s="2038"/>
      <c r="G526" s="664"/>
      <c r="I526" s="615"/>
    </row>
    <row r="527" spans="1:9" s="714" customFormat="1">
      <c r="A527" s="787"/>
      <c r="B527" s="787"/>
      <c r="C527" s="791"/>
      <c r="D527" s="2038"/>
      <c r="E527" s="2038"/>
      <c r="F527" s="2038"/>
      <c r="G527" s="664"/>
      <c r="I527" s="615"/>
    </row>
    <row r="528" spans="1:9" s="714" customFormat="1">
      <c r="A528" s="787"/>
      <c r="B528" s="787"/>
      <c r="C528" s="791"/>
      <c r="D528" s="825"/>
      <c r="E528" s="664"/>
      <c r="F528" s="777"/>
      <c r="G528" s="664"/>
      <c r="I528" s="615"/>
    </row>
    <row r="529" spans="1:9" s="714" customFormat="1" ht="13.15" customHeight="1">
      <c r="A529" s="787"/>
      <c r="B529" s="790" t="s">
        <v>2758</v>
      </c>
      <c r="C529" s="791"/>
      <c r="D529" s="2029" t="s">
        <v>2533</v>
      </c>
      <c r="E529" s="2029"/>
      <c r="F529" s="2029"/>
      <c r="G529" s="664"/>
      <c r="I529" s="615" t="s">
        <v>2227</v>
      </c>
    </row>
    <row r="530" spans="1:9" s="714" customFormat="1">
      <c r="A530" s="787"/>
      <c r="B530" s="787"/>
      <c r="C530" s="791"/>
      <c r="D530" s="2029"/>
      <c r="E530" s="2029"/>
      <c r="F530" s="2029"/>
      <c r="G530" s="664"/>
      <c r="I530" s="615"/>
    </row>
    <row r="531" spans="1:9" s="714" customFormat="1" ht="12" customHeight="1">
      <c r="A531" s="792"/>
      <c r="B531" s="792"/>
      <c r="C531" s="800"/>
      <c r="D531" s="792"/>
      <c r="E531" s="664"/>
      <c r="F531" s="827"/>
      <c r="G531" s="664"/>
      <c r="I531" s="615"/>
    </row>
    <row r="532" spans="1:9">
      <c r="A532" s="1925" t="s">
        <v>1138</v>
      </c>
      <c r="B532" s="1925"/>
      <c r="C532" s="1925"/>
      <c r="D532" s="1925"/>
      <c r="E532" s="1925"/>
      <c r="F532" s="1925"/>
      <c r="G532" s="1925"/>
      <c r="H532" s="1692"/>
      <c r="I532" s="1693"/>
    </row>
    <row r="533" spans="1:9">
      <c r="A533" s="792"/>
      <c r="B533" s="792"/>
      <c r="C533" s="821"/>
      <c r="F533" s="828"/>
    </row>
    <row r="534" spans="1:9">
      <c r="B534" s="2014" t="s">
        <v>464</v>
      </c>
      <c r="C534" s="2014"/>
      <c r="D534" s="2014"/>
      <c r="E534" s="2014"/>
      <c r="F534" s="2014"/>
    </row>
    <row r="535" spans="1:9">
      <c r="A535" s="792"/>
      <c r="B535" s="792"/>
      <c r="C535" s="821"/>
      <c r="D535" s="792"/>
      <c r="F535" s="792"/>
    </row>
    <row r="536" spans="1:9">
      <c r="A536" s="1975" t="s">
        <v>1139</v>
      </c>
      <c r="B536" s="1975"/>
      <c r="C536" s="1975"/>
      <c r="D536" s="1975"/>
      <c r="E536" s="1975"/>
      <c r="F536" s="1975"/>
      <c r="G536" s="1975"/>
      <c r="H536" s="1692"/>
      <c r="I536" s="1693"/>
    </row>
    <row r="537" spans="1:9">
      <c r="A537" s="792"/>
      <c r="B537" s="792"/>
      <c r="C537" s="821"/>
      <c r="D537" s="792"/>
      <c r="F537" s="792"/>
    </row>
    <row r="538" spans="1:9">
      <c r="C538" s="821"/>
      <c r="D538" s="1942" t="s">
        <v>709</v>
      </c>
      <c r="E538" s="1942"/>
      <c r="F538" s="1942"/>
    </row>
    <row r="539" spans="1:9">
      <c r="C539" s="821"/>
      <c r="D539" s="1945" t="s">
        <v>1196</v>
      </c>
      <c r="E539" s="1945"/>
      <c r="F539" s="1945"/>
    </row>
    <row r="540" spans="1:9">
      <c r="C540" s="821"/>
      <c r="D540" s="777"/>
      <c r="E540" s="777"/>
      <c r="F540" s="777"/>
    </row>
    <row r="541" spans="1:9" ht="13.7" customHeight="1">
      <c r="A541" s="789"/>
      <c r="B541" s="1619" t="s">
        <v>2757</v>
      </c>
      <c r="C541" s="821"/>
      <c r="D541" s="1945" t="s">
        <v>932</v>
      </c>
      <c r="E541" s="1945"/>
      <c r="F541" s="1945"/>
      <c r="G541" s="782"/>
      <c r="I541" s="1618" t="s">
        <v>2277</v>
      </c>
    </row>
    <row r="542" spans="1:9" ht="13.7" customHeight="1">
      <c r="A542" s="821"/>
      <c r="B542" s="821"/>
      <c r="C542" s="821"/>
      <c r="D542" s="777"/>
      <c r="E542" s="611"/>
      <c r="F542" s="611"/>
      <c r="G542" s="782"/>
    </row>
    <row r="543" spans="1:9" ht="14.25">
      <c r="A543" s="789"/>
      <c r="B543" s="1619" t="s">
        <v>2757</v>
      </c>
      <c r="C543" s="821"/>
      <c r="D543" s="1943" t="s">
        <v>1197</v>
      </c>
      <c r="E543" s="1943"/>
      <c r="F543" s="1943"/>
      <c r="G543" s="782"/>
      <c r="I543" s="1618" t="s">
        <v>2277</v>
      </c>
    </row>
    <row r="544" spans="1:9">
      <c r="A544" s="821"/>
      <c r="B544" s="821"/>
      <c r="C544" s="821"/>
      <c r="D544" s="1943"/>
      <c r="E544" s="1943"/>
      <c r="F544" s="1943"/>
      <c r="G544" s="782"/>
    </row>
    <row r="545" spans="1:9">
      <c r="A545" s="821"/>
      <c r="B545" s="821"/>
      <c r="C545" s="821"/>
      <c r="D545" s="792"/>
      <c r="E545" s="792"/>
      <c r="F545" s="792"/>
      <c r="G545" s="782"/>
    </row>
    <row r="546" spans="1:9" ht="14.25">
      <c r="A546" s="789"/>
      <c r="B546" s="1619" t="s">
        <v>2757</v>
      </c>
      <c r="C546" s="821"/>
      <c r="D546" s="1943" t="s">
        <v>1198</v>
      </c>
      <c r="E546" s="1943"/>
      <c r="F546" s="1943"/>
      <c r="G546" s="782"/>
      <c r="I546" s="1618" t="s">
        <v>2228</v>
      </c>
    </row>
    <row r="547" spans="1:9">
      <c r="A547" s="821"/>
      <c r="B547" s="821"/>
      <c r="C547" s="821"/>
      <c r="D547" s="1943"/>
      <c r="E547" s="1943"/>
      <c r="F547" s="1943"/>
      <c r="G547" s="782"/>
    </row>
    <row r="548" spans="1:9">
      <c r="A548" s="821"/>
      <c r="B548" s="821"/>
      <c r="C548" s="821"/>
      <c r="D548" s="792"/>
      <c r="E548" s="792"/>
      <c r="F548" s="792"/>
      <c r="G548" s="782"/>
    </row>
    <row r="549" spans="1:9" ht="14.25">
      <c r="A549" s="789"/>
      <c r="B549" s="1619" t="s">
        <v>2757</v>
      </c>
      <c r="C549" s="821"/>
      <c r="D549" s="1943" t="s">
        <v>1199</v>
      </c>
      <c r="E549" s="1943"/>
      <c r="F549" s="1943"/>
      <c r="G549" s="782"/>
      <c r="I549" s="1618" t="s">
        <v>2229</v>
      </c>
    </row>
    <row r="550" spans="1:9">
      <c r="A550" s="821"/>
      <c r="B550" s="821"/>
      <c r="C550" s="821"/>
      <c r="D550" s="1943"/>
      <c r="E550" s="1943"/>
      <c r="F550" s="1943"/>
      <c r="G550" s="782"/>
    </row>
    <row r="551" spans="1:9">
      <c r="A551" s="821"/>
      <c r="B551" s="821"/>
      <c r="C551" s="821"/>
      <c r="D551" s="792"/>
      <c r="E551" s="792"/>
      <c r="F551" s="792"/>
      <c r="G551" s="782"/>
    </row>
    <row r="552" spans="1:9" ht="14.25">
      <c r="A552" s="789"/>
      <c r="B552" s="1619" t="s">
        <v>2757</v>
      </c>
      <c r="C552" s="821"/>
      <c r="D552" s="1943" t="s">
        <v>1200</v>
      </c>
      <c r="E552" s="1943"/>
      <c r="F552" s="1943"/>
      <c r="G552" s="782"/>
      <c r="I552" s="1618" t="s">
        <v>2278</v>
      </c>
    </row>
    <row r="553" spans="1:9">
      <c r="A553" s="821"/>
      <c r="B553" s="821"/>
      <c r="C553" s="821"/>
      <c r="D553" s="1943"/>
      <c r="E553" s="1943"/>
      <c r="F553" s="1943"/>
      <c r="G553" s="782"/>
    </row>
    <row r="554" spans="1:9">
      <c r="A554" s="821"/>
      <c r="B554" s="821"/>
      <c r="C554" s="821"/>
      <c r="D554" s="1943"/>
      <c r="E554" s="1943"/>
      <c r="F554" s="1943"/>
      <c r="G554" s="782"/>
    </row>
    <row r="555" spans="1:9">
      <c r="A555" s="821"/>
      <c r="B555" s="821"/>
      <c r="C555" s="821"/>
      <c r="D555" s="792"/>
      <c r="E555" s="792"/>
      <c r="F555" s="792"/>
    </row>
    <row r="556" spans="1:9" ht="14.25">
      <c r="A556" s="789"/>
      <c r="B556" s="1619" t="s">
        <v>2758</v>
      </c>
      <c r="C556" s="821"/>
      <c r="D556" s="2029" t="s">
        <v>1318</v>
      </c>
      <c r="E556" s="2029"/>
      <c r="F556" s="2029"/>
      <c r="I556" s="1618" t="s">
        <v>2277</v>
      </c>
    </row>
    <row r="557" spans="1:9">
      <c r="A557" s="821"/>
      <c r="B557" s="821"/>
      <c r="C557" s="821"/>
      <c r="D557" s="2029"/>
      <c r="E557" s="2029"/>
      <c r="F557" s="2029"/>
    </row>
    <row r="558" spans="1:9">
      <c r="A558" s="821"/>
      <c r="B558" s="821"/>
      <c r="C558" s="821"/>
      <c r="D558" s="792"/>
      <c r="E558" s="792"/>
      <c r="F558" s="792"/>
    </row>
    <row r="559" spans="1:9" ht="14.25">
      <c r="A559" s="789"/>
      <c r="B559" s="790" t="s">
        <v>2758</v>
      </c>
      <c r="C559" s="821"/>
      <c r="D559" s="1943" t="s">
        <v>1202</v>
      </c>
      <c r="E559" s="1943"/>
      <c r="F559" s="1943"/>
      <c r="I559" s="1618" t="s">
        <v>2277</v>
      </c>
    </row>
    <row r="560" spans="1:9">
      <c r="A560" s="821"/>
      <c r="B560" s="821"/>
      <c r="C560" s="821"/>
      <c r="D560" s="1943"/>
      <c r="E560" s="1943"/>
      <c r="F560" s="1943"/>
      <c r="G560" s="811"/>
    </row>
    <row r="561" spans="1:16">
      <c r="A561" s="821"/>
      <c r="B561" s="821"/>
      <c r="C561" s="821"/>
      <c r="D561" s="792"/>
      <c r="E561" s="792"/>
      <c r="F561" s="792"/>
      <c r="G561" s="811"/>
    </row>
    <row r="562" spans="1:16" ht="14.25">
      <c r="A562" s="789"/>
      <c r="B562" s="1619" t="s">
        <v>2757</v>
      </c>
      <c r="C562" s="821"/>
      <c r="D562" s="1945" t="s">
        <v>1203</v>
      </c>
      <c r="E562" s="1945"/>
      <c r="F562" s="1945"/>
      <c r="G562" s="811"/>
      <c r="I562" s="1618" t="s">
        <v>2280</v>
      </c>
      <c r="P562" s="1616"/>
    </row>
    <row r="563" spans="1:16">
      <c r="A563" s="808"/>
      <c r="B563" s="808"/>
      <c r="C563" s="821"/>
      <c r="D563" s="1945" t="s">
        <v>2356</v>
      </c>
      <c r="E563" s="1945"/>
      <c r="F563" s="1945"/>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1619" t="s">
        <v>2757</v>
      </c>
      <c r="C566" s="821"/>
      <c r="D566" s="2045" t="s">
        <v>1205</v>
      </c>
      <c r="E566" s="2045"/>
      <c r="F566" s="2045"/>
      <c r="G566" s="811"/>
      <c r="I566" s="1618" t="s">
        <v>2230</v>
      </c>
    </row>
    <row r="567" spans="1:16">
      <c r="C567" s="821"/>
      <c r="D567" s="1943" t="s">
        <v>1206</v>
      </c>
      <c r="E567" s="1943"/>
      <c r="F567" s="1943"/>
      <c r="G567" s="811"/>
    </row>
    <row r="568" spans="1:16">
      <c r="A568" s="821"/>
      <c r="B568" s="821"/>
      <c r="C568" s="821"/>
      <c r="D568" s="1943"/>
      <c r="E568" s="1943"/>
      <c r="F568" s="1943"/>
      <c r="G568" s="811"/>
    </row>
    <row r="569" spans="1:16">
      <c r="A569" s="821"/>
      <c r="B569" s="821"/>
      <c r="C569" s="821"/>
      <c r="D569" s="1943"/>
      <c r="E569" s="1943"/>
      <c r="F569" s="1943"/>
      <c r="G569" s="811"/>
    </row>
    <row r="570" spans="1:16">
      <c r="A570" s="821"/>
      <c r="B570" s="821"/>
      <c r="C570" s="821"/>
      <c r="D570" s="792"/>
      <c r="E570" s="792"/>
      <c r="F570" s="792"/>
      <c r="G570" s="811"/>
    </row>
    <row r="571" spans="1:16" ht="14.25">
      <c r="A571" s="789"/>
      <c r="B571" s="1619" t="s">
        <v>2757</v>
      </c>
      <c r="C571" s="821"/>
      <c r="D571" s="1943" t="s">
        <v>2534</v>
      </c>
      <c r="E571" s="1943"/>
      <c r="F571" s="1943"/>
      <c r="G571" s="811"/>
      <c r="I571" s="1618" t="s">
        <v>2231</v>
      </c>
    </row>
    <row r="572" spans="1:16" ht="14.25">
      <c r="A572" s="789"/>
      <c r="B572" s="789"/>
      <c r="C572" s="821"/>
      <c r="D572" s="1943"/>
      <c r="E572" s="1943"/>
      <c r="F572" s="1943"/>
      <c r="G572" s="811"/>
    </row>
    <row r="573" spans="1:16" ht="14.25">
      <c r="A573" s="789"/>
      <c r="B573" s="789"/>
      <c r="C573" s="821"/>
      <c r="D573" s="1943"/>
      <c r="E573" s="1943"/>
      <c r="F573" s="1943"/>
      <c r="G573" s="811"/>
    </row>
    <row r="574" spans="1:16" ht="14.25">
      <c r="A574" s="789"/>
      <c r="B574" s="789"/>
      <c r="C574" s="821"/>
      <c r="D574" s="1943"/>
      <c r="E574" s="1943"/>
      <c r="F574" s="1943"/>
      <c r="G574" s="811"/>
    </row>
    <row r="575" spans="1:16" ht="14.25">
      <c r="A575" s="789"/>
      <c r="B575" s="789"/>
      <c r="C575" s="821"/>
      <c r="D575" s="792"/>
      <c r="E575" s="792"/>
      <c r="F575" s="792"/>
      <c r="G575" s="811"/>
    </row>
    <row r="576" spans="1:16">
      <c r="A576" s="1925" t="s">
        <v>1140</v>
      </c>
      <c r="B576" s="1925"/>
      <c r="C576" s="1925"/>
      <c r="D576" s="1925"/>
      <c r="E576" s="1925"/>
      <c r="F576" s="1925"/>
      <c r="G576" s="1925"/>
      <c r="H576" s="1692"/>
      <c r="I576" s="1693"/>
    </row>
    <row r="577" spans="1:9">
      <c r="A577" s="821"/>
      <c r="B577" s="821"/>
      <c r="C577" s="821"/>
      <c r="E577" s="792"/>
      <c r="F577" s="792"/>
      <c r="G577" s="811"/>
    </row>
    <row r="578" spans="1:9" ht="12.75" customHeight="1">
      <c r="C578" s="785"/>
      <c r="D578" s="2013" t="s">
        <v>215</v>
      </c>
      <c r="E578" s="2013"/>
      <c r="F578" s="2013"/>
      <c r="G578" s="811"/>
    </row>
    <row r="579" spans="1:9">
      <c r="A579" s="787"/>
      <c r="B579" s="787"/>
      <c r="C579" s="787"/>
      <c r="D579" s="1948" t="s">
        <v>1156</v>
      </c>
      <c r="E579" s="1948"/>
      <c r="F579" s="1948"/>
      <c r="G579" s="811"/>
    </row>
    <row r="580" spans="1:9">
      <c r="A580" s="782"/>
      <c r="B580" s="782"/>
      <c r="C580" s="787"/>
      <c r="D580" s="829"/>
      <c r="G580" s="811"/>
      <c r="I580" s="1618" t="s">
        <v>2232</v>
      </c>
    </row>
    <row r="581" spans="1:9">
      <c r="A581" s="787"/>
      <c r="B581" s="1619" t="s">
        <v>2757</v>
      </c>
      <c r="D581" s="1948" t="s">
        <v>938</v>
      </c>
      <c r="E581" s="1948"/>
      <c r="F581" s="1948"/>
      <c r="G581" s="811"/>
    </row>
    <row r="582" spans="1:9">
      <c r="A582" s="808"/>
      <c r="B582" s="808"/>
      <c r="D582" s="806"/>
    </row>
    <row r="583" spans="1:9">
      <c r="A583" s="808"/>
      <c r="B583" s="1619" t="s">
        <v>2757</v>
      </c>
      <c r="D583" s="1924" t="s">
        <v>2535</v>
      </c>
      <c r="E583" s="1924"/>
      <c r="F583" s="1924"/>
      <c r="I583" s="1618" t="s">
        <v>2234</v>
      </c>
    </row>
    <row r="584" spans="1:9">
      <c r="A584" s="808"/>
      <c r="B584" s="808"/>
      <c r="D584" s="1924"/>
      <c r="E584" s="1924"/>
      <c r="F584" s="1924"/>
      <c r="G584" s="782"/>
      <c r="I584" s="1618" t="s">
        <v>2233</v>
      </c>
    </row>
    <row r="585" spans="1:9">
      <c r="A585" s="808"/>
      <c r="B585" s="808"/>
      <c r="D585" s="1924"/>
      <c r="E585" s="1924"/>
      <c r="F585" s="1924"/>
      <c r="G585" s="782"/>
    </row>
    <row r="586" spans="1:9">
      <c r="A586" s="808"/>
      <c r="B586" s="808"/>
      <c r="D586" s="1924"/>
      <c r="E586" s="1924"/>
      <c r="F586" s="1924"/>
      <c r="G586" s="782"/>
    </row>
    <row r="587" spans="1:9">
      <c r="A587" s="808"/>
      <c r="B587" s="790" t="s">
        <v>2758</v>
      </c>
      <c r="D587" s="1924" t="s">
        <v>1158</v>
      </c>
      <c r="E587" s="1924"/>
      <c r="F587" s="1924"/>
      <c r="G587" s="782"/>
    </row>
    <row r="588" spans="1:9">
      <c r="A588" s="808"/>
      <c r="B588" s="808"/>
      <c r="D588" s="1924"/>
      <c r="E588" s="1924"/>
      <c r="F588" s="1924"/>
      <c r="G588" s="782"/>
    </row>
    <row r="589" spans="1:9">
      <c r="A589" s="808"/>
      <c r="B589" s="808"/>
      <c r="D589" s="1924"/>
      <c r="E589" s="1924"/>
      <c r="F589" s="1924"/>
      <c r="G589" s="782"/>
    </row>
    <row r="590" spans="1:9">
      <c r="A590" s="808"/>
      <c r="B590" s="808"/>
      <c r="D590" s="1924"/>
      <c r="E590" s="1924"/>
      <c r="F590" s="1924"/>
      <c r="G590" s="782"/>
    </row>
    <row r="591" spans="1:9">
      <c r="A591" s="808"/>
      <c r="B591" s="808"/>
      <c r="D591" s="775"/>
      <c r="E591" s="775"/>
      <c r="F591" s="775"/>
      <c r="G591" s="782"/>
    </row>
    <row r="592" spans="1:9">
      <c r="A592" s="808"/>
      <c r="B592" s="1619" t="s">
        <v>2757</v>
      </c>
      <c r="D592" s="1924" t="s">
        <v>2536</v>
      </c>
      <c r="E592" s="1924"/>
      <c r="F592" s="1924"/>
      <c r="G592" s="782"/>
    </row>
    <row r="593" spans="1:9">
      <c r="A593" s="808"/>
      <c r="B593" s="808"/>
      <c r="D593" s="1924"/>
      <c r="E593" s="1924"/>
      <c r="F593" s="1924"/>
      <c r="G593" s="782"/>
    </row>
    <row r="594" spans="1:9">
      <c r="A594" s="808"/>
      <c r="B594" s="808"/>
      <c r="D594" s="829"/>
      <c r="G594" s="782"/>
    </row>
    <row r="595" spans="1:9">
      <c r="A595" s="808"/>
      <c r="B595" s="790" t="s">
        <v>2758</v>
      </c>
      <c r="D595" s="1948" t="s">
        <v>1160</v>
      </c>
      <c r="E595" s="1948"/>
      <c r="F595" s="1948"/>
      <c r="G595" s="782"/>
      <c r="I595" s="1618" t="s">
        <v>2281</v>
      </c>
    </row>
    <row r="596" spans="1:9">
      <c r="A596" s="808"/>
      <c r="B596" s="808"/>
      <c r="D596" s="1948"/>
      <c r="E596" s="1948"/>
      <c r="F596" s="1948"/>
      <c r="G596" s="782"/>
    </row>
    <row r="597" spans="1:9" ht="14.25">
      <c r="A597" s="789"/>
      <c r="B597" s="789"/>
      <c r="D597" s="829"/>
      <c r="G597" s="782"/>
    </row>
    <row r="598" spans="1:9">
      <c r="A598" s="1925" t="s">
        <v>1141</v>
      </c>
      <c r="B598" s="1925"/>
      <c r="C598" s="1925"/>
      <c r="D598" s="1925"/>
      <c r="E598" s="1925"/>
      <c r="F598" s="1925"/>
      <c r="G598" s="1925"/>
      <c r="H598" s="1692"/>
      <c r="I598" s="1693"/>
    </row>
    <row r="599" spans="1:9"/>
    <row r="600" spans="1:9">
      <c r="D600" s="1942" t="s">
        <v>1241</v>
      </c>
      <c r="E600" s="1942"/>
      <c r="F600" s="1942"/>
    </row>
    <row r="601" spans="1:9">
      <c r="D601" s="1981" t="s">
        <v>1242</v>
      </c>
      <c r="E601" s="1981"/>
      <c r="F601" s="1981"/>
    </row>
    <row r="602" spans="1:9">
      <c r="D602" s="772"/>
      <c r="E602" s="714"/>
      <c r="F602" s="714"/>
    </row>
    <row r="603" spans="1:9" s="783" customFormat="1" ht="14.25" customHeight="1">
      <c r="A603" s="797"/>
      <c r="B603" s="1619" t="s">
        <v>2757</v>
      </c>
      <c r="C603" s="793"/>
      <c r="D603" s="2015" t="s">
        <v>2357</v>
      </c>
      <c r="E603" s="2015"/>
      <c r="F603" s="2015"/>
      <c r="G603" s="794"/>
      <c r="I603" s="1676" t="s">
        <v>2262</v>
      </c>
    </row>
    <row r="604" spans="1:9">
      <c r="D604" s="2015"/>
      <c r="E604" s="2015"/>
      <c r="F604" s="2015"/>
    </row>
    <row r="605" spans="1:9">
      <c r="D605" s="1752"/>
      <c r="E605" s="1748" t="s">
        <v>2358</v>
      </c>
      <c r="F605" s="1752"/>
    </row>
    <row r="606" spans="1:9"/>
    <row r="607" spans="1:9">
      <c r="A607" s="1925" t="s">
        <v>1142</v>
      </c>
      <c r="B607" s="1925"/>
      <c r="C607" s="1925"/>
      <c r="D607" s="1925"/>
      <c r="E607" s="1925"/>
      <c r="F607" s="1925"/>
      <c r="G607" s="1925"/>
      <c r="H607" s="1692"/>
      <c r="I607" s="1693"/>
    </row>
    <row r="608" spans="1:9">
      <c r="A608" s="792"/>
      <c r="B608" s="792"/>
      <c r="G608" s="811"/>
    </row>
    <row r="609" spans="1:13">
      <c r="A609" s="830"/>
      <c r="B609" s="830"/>
      <c r="C609" s="785"/>
      <c r="D609" s="1982" t="s">
        <v>1244</v>
      </c>
      <c r="E609" s="1982"/>
      <c r="F609" s="1982"/>
      <c r="G609" s="811"/>
    </row>
    <row r="610" spans="1:13">
      <c r="A610" s="830"/>
      <c r="B610" s="830"/>
      <c r="C610" s="785"/>
      <c r="D610" s="1982"/>
      <c r="E610" s="1982"/>
      <c r="F610" s="1982"/>
      <c r="G610" s="811"/>
    </row>
    <row r="611" spans="1:13">
      <c r="C611" s="787"/>
      <c r="D611" s="1981" t="s">
        <v>1245</v>
      </c>
      <c r="E611" s="1981"/>
      <c r="F611" s="1981"/>
      <c r="G611" s="811"/>
    </row>
    <row r="612" spans="1:13">
      <c r="C612" s="787"/>
      <c r="D612" s="772"/>
      <c r="E612" s="772"/>
      <c r="F612" s="772"/>
      <c r="G612" s="811"/>
    </row>
    <row r="613" spans="1:13" ht="12.75" customHeight="1">
      <c r="A613" s="808"/>
      <c r="B613" s="1619" t="s">
        <v>2757</v>
      </c>
      <c r="D613" s="1941" t="s">
        <v>1246</v>
      </c>
      <c r="E613" s="1941"/>
      <c r="F613" s="1941"/>
      <c r="G613" s="811"/>
      <c r="I613" s="1618" t="s">
        <v>2282</v>
      </c>
    </row>
    <row r="614" spans="1:13">
      <c r="D614" s="1941"/>
      <c r="E614" s="1941"/>
      <c r="F614" s="1941"/>
      <c r="G614" s="811"/>
    </row>
    <row r="615" spans="1:13">
      <c r="D615" s="782"/>
      <c r="G615" s="811"/>
    </row>
    <row r="616" spans="1:13">
      <c r="B616" s="1619" t="s">
        <v>2757</v>
      </c>
      <c r="D616" s="1941" t="s">
        <v>1247</v>
      </c>
      <c r="E616" s="1941"/>
      <c r="F616" s="1941"/>
      <c r="G616" s="811"/>
      <c r="I616" s="1618" t="s">
        <v>2235</v>
      </c>
    </row>
    <row r="617" spans="1:13">
      <c r="C617" s="831"/>
      <c r="D617" s="1941"/>
      <c r="E617" s="1941"/>
      <c r="F617" s="1941"/>
      <c r="G617" s="811"/>
    </row>
    <row r="618" spans="1:13">
      <c r="C618" s="831"/>
      <c r="G618" s="811"/>
    </row>
    <row r="619" spans="1:13">
      <c r="B619" s="1619" t="s">
        <v>2757</v>
      </c>
      <c r="C619" s="831"/>
      <c r="D619" s="1941" t="s">
        <v>1248</v>
      </c>
      <c r="E619" s="1941"/>
      <c r="F619" s="1941"/>
      <c r="G619" s="811"/>
      <c r="I619" s="1618" t="s">
        <v>2283</v>
      </c>
    </row>
    <row r="620" spans="1:13">
      <c r="C620" s="831"/>
      <c r="D620" s="1941"/>
      <c r="E620" s="1941"/>
      <c r="F620" s="1941"/>
      <c r="G620" s="811"/>
      <c r="I620" s="1689" t="s">
        <v>2284</v>
      </c>
    </row>
    <row r="621" spans="1:13">
      <c r="C621" s="831"/>
      <c r="G621" s="811"/>
    </row>
    <row r="622" spans="1:13">
      <c r="A622" s="1925" t="s">
        <v>1143</v>
      </c>
      <c r="B622" s="1925"/>
      <c r="C622" s="1925"/>
      <c r="D622" s="1925"/>
      <c r="E622" s="1925"/>
      <c r="F622" s="1925"/>
      <c r="G622" s="1925"/>
      <c r="H622" s="1692"/>
      <c r="I622" s="1693"/>
    </row>
    <row r="623" spans="1:13">
      <c r="A623" s="832"/>
      <c r="B623" s="832"/>
      <c r="C623" s="832"/>
      <c r="G623" s="811"/>
    </row>
    <row r="624" spans="1:13">
      <c r="C624" s="808"/>
      <c r="D624" s="1942" t="s">
        <v>1249</v>
      </c>
      <c r="E624" s="1942"/>
      <c r="F624" s="1942"/>
      <c r="G624" s="811"/>
      <c r="M624" s="1616"/>
    </row>
    <row r="625" spans="1:13">
      <c r="A625" s="808"/>
      <c r="B625" s="808"/>
      <c r="C625" s="810"/>
      <c r="D625" s="786"/>
      <c r="G625" s="811"/>
      <c r="M625" s="1616"/>
    </row>
    <row r="626" spans="1:13" ht="14.25" customHeight="1">
      <c r="A626" s="789"/>
      <c r="B626" s="790" t="s">
        <v>2757</v>
      </c>
      <c r="C626" s="810"/>
      <c r="D626" s="2016" t="s">
        <v>2537</v>
      </c>
      <c r="E626" s="2016"/>
      <c r="F626" s="2016"/>
      <c r="G626" s="811"/>
      <c r="I626" s="1618" t="s">
        <v>2263</v>
      </c>
      <c r="M626" s="1616"/>
    </row>
    <row r="627" spans="1:13">
      <c r="C627" s="810"/>
      <c r="D627" s="2016"/>
      <c r="E627" s="2016"/>
      <c r="F627" s="2016"/>
      <c r="G627" s="811"/>
      <c r="M627" s="1616"/>
    </row>
    <row r="628" spans="1:13">
      <c r="C628" s="810"/>
      <c r="D628" s="870"/>
      <c r="E628" s="1748" t="s">
        <v>2360</v>
      </c>
      <c r="F628" s="870"/>
      <c r="G628" s="811"/>
      <c r="M628" s="1616"/>
    </row>
    <row r="629" spans="1:13">
      <c r="C629" s="810"/>
      <c r="D629" s="1943" t="s">
        <v>2359</v>
      </c>
      <c r="E629" s="1943"/>
      <c r="F629" s="1943"/>
      <c r="G629" s="811"/>
      <c r="M629" s="1616"/>
    </row>
    <row r="630" spans="1:13">
      <c r="C630" s="810"/>
      <c r="D630" s="1943"/>
      <c r="E630" s="1943"/>
      <c r="F630" s="1943"/>
      <c r="G630" s="811"/>
    </row>
    <row r="631" spans="1:13">
      <c r="C631" s="810"/>
      <c r="D631" s="1943"/>
      <c r="E631" s="1943"/>
      <c r="F631" s="1943"/>
      <c r="G631" s="811"/>
    </row>
    <row r="632" spans="1:13">
      <c r="C632" s="810"/>
      <c r="D632" s="776"/>
      <c r="E632" s="776"/>
      <c r="F632" s="776"/>
      <c r="G632" s="811"/>
    </row>
    <row r="633" spans="1:13" ht="14.25">
      <c r="A633" s="789"/>
      <c r="B633" s="790" t="s">
        <v>2758</v>
      </c>
      <c r="C633" s="810"/>
      <c r="D633" s="1943" t="s">
        <v>1251</v>
      </c>
      <c r="E633" s="1943"/>
      <c r="F633" s="1943"/>
      <c r="G633" s="811"/>
      <c r="I633" s="1618" t="s">
        <v>2285</v>
      </c>
    </row>
    <row r="634" spans="1:13">
      <c r="A634" s="821"/>
      <c r="B634" s="821"/>
      <c r="C634" s="821"/>
      <c r="D634" s="1943"/>
      <c r="E634" s="1943"/>
      <c r="F634" s="1943"/>
      <c r="G634" s="811"/>
    </row>
    <row r="635" spans="1:13">
      <c r="A635" s="821"/>
      <c r="B635" s="821"/>
      <c r="C635" s="821"/>
      <c r="D635" s="777"/>
      <c r="E635" s="833"/>
      <c r="F635" s="833"/>
      <c r="G635" s="811"/>
    </row>
    <row r="636" spans="1:13" ht="14.25">
      <c r="A636" s="789"/>
      <c r="B636" s="790" t="s">
        <v>2758</v>
      </c>
      <c r="C636" s="821"/>
      <c r="D636" s="1944" t="s">
        <v>1394</v>
      </c>
      <c r="E636" s="1944"/>
      <c r="F636" s="1944"/>
      <c r="G636" s="811"/>
      <c r="I636" s="1618" t="s">
        <v>2236</v>
      </c>
    </row>
    <row r="637" spans="1:13" ht="14.25">
      <c r="A637" s="789"/>
      <c r="B637" s="789"/>
      <c r="C637" s="821"/>
      <c r="D637" s="1944"/>
      <c r="E637" s="1944"/>
      <c r="F637" s="1944"/>
      <c r="G637" s="811"/>
    </row>
    <row r="638" spans="1:13" ht="14.25">
      <c r="A638" s="789"/>
      <c r="B638" s="789"/>
      <c r="C638" s="821"/>
      <c r="D638" s="1944"/>
      <c r="E638" s="1944"/>
      <c r="F638" s="1944"/>
      <c r="G638" s="811"/>
    </row>
    <row r="639" spans="1:13">
      <c r="A639" s="821"/>
      <c r="B639" s="790" t="s">
        <v>2758</v>
      </c>
      <c r="C639" s="821"/>
      <c r="D639" s="1945" t="s">
        <v>1253</v>
      </c>
      <c r="E639" s="1945"/>
      <c r="F639" s="1945"/>
      <c r="G639" s="811"/>
      <c r="I639" s="1618" t="s">
        <v>2236</v>
      </c>
    </row>
    <row r="640" spans="1:13">
      <c r="A640" s="821"/>
      <c r="B640" s="821"/>
      <c r="C640" s="821"/>
      <c r="D640" s="719"/>
      <c r="E640" s="719"/>
      <c r="F640" s="719"/>
      <c r="G640" s="811"/>
    </row>
    <row r="641" spans="1:9">
      <c r="A641" s="1925" t="s">
        <v>1144</v>
      </c>
      <c r="B641" s="1925"/>
      <c r="C641" s="1925"/>
      <c r="D641" s="1925"/>
      <c r="E641" s="1925"/>
      <c r="F641" s="1925"/>
      <c r="G641" s="1925"/>
      <c r="H641" s="1692"/>
      <c r="I641" s="1693"/>
    </row>
    <row r="642" spans="1:9">
      <c r="A642" s="792"/>
      <c r="B642" s="792"/>
      <c r="C642" s="821"/>
      <c r="D642" s="833"/>
      <c r="E642" s="833"/>
      <c r="F642" s="833"/>
      <c r="G642" s="811"/>
    </row>
    <row r="643" spans="1:9">
      <c r="C643" s="832"/>
      <c r="D643" s="2019" t="s">
        <v>1303</v>
      </c>
      <c r="E643" s="2019"/>
      <c r="F643" s="2019"/>
      <c r="G643" s="811"/>
    </row>
    <row r="644" spans="1:9">
      <c r="A644" s="787"/>
      <c r="B644" s="787"/>
      <c r="C644" s="787"/>
      <c r="D644" s="2020" t="s">
        <v>1304</v>
      </c>
      <c r="E644" s="2020"/>
      <c r="F644" s="2020"/>
      <c r="G644" s="811"/>
    </row>
    <row r="645" spans="1:9">
      <c r="A645" s="787"/>
      <c r="B645" s="787"/>
      <c r="C645" s="787"/>
      <c r="D645" s="719"/>
      <c r="E645" s="719"/>
      <c r="F645" s="719"/>
      <c r="G645" s="811"/>
    </row>
    <row r="646" spans="1:9" ht="12.75" customHeight="1">
      <c r="B646" s="1619" t="s">
        <v>2757</v>
      </c>
      <c r="C646" s="821"/>
      <c r="D646" s="2027" t="s">
        <v>1468</v>
      </c>
      <c r="E646" s="2027"/>
      <c r="F646" s="2027"/>
      <c r="I646" s="1618" t="s">
        <v>2288</v>
      </c>
    </row>
    <row r="647" spans="1:9">
      <c r="D647" s="2027"/>
      <c r="E647" s="2027"/>
      <c r="F647" s="2027"/>
    </row>
    <row r="648" spans="1:9">
      <c r="D648" s="2027"/>
      <c r="E648" s="2027"/>
      <c r="F648" s="2027"/>
    </row>
    <row r="649" spans="1:9">
      <c r="D649" s="2027"/>
      <c r="E649" s="2027"/>
      <c r="F649" s="2027"/>
    </row>
    <row r="650" spans="1:9" ht="14.45" customHeight="1">
      <c r="A650" s="789"/>
      <c r="B650" s="789"/>
      <c r="C650" s="821"/>
      <c r="D650" s="892"/>
      <c r="E650" s="892"/>
      <c r="F650" s="892"/>
      <c r="G650" s="811"/>
    </row>
    <row r="651" spans="1:9" ht="12.75" customHeight="1">
      <c r="A651" s="787"/>
      <c r="B651" s="1619" t="s">
        <v>2757</v>
      </c>
      <c r="C651" s="821"/>
      <c r="D651" s="2027" t="s">
        <v>1470</v>
      </c>
      <c r="E651" s="2027"/>
      <c r="F651" s="2027"/>
      <c r="G651" s="811"/>
      <c r="I651" s="1618" t="s">
        <v>2288</v>
      </c>
    </row>
    <row r="652" spans="1:9" ht="14.25">
      <c r="A652" s="787"/>
      <c r="B652" s="789"/>
      <c r="C652" s="821"/>
      <c r="D652" s="2027"/>
      <c r="E652" s="2027"/>
      <c r="F652" s="2027"/>
      <c r="G652" s="811"/>
    </row>
    <row r="653" spans="1:9" ht="14.25">
      <c r="A653" s="787"/>
      <c r="B653" s="789"/>
      <c r="C653" s="821"/>
      <c r="D653" s="2027"/>
      <c r="E653" s="2027"/>
      <c r="F653" s="2027"/>
      <c r="G653" s="811"/>
    </row>
    <row r="654" spans="1:9" ht="14.25">
      <c r="A654" s="787"/>
      <c r="B654" s="789"/>
      <c r="C654" s="821"/>
      <c r="D654" s="2027"/>
      <c r="E654" s="2027"/>
      <c r="F654" s="2027"/>
      <c r="G654" s="811"/>
    </row>
    <row r="655" spans="1:9" ht="14.25">
      <c r="A655" s="787"/>
      <c r="B655" s="789"/>
      <c r="C655" s="821"/>
      <c r="D655" s="2027"/>
      <c r="E655" s="2027"/>
      <c r="F655" s="2027"/>
      <c r="G655" s="811"/>
    </row>
    <row r="656" spans="1:9" ht="14.25" customHeight="1">
      <c r="A656" s="787"/>
      <c r="B656" s="789"/>
      <c r="C656" s="821"/>
      <c r="F656" s="893"/>
      <c r="G656" s="811"/>
    </row>
    <row r="657" spans="1:11" ht="12.75" customHeight="1">
      <c r="A657" s="787"/>
      <c r="B657" s="1619" t="s">
        <v>2757</v>
      </c>
      <c r="C657" s="821"/>
      <c r="D657" s="2027" t="s">
        <v>1469</v>
      </c>
      <c r="E657" s="2027"/>
      <c r="F657" s="2027"/>
      <c r="G657" s="811"/>
      <c r="I657" s="1618" t="s">
        <v>2288</v>
      </c>
    </row>
    <row r="658" spans="1:11" ht="14.25">
      <c r="A658" s="787"/>
      <c r="B658" s="789"/>
      <c r="C658" s="821"/>
      <c r="D658" s="2027"/>
      <c r="E658" s="2027"/>
      <c r="F658" s="2027"/>
      <c r="G658" s="811"/>
    </row>
    <row r="659" spans="1:11" ht="14.25">
      <c r="A659" s="789"/>
      <c r="B659" s="789"/>
      <c r="C659" s="821"/>
      <c r="D659" s="2027"/>
      <c r="E659" s="2027"/>
      <c r="F659" s="2027"/>
      <c r="G659" s="811"/>
    </row>
    <row r="660" spans="1:11" ht="14.25">
      <c r="A660" s="789"/>
      <c r="B660" s="789"/>
      <c r="C660" s="821"/>
      <c r="D660" s="2027"/>
      <c r="E660" s="2027"/>
      <c r="F660" s="2027"/>
      <c r="G660" s="811"/>
    </row>
    <row r="661" spans="1:11" ht="14.25">
      <c r="A661" s="789"/>
      <c r="B661" s="789"/>
      <c r="C661" s="821"/>
      <c r="D661" s="884"/>
      <c r="E661" s="884"/>
      <c r="F661" s="884"/>
      <c r="G661" s="811"/>
    </row>
    <row r="662" spans="1:11" ht="12.75" customHeight="1">
      <c r="A662" s="787"/>
      <c r="B662" s="790" t="s">
        <v>2758</v>
      </c>
      <c r="C662" s="821"/>
      <c r="D662" s="2027" t="s">
        <v>2538</v>
      </c>
      <c r="E662" s="2027"/>
      <c r="F662" s="2027"/>
      <c r="G662" s="811"/>
      <c r="I662" s="1618" t="s">
        <v>2288</v>
      </c>
    </row>
    <row r="663" spans="1:11" ht="12.75" customHeight="1">
      <c r="A663" s="787"/>
      <c r="B663" s="789"/>
      <c r="C663" s="821"/>
      <c r="D663" s="2027"/>
      <c r="E663" s="2027"/>
      <c r="F663" s="2027"/>
      <c r="G663" s="811"/>
    </row>
    <row r="664" spans="1:11" ht="12.75" customHeight="1">
      <c r="A664" s="787"/>
      <c r="B664" s="789"/>
      <c r="C664" s="821"/>
      <c r="D664" s="2027"/>
      <c r="E664" s="2027"/>
      <c r="F664" s="2027"/>
      <c r="G664" s="811"/>
    </row>
    <row r="665" spans="1:11" ht="12.75" customHeight="1">
      <c r="A665" s="787"/>
      <c r="B665" s="789"/>
      <c r="C665" s="821"/>
      <c r="D665" s="2027"/>
      <c r="E665" s="2027"/>
      <c r="F665" s="2027"/>
      <c r="G665" s="811"/>
    </row>
    <row r="666" spans="1:11" ht="12.75" customHeight="1">
      <c r="A666" s="787"/>
      <c r="B666" s="789"/>
      <c r="C666" s="821"/>
      <c r="D666" s="2027"/>
      <c r="E666" s="2027"/>
      <c r="F666" s="2027"/>
      <c r="G666" s="811"/>
    </row>
    <row r="667" spans="1:11" ht="12.75" customHeight="1">
      <c r="A667" s="787"/>
      <c r="B667" s="789"/>
      <c r="C667" s="821"/>
      <c r="D667" s="2027"/>
      <c r="E667" s="2027"/>
      <c r="F667" s="2027"/>
      <c r="G667" s="811"/>
    </row>
    <row r="668" spans="1:11" ht="12.75" customHeight="1">
      <c r="A668" s="787"/>
      <c r="B668" s="789"/>
      <c r="C668" s="821"/>
      <c r="D668" s="2027"/>
      <c r="E668" s="2027"/>
      <c r="F668" s="2027"/>
      <c r="G668" s="811"/>
    </row>
    <row r="669" spans="1:11" ht="12.75" customHeight="1">
      <c r="A669" s="787"/>
      <c r="B669" s="789"/>
      <c r="C669" s="821"/>
      <c r="D669" s="2027"/>
      <c r="E669" s="2027"/>
      <c r="F669" s="2027"/>
      <c r="G669" s="811"/>
    </row>
    <row r="670" spans="1:11" ht="12.75" customHeight="1">
      <c r="A670" s="787"/>
      <c r="B670" s="789"/>
      <c r="C670" s="821"/>
      <c r="D670" s="2027"/>
      <c r="E670" s="2027"/>
      <c r="F670" s="2027"/>
      <c r="G670" s="811"/>
    </row>
    <row r="671" spans="1:11">
      <c r="A671" s="821"/>
      <c r="B671" s="821"/>
      <c r="C671" s="821"/>
      <c r="D671" s="833"/>
      <c r="E671" s="833"/>
      <c r="F671" s="833"/>
      <c r="G671" s="811"/>
    </row>
    <row r="672" spans="1:11">
      <c r="A672" s="1925" t="s">
        <v>1145</v>
      </c>
      <c r="B672" s="1925"/>
      <c r="C672" s="1925"/>
      <c r="D672" s="1925"/>
      <c r="E672" s="1925"/>
      <c r="F672" s="1925"/>
      <c r="G672" s="1925"/>
      <c r="H672" s="1694"/>
      <c r="I672" s="1695"/>
      <c r="J672" s="834"/>
      <c r="K672" s="834"/>
    </row>
    <row r="673" spans="1:11">
      <c r="A673" s="727"/>
      <c r="B673" s="727"/>
      <c r="C673" s="727"/>
      <c r="D673" s="727"/>
      <c r="E673" s="727"/>
      <c r="F673" s="727"/>
      <c r="G673" s="727"/>
      <c r="H673" s="834"/>
      <c r="I673" s="1680"/>
      <c r="J673" s="834"/>
      <c r="K673" s="834"/>
    </row>
    <row r="674" spans="1:11">
      <c r="C674" s="832"/>
      <c r="D674" s="1942" t="s">
        <v>104</v>
      </c>
      <c r="E674" s="1942"/>
      <c r="F674" s="1942"/>
      <c r="G674" s="811"/>
      <c r="H674" s="834"/>
      <c r="I674" s="1680"/>
      <c r="J674" s="834"/>
      <c r="K674" s="834"/>
    </row>
    <row r="675" spans="1:11">
      <c r="A675" s="832"/>
      <c r="B675" s="832"/>
      <c r="C675" s="832"/>
      <c r="D675" s="1942" t="s">
        <v>128</v>
      </c>
      <c r="E675" s="1942"/>
      <c r="F675" s="1942"/>
      <c r="G675" s="811"/>
      <c r="H675" s="834"/>
      <c r="I675" s="1680"/>
      <c r="J675" s="834"/>
      <c r="K675" s="834"/>
    </row>
    <row r="676" spans="1:11">
      <c r="A676" s="787"/>
      <c r="B676" s="787"/>
      <c r="C676" s="787"/>
      <c r="D676" s="1945" t="s">
        <v>1181</v>
      </c>
      <c r="E676" s="1945"/>
      <c r="F676" s="1945"/>
      <c r="G676" s="811"/>
      <c r="H676" s="834"/>
      <c r="I676" s="1680"/>
      <c r="J676" s="834"/>
      <c r="K676" s="834"/>
    </row>
    <row r="677" spans="1:11">
      <c r="A677" s="787"/>
      <c r="B677" s="787"/>
      <c r="C677" s="787"/>
      <c r="G677" s="811"/>
      <c r="H677" s="834"/>
      <c r="I677" s="1680"/>
      <c r="J677" s="834"/>
      <c r="K677" s="834"/>
    </row>
    <row r="678" spans="1:11" ht="14.25">
      <c r="A678" s="789"/>
      <c r="B678" s="1619" t="s">
        <v>2757</v>
      </c>
      <c r="C678" s="787"/>
      <c r="D678" s="1945" t="s">
        <v>934</v>
      </c>
      <c r="E678" s="1945"/>
      <c r="F678" s="1945"/>
      <c r="G678" s="811"/>
      <c r="H678" s="834"/>
      <c r="I678" s="1680" t="s">
        <v>2264</v>
      </c>
      <c r="J678" s="834"/>
      <c r="K678" s="834"/>
    </row>
    <row r="679" spans="1:11">
      <c r="A679" s="787"/>
      <c r="B679" s="787"/>
      <c r="C679" s="787"/>
      <c r="D679" s="1945" t="s">
        <v>945</v>
      </c>
      <c r="E679" s="1945"/>
      <c r="F679" s="1945"/>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2758</v>
      </c>
      <c r="C683" s="787"/>
      <c r="D683" s="1943" t="s">
        <v>2539</v>
      </c>
      <c r="E683" s="1943"/>
      <c r="F683" s="1943"/>
      <c r="G683" s="811"/>
      <c r="H683" s="834"/>
      <c r="I683" s="1680" t="s">
        <v>2286</v>
      </c>
      <c r="J683" s="834"/>
      <c r="K683" s="834"/>
    </row>
    <row r="684" spans="1:11">
      <c r="A684" s="808"/>
      <c r="B684" s="808"/>
      <c r="C684" s="787"/>
      <c r="D684" s="1943"/>
      <c r="E684" s="1943"/>
      <c r="F684" s="1943"/>
      <c r="G684" s="811"/>
      <c r="H684" s="834"/>
      <c r="I684" s="1680"/>
      <c r="J684" s="834"/>
      <c r="K684" s="834"/>
    </row>
    <row r="685" spans="1:11">
      <c r="A685" s="787"/>
      <c r="B685" s="787"/>
      <c r="C685" s="787"/>
      <c r="D685" s="1943"/>
      <c r="E685" s="1943"/>
      <c r="F685" s="1943"/>
      <c r="G685" s="811"/>
      <c r="H685" s="834"/>
      <c r="I685" s="1680"/>
      <c r="J685" s="834"/>
      <c r="K685" s="834"/>
    </row>
    <row r="686" spans="1:11">
      <c r="A686" s="787"/>
      <c r="B686" s="787"/>
      <c r="C686" s="787"/>
      <c r="G686" s="811"/>
      <c r="H686" s="834"/>
      <c r="I686" s="1680" t="s">
        <v>2265</v>
      </c>
      <c r="J686" s="834"/>
      <c r="K686" s="834"/>
    </row>
    <row r="687" spans="1:11" ht="14.25">
      <c r="A687" s="789"/>
      <c r="B687" s="1619" t="s">
        <v>2757</v>
      </c>
      <c r="C687" s="787"/>
      <c r="D687" s="1945" t="s">
        <v>973</v>
      </c>
      <c r="E687" s="1945"/>
      <c r="F687" s="1945"/>
      <c r="G687" s="811"/>
      <c r="H687" s="834"/>
      <c r="I687" s="1680"/>
      <c r="J687" s="834"/>
      <c r="K687" s="834"/>
    </row>
    <row r="688" spans="1:11" ht="14.25">
      <c r="A688" s="789"/>
      <c r="B688" s="789"/>
      <c r="C688" s="787"/>
      <c r="D688" s="1945" t="s">
        <v>945</v>
      </c>
      <c r="E688" s="1945"/>
      <c r="F688" s="1945"/>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1619" t="s">
        <v>2757</v>
      </c>
      <c r="C691" s="787"/>
      <c r="D691" s="2029" t="s">
        <v>1194</v>
      </c>
      <c r="E691" s="2029"/>
      <c r="F691" s="2029"/>
      <c r="G691" s="811"/>
      <c r="H691" s="834"/>
      <c r="I691" s="1680" t="s">
        <v>2237</v>
      </c>
      <c r="J691" s="834"/>
      <c r="K691" s="834"/>
    </row>
    <row r="692" spans="1:11">
      <c r="A692" s="787"/>
      <c r="B692" s="787"/>
      <c r="C692" s="787"/>
      <c r="D692" s="2029"/>
      <c r="E692" s="2029"/>
      <c r="F692" s="2029"/>
      <c r="G692" s="811"/>
      <c r="H692" s="834"/>
      <c r="I692" s="1680"/>
      <c r="J692" s="834"/>
      <c r="K692" s="834"/>
    </row>
    <row r="693" spans="1:11">
      <c r="A693" s="787"/>
      <c r="B693" s="787"/>
      <c r="C693" s="787"/>
      <c r="D693" s="2029"/>
      <c r="E693" s="2029"/>
      <c r="F693" s="2029"/>
      <c r="G693" s="811"/>
      <c r="H693" s="834"/>
      <c r="I693" s="1680"/>
      <c r="J693" s="834"/>
      <c r="K693" s="834"/>
    </row>
    <row r="694" spans="1:11">
      <c r="A694" s="787"/>
      <c r="B694" s="787"/>
      <c r="C694" s="787"/>
      <c r="D694" s="2029"/>
      <c r="E694" s="2029"/>
      <c r="F694" s="2029"/>
      <c r="G694" s="811"/>
      <c r="H694" s="834"/>
      <c r="I694" s="1680"/>
      <c r="J694" s="834"/>
      <c r="K694" s="834"/>
    </row>
    <row r="695" spans="1:11">
      <c r="A695" s="787"/>
      <c r="B695" s="787"/>
      <c r="C695" s="787"/>
      <c r="D695" s="2029"/>
      <c r="E695" s="2029"/>
      <c r="F695" s="2029"/>
      <c r="G695" s="811"/>
      <c r="H695" s="834"/>
      <c r="I695" s="1680"/>
      <c r="J695" s="834"/>
      <c r="K695" s="834"/>
    </row>
    <row r="696" spans="1:11" s="783" customFormat="1">
      <c r="A696" s="826"/>
      <c r="B696" s="826"/>
      <c r="C696" s="826"/>
      <c r="D696" s="2029"/>
      <c r="E696" s="2029"/>
      <c r="F696" s="202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2757</v>
      </c>
      <c r="C698" s="826"/>
      <c r="D698" s="2029" t="s">
        <v>1365</v>
      </c>
      <c r="E698" s="2029"/>
      <c r="F698" s="2029"/>
      <c r="G698" s="836"/>
      <c r="H698" s="837"/>
      <c r="I698" s="1681" t="s">
        <v>2237</v>
      </c>
      <c r="J698" s="837"/>
      <c r="K698" s="837"/>
    </row>
    <row r="699" spans="1:11" s="783" customFormat="1">
      <c r="A699" s="826"/>
      <c r="B699" s="826"/>
      <c r="C699" s="826"/>
      <c r="D699" s="2029"/>
      <c r="E699" s="2029"/>
      <c r="F699" s="2029"/>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2758</v>
      </c>
      <c r="C701" s="787"/>
      <c r="D701" s="2029" t="s">
        <v>1185</v>
      </c>
      <c r="E701" s="2029"/>
      <c r="F701" s="2029"/>
      <c r="G701" s="811"/>
      <c r="H701" s="834"/>
      <c r="I701" s="1680" t="s">
        <v>2237</v>
      </c>
      <c r="J701" s="834"/>
      <c r="K701" s="834"/>
    </row>
    <row r="702" spans="1:11">
      <c r="A702" s="787"/>
      <c r="B702" s="787"/>
      <c r="C702" s="787"/>
      <c r="D702" s="2029"/>
      <c r="E702" s="2029"/>
      <c r="F702" s="2029"/>
      <c r="G702" s="811"/>
      <c r="H702" s="834"/>
      <c r="I702" s="1680"/>
      <c r="J702" s="834"/>
      <c r="K702" s="834"/>
    </row>
    <row r="703" spans="1:11">
      <c r="A703" s="787"/>
      <c r="B703" s="787"/>
      <c r="C703" s="787"/>
      <c r="D703" s="2029"/>
      <c r="E703" s="2029"/>
      <c r="F703" s="2029"/>
      <c r="G703" s="811"/>
      <c r="H703" s="834"/>
      <c r="I703" s="1680"/>
      <c r="J703" s="834"/>
      <c r="K703" s="834"/>
    </row>
    <row r="704" spans="1:11" ht="15" customHeight="1">
      <c r="A704" s="787"/>
      <c r="B704" s="787"/>
      <c r="C704" s="787"/>
      <c r="D704" s="2029"/>
      <c r="E704" s="2029"/>
      <c r="F704" s="2029"/>
      <c r="G704" s="811"/>
      <c r="H704" s="834"/>
      <c r="I704" s="1680"/>
      <c r="J704" s="834"/>
      <c r="K704" s="834"/>
    </row>
    <row r="705" spans="1:11" ht="15" customHeight="1">
      <c r="A705" s="787"/>
      <c r="B705" s="787"/>
      <c r="C705" s="787"/>
      <c r="D705" s="2029"/>
      <c r="E705" s="2029"/>
      <c r="F705" s="2029"/>
      <c r="G705" s="811"/>
      <c r="H705" s="834"/>
      <c r="I705" s="1680"/>
      <c r="J705" s="834"/>
      <c r="K705" s="834"/>
    </row>
    <row r="706" spans="1:11">
      <c r="A706" s="787"/>
      <c r="B706" s="787"/>
      <c r="C706" s="787"/>
      <c r="D706" s="2029"/>
      <c r="E706" s="2029"/>
      <c r="F706" s="2029"/>
      <c r="G706" s="811"/>
      <c r="H706" s="834"/>
      <c r="I706" s="1680"/>
      <c r="J706" s="834"/>
      <c r="K706" s="834"/>
    </row>
    <row r="707" spans="1:11">
      <c r="A707" s="787"/>
      <c r="B707" s="787"/>
      <c r="C707" s="787"/>
      <c r="D707" s="2029"/>
      <c r="E707" s="2029"/>
      <c r="F707" s="2029"/>
      <c r="G707" s="811"/>
      <c r="H707" s="834"/>
      <c r="I707" s="1680"/>
      <c r="J707" s="834"/>
      <c r="K707" s="834"/>
    </row>
    <row r="708" spans="1:11">
      <c r="A708" s="787"/>
      <c r="B708" s="787"/>
      <c r="C708" s="787"/>
      <c r="D708" s="2029"/>
      <c r="E708" s="2029"/>
      <c r="F708" s="2029"/>
      <c r="G708" s="811"/>
      <c r="H708" s="834"/>
      <c r="I708" s="1680"/>
      <c r="J708" s="834"/>
      <c r="K708" s="834"/>
    </row>
    <row r="709" spans="1:11" ht="15" customHeight="1">
      <c r="A709" s="787"/>
      <c r="B709" s="787"/>
      <c r="C709" s="787"/>
      <c r="D709" s="2029"/>
      <c r="E709" s="2029"/>
      <c r="F709" s="2029"/>
      <c r="G709" s="811"/>
      <c r="H709" s="834"/>
      <c r="I709" s="1680"/>
      <c r="J709" s="834"/>
      <c r="K709" s="834"/>
    </row>
    <row r="710" spans="1:11">
      <c r="A710" s="787"/>
      <c r="B710" s="787"/>
      <c r="C710" s="787"/>
      <c r="D710" s="2029"/>
      <c r="E710" s="2029"/>
      <c r="F710" s="2029"/>
      <c r="G710" s="811"/>
      <c r="H710" s="834"/>
      <c r="I710" s="1680"/>
      <c r="J710" s="834"/>
      <c r="K710" s="834"/>
    </row>
    <row r="711" spans="1:11">
      <c r="A711" s="787"/>
      <c r="B711" s="787"/>
      <c r="C711" s="787"/>
      <c r="D711" s="2029"/>
      <c r="E711" s="2029"/>
      <c r="F711" s="2029"/>
      <c r="G711" s="811"/>
      <c r="H711" s="834"/>
      <c r="I711" s="1680"/>
      <c r="J711" s="834"/>
      <c r="K711" s="834"/>
    </row>
    <row r="712" spans="1:11">
      <c r="A712" s="787"/>
      <c r="B712" s="787"/>
      <c r="C712" s="787"/>
      <c r="D712" s="2029"/>
      <c r="E712" s="2029"/>
      <c r="F712" s="2029"/>
      <c r="G712" s="811"/>
      <c r="H712" s="834"/>
      <c r="I712" s="1680"/>
      <c r="J712" s="834"/>
      <c r="K712" s="834"/>
    </row>
    <row r="713" spans="1:11">
      <c r="A713" s="787"/>
      <c r="B713" s="787"/>
      <c r="C713" s="787"/>
      <c r="D713" s="2029"/>
      <c r="E713" s="2029"/>
      <c r="F713" s="2029"/>
      <c r="G713" s="811"/>
      <c r="H713" s="834"/>
      <c r="I713" s="1680"/>
      <c r="J713" s="834"/>
      <c r="K713" s="834"/>
    </row>
    <row r="714" spans="1:11">
      <c r="A714" s="787"/>
      <c r="B714" s="790" t="s">
        <v>2758</v>
      </c>
      <c r="C714" s="787"/>
      <c r="D714" s="2029" t="s">
        <v>1192</v>
      </c>
      <c r="E714" s="2029"/>
      <c r="F714" s="2029"/>
      <c r="G714" s="811"/>
      <c r="H714" s="834"/>
      <c r="I714" s="1680" t="s">
        <v>2287</v>
      </c>
      <c r="J714" s="834"/>
      <c r="K714" s="834"/>
    </row>
    <row r="715" spans="1:11">
      <c r="A715" s="787"/>
      <c r="B715" s="787"/>
      <c r="C715" s="787"/>
      <c r="D715" s="2029"/>
      <c r="E715" s="2029"/>
      <c r="F715" s="202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2758</v>
      </c>
      <c r="C717" s="787"/>
      <c r="D717" s="2029" t="s">
        <v>1186</v>
      </c>
      <c r="E717" s="2029"/>
      <c r="F717" s="2029"/>
      <c r="G717" s="811"/>
      <c r="H717" s="834"/>
      <c r="I717" s="1680" t="s">
        <v>2287</v>
      </c>
      <c r="J717" s="834"/>
      <c r="K717" s="834"/>
    </row>
    <row r="718" spans="1:11">
      <c r="A718" s="787"/>
      <c r="B718" s="787"/>
      <c r="C718" s="787"/>
      <c r="D718" s="2029"/>
      <c r="E718" s="2029"/>
      <c r="F718" s="2029"/>
      <c r="G718" s="811"/>
      <c r="H718" s="834"/>
      <c r="I718" s="1680"/>
      <c r="J718" s="834"/>
      <c r="K718" s="834"/>
    </row>
    <row r="719" spans="1:11">
      <c r="A719" s="787"/>
      <c r="B719" s="787"/>
      <c r="C719" s="787"/>
      <c r="D719" s="2029"/>
      <c r="E719" s="2029"/>
      <c r="F719" s="2029"/>
      <c r="G719" s="811"/>
      <c r="H719" s="834"/>
      <c r="I719" s="1680"/>
      <c r="J719" s="834"/>
      <c r="K719" s="834"/>
    </row>
    <row r="720" spans="1:11">
      <c r="A720" s="787"/>
      <c r="B720" s="787"/>
      <c r="C720" s="787"/>
      <c r="D720" s="794"/>
      <c r="G720" s="811"/>
      <c r="H720" s="834"/>
      <c r="I720" s="1680"/>
      <c r="J720" s="834"/>
      <c r="K720" s="834"/>
    </row>
    <row r="721" spans="1:11">
      <c r="A721" s="787"/>
      <c r="B721" s="790" t="s">
        <v>2758</v>
      </c>
      <c r="C721" s="787"/>
      <c r="D721" s="2029" t="s">
        <v>1187</v>
      </c>
      <c r="E721" s="2029"/>
      <c r="F721" s="2029"/>
      <c r="G721" s="811"/>
      <c r="H721" s="834"/>
      <c r="I721" s="1680" t="s">
        <v>2287</v>
      </c>
      <c r="J721" s="834"/>
      <c r="K721" s="834"/>
    </row>
    <row r="722" spans="1:11">
      <c r="A722" s="787"/>
      <c r="B722" s="787"/>
      <c r="C722" s="787"/>
      <c r="D722" s="2029"/>
      <c r="E722" s="2029"/>
      <c r="F722" s="2029"/>
      <c r="G722" s="811"/>
      <c r="H722" s="834"/>
      <c r="I722" s="1680"/>
      <c r="J722" s="834"/>
      <c r="K722" s="834"/>
    </row>
    <row r="723" spans="1:11">
      <c r="A723" s="787"/>
      <c r="B723" s="787"/>
      <c r="C723" s="787"/>
      <c r="D723" s="2029"/>
      <c r="E723" s="2029"/>
      <c r="F723" s="2029"/>
      <c r="G723" s="811"/>
      <c r="H723" s="834"/>
      <c r="I723" s="1680"/>
      <c r="J723" s="834"/>
      <c r="K723" s="834"/>
    </row>
    <row r="724" spans="1:11">
      <c r="A724" s="787"/>
      <c r="B724" s="787"/>
      <c r="C724" s="787"/>
      <c r="D724" s="782"/>
      <c r="G724" s="811"/>
      <c r="H724" s="834"/>
      <c r="I724" s="1680"/>
      <c r="J724" s="834"/>
      <c r="K724" s="834"/>
    </row>
    <row r="725" spans="1:11" ht="14.25">
      <c r="A725" s="789"/>
      <c r="B725" s="790" t="s">
        <v>2758</v>
      </c>
      <c r="C725" s="787"/>
      <c r="D725" s="1943" t="s">
        <v>1188</v>
      </c>
      <c r="E725" s="1943"/>
      <c r="F725" s="1943"/>
      <c r="G725" s="811"/>
      <c r="H725" s="834"/>
      <c r="I725" s="1680" t="s">
        <v>2238</v>
      </c>
      <c r="J725" s="834"/>
      <c r="K725" s="834"/>
    </row>
    <row r="726" spans="1:11">
      <c r="A726" s="787"/>
      <c r="B726" s="787"/>
      <c r="C726" s="787"/>
      <c r="D726" s="1943"/>
      <c r="E726" s="1943"/>
      <c r="F726" s="1943"/>
      <c r="G726" s="811"/>
      <c r="H726" s="834"/>
      <c r="I726" s="1680"/>
      <c r="J726" s="834"/>
      <c r="K726" s="834"/>
    </row>
    <row r="727" spans="1:11">
      <c r="A727" s="787"/>
      <c r="B727" s="787"/>
      <c r="C727" s="787"/>
      <c r="D727" s="1943"/>
      <c r="E727" s="1943"/>
      <c r="F727" s="1943"/>
      <c r="G727" s="811"/>
      <c r="H727" s="834"/>
      <c r="I727" s="1680"/>
      <c r="J727" s="834"/>
      <c r="K727" s="834"/>
    </row>
    <row r="728" spans="1:11">
      <c r="A728" s="787"/>
      <c r="B728" s="787"/>
      <c r="C728" s="787"/>
      <c r="D728" s="1943"/>
      <c r="E728" s="1943"/>
      <c r="F728" s="1943"/>
      <c r="G728" s="811"/>
      <c r="H728" s="834"/>
      <c r="I728" s="1680"/>
      <c r="J728" s="834"/>
      <c r="K728" s="834"/>
    </row>
    <row r="729" spans="1:11">
      <c r="A729" s="787"/>
      <c r="B729" s="787"/>
      <c r="C729" s="787"/>
      <c r="D729" s="814"/>
      <c r="G729" s="811"/>
      <c r="H729" s="834"/>
      <c r="I729" s="1680"/>
      <c r="J729" s="834"/>
      <c r="K729" s="834"/>
    </row>
    <row r="730" spans="1:11" ht="14.25">
      <c r="A730" s="789"/>
      <c r="B730" s="790" t="s">
        <v>2758</v>
      </c>
      <c r="C730" s="787"/>
      <c r="D730" s="2029" t="s">
        <v>2540</v>
      </c>
      <c r="E730" s="2029"/>
      <c r="F730" s="2029"/>
      <c r="G730" s="811"/>
      <c r="H730" s="834"/>
      <c r="I730" s="1680" t="s">
        <v>2254</v>
      </c>
      <c r="J730" s="834"/>
      <c r="K730" s="834"/>
    </row>
    <row r="731" spans="1:11">
      <c r="A731" s="787"/>
      <c r="B731" s="787"/>
      <c r="C731" s="787"/>
      <c r="D731" s="2029"/>
      <c r="E731" s="2029"/>
      <c r="F731" s="2029"/>
      <c r="G731" s="811"/>
      <c r="H731" s="834"/>
      <c r="I731" s="1680"/>
      <c r="J731" s="834"/>
      <c r="K731" s="834"/>
    </row>
    <row r="732" spans="1:11">
      <c r="A732" s="787"/>
      <c r="B732" s="787"/>
      <c r="C732" s="787"/>
      <c r="D732" s="2029"/>
      <c r="E732" s="2029"/>
      <c r="F732" s="2029"/>
      <c r="G732" s="811"/>
      <c r="H732" s="834"/>
      <c r="I732" s="1680"/>
      <c r="J732" s="834"/>
      <c r="K732" s="834"/>
    </row>
    <row r="733" spans="1:11">
      <c r="A733" s="787"/>
      <c r="B733" s="787"/>
      <c r="C733" s="787"/>
      <c r="D733" s="2029"/>
      <c r="E733" s="2029"/>
      <c r="F733" s="2029"/>
      <c r="G733" s="811"/>
      <c r="H733" s="834"/>
      <c r="I733" s="1680"/>
      <c r="J733" s="834"/>
      <c r="K733" s="834"/>
    </row>
    <row r="734" spans="1:11">
      <c r="A734" s="787"/>
      <c r="B734" s="787"/>
      <c r="C734" s="787"/>
      <c r="D734" s="2029"/>
      <c r="E734" s="2029"/>
      <c r="F734" s="2029"/>
      <c r="G734" s="811"/>
      <c r="H734" s="834"/>
      <c r="I734" s="1680"/>
      <c r="J734" s="834"/>
      <c r="K734" s="834"/>
    </row>
    <row r="735" spans="1:11">
      <c r="A735" s="787"/>
      <c r="B735" s="787"/>
      <c r="C735" s="787"/>
      <c r="D735" s="2029"/>
      <c r="E735" s="2029"/>
      <c r="F735" s="2029"/>
      <c r="G735" s="811"/>
      <c r="H735" s="834"/>
      <c r="I735" s="1680"/>
      <c r="J735" s="834"/>
      <c r="K735" s="834"/>
    </row>
    <row r="736" spans="1:11">
      <c r="A736" s="787"/>
      <c r="B736" s="787"/>
      <c r="C736" s="787"/>
      <c r="D736" s="2029"/>
      <c r="E736" s="2029"/>
      <c r="F736" s="2029"/>
      <c r="G736" s="811"/>
      <c r="H736" s="834"/>
      <c r="I736" s="1680"/>
      <c r="J736" s="834"/>
      <c r="K736" s="834"/>
    </row>
    <row r="737" spans="1:11">
      <c r="A737" s="787"/>
      <c r="B737" s="787"/>
      <c r="C737" s="787"/>
      <c r="D737" s="1973" t="s">
        <v>2549</v>
      </c>
      <c r="E737" s="1973"/>
      <c r="F737" s="1973"/>
      <c r="G737" s="811"/>
      <c r="H737" s="834"/>
      <c r="I737" s="1680"/>
      <c r="J737" s="834"/>
      <c r="K737" s="834"/>
    </row>
    <row r="738" spans="1:11">
      <c r="A738" s="787"/>
      <c r="B738" s="787"/>
      <c r="C738" s="787"/>
      <c r="D738" s="774"/>
      <c r="G738" s="811"/>
      <c r="H738" s="834"/>
      <c r="I738" s="1680"/>
      <c r="J738" s="834"/>
      <c r="K738" s="834"/>
    </row>
    <row r="739" spans="1:11">
      <c r="A739" s="1975" t="s">
        <v>1146</v>
      </c>
      <c r="B739" s="1975"/>
      <c r="C739" s="1975"/>
      <c r="D739" s="1975"/>
      <c r="E739" s="1975"/>
      <c r="F739" s="1975"/>
      <c r="G739" s="1975"/>
      <c r="H739" s="1694"/>
      <c r="I739" s="1695"/>
      <c r="J739" s="834"/>
      <c r="K739" s="834"/>
    </row>
    <row r="740" spans="1:11">
      <c r="A740" s="787"/>
      <c r="B740" s="787"/>
      <c r="C740" s="787"/>
      <c r="D740" s="814"/>
      <c r="G740" s="839"/>
      <c r="H740" s="834"/>
      <c r="I740" s="1680"/>
      <c r="J740" s="834"/>
      <c r="K740" s="834"/>
    </row>
    <row r="741" spans="1:11" ht="13.7" customHeight="1">
      <c r="C741" s="787"/>
      <c r="D741" s="2013" t="s">
        <v>1162</v>
      </c>
      <c r="E741" s="2013"/>
      <c r="F741" s="2013"/>
      <c r="G741" s="839"/>
      <c r="H741" s="834"/>
      <c r="I741" s="1680"/>
      <c r="J741" s="834"/>
      <c r="K741" s="834"/>
    </row>
    <row r="742" spans="1:11">
      <c r="A742" s="787"/>
      <c r="B742" s="787"/>
      <c r="C742" s="787"/>
      <c r="D742" s="1969" t="s">
        <v>1163</v>
      </c>
      <c r="E742" s="1969"/>
      <c r="F742" s="1969"/>
      <c r="G742" s="839"/>
      <c r="H742" s="834"/>
      <c r="I742" s="1680"/>
      <c r="J742" s="834"/>
      <c r="K742" s="834"/>
    </row>
    <row r="743" spans="1:11">
      <c r="A743" s="787"/>
      <c r="B743" s="787"/>
      <c r="C743" s="787"/>
      <c r="G743" s="839"/>
      <c r="H743" s="834"/>
      <c r="I743" s="1680"/>
      <c r="J743" s="834"/>
      <c r="K743" s="834"/>
    </row>
    <row r="744" spans="1:11" s="783" customFormat="1" ht="14.25">
      <c r="A744" s="789"/>
      <c r="B744" s="790" t="s">
        <v>2757</v>
      </c>
      <c r="C744" s="780"/>
      <c r="D744" s="1943" t="s">
        <v>1164</v>
      </c>
      <c r="E744" s="1943"/>
      <c r="F744" s="1943"/>
      <c r="G744" s="839"/>
      <c r="H744" s="837"/>
      <c r="I744" s="1681" t="s">
        <v>2239</v>
      </c>
      <c r="J744" s="837"/>
      <c r="K744" s="837"/>
    </row>
    <row r="745" spans="1:11" s="783" customFormat="1" ht="10.5" customHeight="1">
      <c r="A745" s="780"/>
      <c r="B745" s="780"/>
      <c r="C745" s="780"/>
      <c r="D745" s="1943"/>
      <c r="E745" s="1943"/>
      <c r="F745" s="1943"/>
      <c r="G745" s="839"/>
      <c r="H745" s="837"/>
      <c r="I745" s="1681"/>
      <c r="J745" s="837"/>
      <c r="K745" s="837"/>
    </row>
    <row r="746" spans="1:11" s="783" customFormat="1">
      <c r="A746" s="780"/>
      <c r="B746" s="780"/>
      <c r="C746" s="780"/>
      <c r="D746" s="1943"/>
      <c r="E746" s="1943"/>
      <c r="F746" s="1943"/>
      <c r="G746" s="839"/>
      <c r="H746" s="837"/>
      <c r="I746" s="1681"/>
      <c r="J746" s="837"/>
      <c r="K746" s="837"/>
    </row>
    <row r="747" spans="1:11">
      <c r="D747" s="1943"/>
      <c r="E747" s="1943"/>
      <c r="F747" s="1943"/>
      <c r="G747" s="839"/>
      <c r="H747" s="834"/>
      <c r="I747" s="1680"/>
      <c r="J747" s="834"/>
      <c r="K747" s="834"/>
    </row>
    <row r="748" spans="1:11">
      <c r="A748" s="793"/>
      <c r="B748" s="793"/>
      <c r="C748" s="793"/>
      <c r="D748" s="1943"/>
      <c r="E748" s="1943"/>
      <c r="F748" s="1943"/>
      <c r="G748" s="840"/>
      <c r="H748" s="834"/>
      <c r="I748" s="1680"/>
      <c r="J748" s="834"/>
      <c r="K748" s="834"/>
    </row>
    <row r="749" spans="1:11" ht="15.6" customHeight="1">
      <c r="A749" s="793"/>
      <c r="B749" s="793"/>
      <c r="C749" s="793"/>
      <c r="D749" s="1943"/>
      <c r="E749" s="1943"/>
      <c r="F749" s="1943"/>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2757</v>
      </c>
      <c r="C751" s="843"/>
      <c r="D751" s="1944" t="s">
        <v>1411</v>
      </c>
      <c r="E751" s="1944"/>
      <c r="F751" s="1944"/>
      <c r="G751" s="844"/>
      <c r="I751" s="1682" t="s">
        <v>2239</v>
      </c>
    </row>
    <row r="752" spans="1:11" s="845" customFormat="1">
      <c r="A752" s="843"/>
      <c r="B752" s="843"/>
      <c r="C752" s="843"/>
      <c r="D752" s="1944"/>
      <c r="E752" s="1944"/>
      <c r="F752" s="1944"/>
      <c r="G752" s="844"/>
      <c r="I752" s="1682"/>
    </row>
    <row r="753" spans="1:11" s="845" customFormat="1">
      <c r="A753" s="843"/>
      <c r="B753" s="843"/>
      <c r="C753" s="843"/>
      <c r="D753" s="1944"/>
      <c r="E753" s="1944"/>
      <c r="F753" s="1944"/>
      <c r="G753" s="844"/>
      <c r="I753" s="1682"/>
    </row>
    <row r="754" spans="1:11" s="845" customFormat="1">
      <c r="A754" s="843"/>
      <c r="B754" s="843"/>
      <c r="C754" s="843"/>
      <c r="D754" s="1944"/>
      <c r="E754" s="1944"/>
      <c r="F754" s="1944"/>
      <c r="G754" s="844"/>
      <c r="I754" s="1682"/>
    </row>
    <row r="755" spans="1:11" s="845" customFormat="1">
      <c r="A755" s="843"/>
      <c r="B755" s="843"/>
      <c r="C755" s="843"/>
      <c r="D755" s="829"/>
      <c r="E755" s="844"/>
      <c r="F755" s="844"/>
      <c r="G755" s="844"/>
      <c r="I755" s="1682"/>
    </row>
    <row r="756" spans="1:11" s="845" customFormat="1" ht="14.25">
      <c r="A756" s="789"/>
      <c r="B756" s="790" t="s">
        <v>2758</v>
      </c>
      <c r="C756" s="843"/>
      <c r="D756" s="2037" t="s">
        <v>1412</v>
      </c>
      <c r="E756" s="2037"/>
      <c r="F756" s="2037"/>
      <c r="G756" s="844"/>
      <c r="I756" s="1682" t="s">
        <v>2240</v>
      </c>
    </row>
    <row r="757" spans="1:11" s="845" customFormat="1">
      <c r="A757" s="843"/>
      <c r="B757" s="843"/>
      <c r="C757" s="843"/>
      <c r="D757" s="2037"/>
      <c r="E757" s="2037"/>
      <c r="F757" s="2037"/>
      <c r="G757" s="844"/>
      <c r="I757" s="1682"/>
    </row>
    <row r="758" spans="1:11" s="845" customFormat="1">
      <c r="A758" s="843"/>
      <c r="B758" s="843"/>
      <c r="C758" s="843"/>
      <c r="D758" s="2037"/>
      <c r="E758" s="2037"/>
      <c r="F758" s="2037"/>
      <c r="G758" s="844"/>
      <c r="I758" s="1682"/>
    </row>
    <row r="759" spans="1:11">
      <c r="A759" s="793"/>
      <c r="B759" s="793"/>
      <c r="C759" s="793"/>
      <c r="D759" s="829"/>
      <c r="E759" s="841"/>
      <c r="F759" s="841"/>
      <c r="G759" s="840"/>
      <c r="H759" s="834"/>
      <c r="I759" s="1680"/>
      <c r="J759" s="834"/>
      <c r="K759" s="834"/>
    </row>
    <row r="760" spans="1:11" ht="14.25">
      <c r="A760" s="789"/>
      <c r="B760" s="790" t="s">
        <v>2758</v>
      </c>
      <c r="C760" s="793"/>
      <c r="D760" s="1944" t="s">
        <v>1362</v>
      </c>
      <c r="E760" s="1944"/>
      <c r="F760" s="1944"/>
      <c r="G760" s="840"/>
      <c r="H760" s="834"/>
      <c r="I760" s="1680" t="s">
        <v>2239</v>
      </c>
      <c r="J760" s="834"/>
      <c r="K760" s="834"/>
    </row>
    <row r="761" spans="1:11">
      <c r="A761" s="793"/>
      <c r="B761" s="793"/>
      <c r="C761" s="793"/>
      <c r="D761" s="1944"/>
      <c r="E761" s="1944"/>
      <c r="F761" s="1944"/>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2758</v>
      </c>
      <c r="C763" s="793"/>
      <c r="D763" s="1944" t="s">
        <v>1380</v>
      </c>
      <c r="E763" s="1944"/>
      <c r="F763" s="1944"/>
      <c r="G763" s="840"/>
      <c r="H763" s="834"/>
      <c r="I763" s="1680" t="s">
        <v>2239</v>
      </c>
      <c r="J763" s="834"/>
      <c r="K763" s="834"/>
    </row>
    <row r="764" spans="1:11">
      <c r="A764" s="793"/>
      <c r="B764" s="793"/>
      <c r="C764" s="793"/>
      <c r="D764" s="1944"/>
      <c r="E764" s="1944"/>
      <c r="F764" s="1944"/>
      <c r="G764" s="840"/>
      <c r="H764" s="834"/>
      <c r="I764" s="1680"/>
      <c r="J764" s="834"/>
      <c r="K764" s="834"/>
    </row>
    <row r="765" spans="1:11">
      <c r="A765" s="793"/>
      <c r="B765" s="793"/>
      <c r="C765" s="793"/>
      <c r="D765" s="1944"/>
      <c r="E765" s="1944"/>
      <c r="F765" s="1944"/>
      <c r="G765" s="840"/>
      <c r="H765" s="834"/>
      <c r="I765" s="1680"/>
      <c r="J765" s="834"/>
      <c r="K765" s="834"/>
    </row>
    <row r="766" spans="1:11">
      <c r="A766" s="793"/>
      <c r="B766" s="793"/>
      <c r="C766" s="793"/>
      <c r="D766" s="773"/>
      <c r="E766" s="773"/>
      <c r="F766" s="773"/>
      <c r="G766" s="840"/>
      <c r="H766" s="834"/>
      <c r="I766" s="1680"/>
      <c r="J766" s="834"/>
      <c r="K766" s="834"/>
    </row>
    <row r="767" spans="1:11">
      <c r="A767" s="2040" t="s">
        <v>2118</v>
      </c>
      <c r="B767" s="2040"/>
      <c r="C767" s="2040"/>
      <c r="D767" s="2040"/>
      <c r="E767" s="2040"/>
      <c r="F767" s="2040"/>
      <c r="G767" s="2040"/>
      <c r="H767" s="1692"/>
      <c r="I767" s="1693"/>
    </row>
    <row r="768" spans="1:11">
      <c r="A768" s="93"/>
      <c r="B768" s="93"/>
      <c r="C768" s="1576"/>
      <c r="D768" s="155"/>
      <c r="E768" s="155"/>
      <c r="F768" s="155"/>
      <c r="G768" s="678"/>
    </row>
    <row r="769" spans="1:9">
      <c r="A769" s="93"/>
      <c r="B769" s="93"/>
      <c r="C769" s="1576"/>
      <c r="D769" s="2041" t="s">
        <v>2172</v>
      </c>
      <c r="E769" s="2041"/>
      <c r="F769" s="2041"/>
      <c r="G769" s="678"/>
    </row>
    <row r="770" spans="1:9">
      <c r="A770" s="93"/>
      <c r="B770" s="93"/>
      <c r="C770" s="1576"/>
      <c r="D770" s="2018" t="s">
        <v>2071</v>
      </c>
      <c r="E770" s="2018"/>
      <c r="F770" s="2018"/>
      <c r="G770" s="678"/>
    </row>
    <row r="771" spans="1:9">
      <c r="A771" s="93"/>
      <c r="B771" s="93"/>
      <c r="C771" s="1576"/>
      <c r="D771" s="725"/>
      <c r="E771" s="725"/>
      <c r="F771" s="725"/>
      <c r="G771" s="678"/>
    </row>
    <row r="772" spans="1:9">
      <c r="A772" s="93"/>
      <c r="B772" s="1619" t="s">
        <v>2757</v>
      </c>
      <c r="C772" s="1576"/>
      <c r="D772" s="1965" t="s">
        <v>2072</v>
      </c>
      <c r="E772" s="1965"/>
      <c r="F772" s="1965"/>
      <c r="G772" s="678"/>
      <c r="I772" s="1680" t="s">
        <v>2289</v>
      </c>
    </row>
    <row r="773" spans="1:9">
      <c r="A773" s="93"/>
      <c r="B773" s="93"/>
      <c r="C773" s="1576"/>
      <c r="D773" s="1965"/>
      <c r="E773" s="1965"/>
      <c r="F773" s="1965"/>
      <c r="G773" s="678"/>
    </row>
    <row r="774" spans="1:9">
      <c r="A774" s="712"/>
      <c r="B774" s="712"/>
      <c r="C774" s="313"/>
      <c r="D774" s="1965"/>
      <c r="E774" s="1965"/>
      <c r="F774" s="1965"/>
      <c r="G774" s="1577"/>
    </row>
    <row r="775" spans="1:9">
      <c r="A775" s="1571"/>
      <c r="B775" s="1571"/>
      <c r="C775" s="1578"/>
      <c r="D775" s="1556"/>
      <c r="E775" s="678"/>
      <c r="F775" s="678"/>
      <c r="G775" s="678"/>
    </row>
    <row r="776" spans="1:9">
      <c r="A776" s="267"/>
      <c r="B776" s="790" t="s">
        <v>2758</v>
      </c>
      <c r="C776" s="1579"/>
      <c r="D776" s="1965" t="s">
        <v>2073</v>
      </c>
      <c r="E776" s="1965"/>
      <c r="F776" s="1965"/>
      <c r="G776" s="678"/>
      <c r="I776" s="1680" t="s">
        <v>2289</v>
      </c>
    </row>
    <row r="777" spans="1:9">
      <c r="A777" s="1580"/>
      <c r="B777" s="1580"/>
      <c r="C777" s="1581"/>
      <c r="D777" s="1965"/>
      <c r="E777" s="1965"/>
      <c r="F777" s="1965"/>
      <c r="G777" s="678"/>
    </row>
    <row r="778" spans="1:9">
      <c r="A778" s="267"/>
      <c r="B778" s="267"/>
      <c r="C778" s="1579"/>
      <c r="D778" s="1965"/>
      <c r="E778" s="1965"/>
      <c r="F778" s="1965"/>
      <c r="G778" s="678"/>
    </row>
    <row r="779" spans="1:9">
      <c r="A779" s="712"/>
      <c r="B779" s="712"/>
      <c r="C779" s="313"/>
      <c r="D779" s="6"/>
      <c r="E779" s="1582"/>
      <c r="F779" s="1582"/>
      <c r="G779" s="1583"/>
    </row>
    <row r="780" spans="1:9" ht="14.25">
      <c r="A780" s="706"/>
      <c r="B780" s="790" t="s">
        <v>2758</v>
      </c>
      <c r="C780" s="1584"/>
      <c r="D780" s="1965" t="s">
        <v>2074</v>
      </c>
      <c r="E780" s="1965"/>
      <c r="F780" s="1965"/>
      <c r="G780" s="1583"/>
      <c r="I780" s="1680" t="s">
        <v>2289</v>
      </c>
    </row>
    <row r="781" spans="1:9" ht="14.25">
      <c r="A781" s="706"/>
      <c r="B781" s="706"/>
      <c r="C781" s="1584"/>
      <c r="D781" s="1965"/>
      <c r="E781" s="1965"/>
      <c r="F781" s="1965"/>
      <c r="G781" s="1583"/>
    </row>
    <row r="782" spans="1:9" ht="14.25">
      <c r="A782" s="706"/>
      <c r="B782" s="706"/>
      <c r="C782" s="1584"/>
      <c r="D782" s="1965"/>
      <c r="E782" s="1965"/>
      <c r="F782" s="1965"/>
      <c r="G782" s="1583"/>
    </row>
    <row r="783" spans="1:9" ht="14.25">
      <c r="A783" s="706"/>
      <c r="B783" s="706"/>
      <c r="C783" s="1584"/>
      <c r="D783" s="1554"/>
      <c r="E783" s="6"/>
      <c r="F783" s="6"/>
      <c r="G783" s="1583"/>
    </row>
    <row r="784" spans="1:9" ht="14.25">
      <c r="A784" s="706"/>
      <c r="B784" s="1619" t="s">
        <v>2758</v>
      </c>
      <c r="C784" s="1584"/>
      <c r="D784" s="1965" t="s">
        <v>2075</v>
      </c>
      <c r="E784" s="1965"/>
      <c r="F784" s="1965"/>
      <c r="G784" s="1583"/>
      <c r="I784" s="1680" t="s">
        <v>2289</v>
      </c>
    </row>
    <row r="785" spans="1:9" ht="14.25">
      <c r="A785" s="706"/>
      <c r="B785" s="706"/>
      <c r="C785" s="1584"/>
      <c r="D785" s="1965"/>
      <c r="E785" s="1965"/>
      <c r="F785" s="1965"/>
      <c r="G785" s="1583"/>
    </row>
    <row r="786" spans="1:9" ht="14.25">
      <c r="A786" s="706"/>
      <c r="B786" s="706"/>
      <c r="C786" s="1584"/>
      <c r="D786" s="1965"/>
      <c r="E786" s="1965"/>
      <c r="F786" s="1965"/>
      <c r="G786" s="1583"/>
    </row>
    <row r="787" spans="1:9" ht="14.25">
      <c r="A787" s="706"/>
      <c r="B787" s="706"/>
      <c r="C787" s="1584"/>
      <c r="D787" s="1965"/>
      <c r="E787" s="1965"/>
      <c r="F787" s="1965"/>
      <c r="G787" s="1583"/>
    </row>
    <row r="788" spans="1:9" ht="14.25">
      <c r="A788" s="706"/>
      <c r="B788" s="706"/>
      <c r="C788" s="1584"/>
      <c r="D788" s="1965"/>
      <c r="E788" s="1965"/>
      <c r="F788" s="1965"/>
      <c r="G788" s="1583"/>
    </row>
    <row r="789" spans="1:9" ht="14.25">
      <c r="A789" s="706"/>
      <c r="B789" s="706"/>
      <c r="C789" s="1584"/>
      <c r="D789" s="1965"/>
      <c r="E789" s="1965"/>
      <c r="F789" s="1965"/>
      <c r="G789" s="1583"/>
    </row>
    <row r="790" spans="1:9" ht="14.25">
      <c r="A790" s="706"/>
      <c r="B790" s="706"/>
      <c r="C790" s="1584"/>
      <c r="D790" s="1965" t="s">
        <v>2119</v>
      </c>
      <c r="E790" s="1965"/>
      <c r="F790" s="1965"/>
      <c r="G790" s="1583"/>
    </row>
    <row r="791" spans="1:9" ht="14.25">
      <c r="A791" s="706"/>
      <c r="B791" s="706"/>
      <c r="C791" s="1584"/>
      <c r="D791" s="1965"/>
      <c r="E791" s="1965"/>
      <c r="F791" s="1965"/>
      <c r="G791" s="1583"/>
    </row>
    <row r="792" spans="1:9" ht="14.25">
      <c r="A792" s="706"/>
      <c r="B792" s="706"/>
      <c r="C792" s="1584"/>
      <c r="D792" s="1965"/>
      <c r="E792" s="1965"/>
      <c r="F792" s="1965"/>
      <c r="G792" s="1583"/>
    </row>
    <row r="793" spans="1:9" ht="14.25">
      <c r="A793" s="706"/>
      <c r="B793" s="549"/>
      <c r="C793" s="1584"/>
      <c r="D793" s="1585"/>
      <c r="E793" s="1585"/>
      <c r="F793" s="1585"/>
      <c r="G793" s="1583"/>
    </row>
    <row r="794" spans="1:9" ht="14.25">
      <c r="A794" s="706"/>
      <c r="B794" s="790" t="s">
        <v>2758</v>
      </c>
      <c r="C794" s="1584"/>
      <c r="D794" s="1965" t="s">
        <v>2076</v>
      </c>
      <c r="E794" s="1965"/>
      <c r="F794" s="1965"/>
      <c r="G794" s="1583"/>
      <c r="I794" s="1680" t="s">
        <v>2289</v>
      </c>
    </row>
    <row r="795" spans="1:9" ht="14.25">
      <c r="A795" s="706"/>
      <c r="B795" s="706"/>
      <c r="C795" s="1584"/>
      <c r="D795" s="1965"/>
      <c r="E795" s="1965"/>
      <c r="F795" s="1965"/>
      <c r="G795" s="1583"/>
    </row>
    <row r="796" spans="1:9" ht="14.25">
      <c r="A796" s="706"/>
      <c r="B796" s="706"/>
      <c r="C796" s="1584"/>
      <c r="D796" s="1965"/>
      <c r="E796" s="1965"/>
      <c r="F796" s="1965"/>
      <c r="G796" s="1583"/>
    </row>
    <row r="797" spans="1:9" ht="14.25">
      <c r="A797" s="706"/>
      <c r="B797" s="706"/>
      <c r="C797" s="1584"/>
      <c r="D797" s="1965"/>
      <c r="E797" s="1965"/>
      <c r="F797" s="1965"/>
      <c r="G797" s="1583"/>
    </row>
    <row r="798" spans="1:9" ht="14.25">
      <c r="A798" s="706"/>
      <c r="B798" s="706"/>
      <c r="C798" s="1584"/>
      <c r="D798" s="1965"/>
      <c r="E798" s="1965"/>
      <c r="F798" s="1965"/>
      <c r="G798" s="1583"/>
    </row>
    <row r="799" spans="1:9" ht="14.25">
      <c r="A799" s="706"/>
      <c r="B799" s="706"/>
      <c r="C799" s="1584"/>
      <c r="D799" s="1965"/>
      <c r="E799" s="1965"/>
      <c r="F799" s="1965"/>
      <c r="G799" s="1583"/>
    </row>
    <row r="800" spans="1:9" ht="14.25">
      <c r="A800" s="706"/>
      <c r="B800" s="706"/>
      <c r="C800" s="1584"/>
      <c r="D800" s="1563"/>
      <c r="E800" s="1563"/>
      <c r="F800" s="1563"/>
      <c r="G800" s="1583"/>
    </row>
    <row r="801" spans="1:9" ht="14.25">
      <c r="A801" s="706"/>
      <c r="B801" s="790" t="s">
        <v>2757</v>
      </c>
      <c r="C801" s="1584"/>
      <c r="D801" s="1965" t="s">
        <v>2077</v>
      </c>
      <c r="E801" s="1965"/>
      <c r="F801" s="1965"/>
      <c r="G801" s="1583"/>
      <c r="I801" s="1680" t="s">
        <v>2289</v>
      </c>
    </row>
    <row r="802" spans="1:9" ht="14.25">
      <c r="A802" s="706"/>
      <c r="B802" s="706"/>
      <c r="C802" s="1584"/>
      <c r="D802" s="1965"/>
      <c r="E802" s="1965"/>
      <c r="F802" s="1965"/>
      <c r="G802" s="1583"/>
    </row>
    <row r="803" spans="1:9" ht="14.25">
      <c r="A803" s="706"/>
      <c r="B803" s="706"/>
      <c r="C803" s="1584"/>
      <c r="D803" s="1965"/>
      <c r="E803" s="1965"/>
      <c r="F803" s="1965"/>
      <c r="G803" s="1583"/>
    </row>
    <row r="804" spans="1:9" ht="14.25">
      <c r="A804" s="706"/>
      <c r="B804" s="706"/>
      <c r="C804" s="1584"/>
      <c r="D804" s="1965"/>
      <c r="E804" s="1965"/>
      <c r="F804" s="1965"/>
      <c r="G804" s="1583"/>
    </row>
    <row r="805" spans="1:9" ht="14.25">
      <c r="A805" s="706"/>
      <c r="B805" s="706"/>
      <c r="C805" s="1584"/>
      <c r="D805" s="1965"/>
      <c r="E805" s="1965"/>
      <c r="F805" s="1965"/>
      <c r="G805" s="1583"/>
    </row>
    <row r="806" spans="1:9" ht="14.25">
      <c r="A806" s="706"/>
      <c r="B806" s="706"/>
      <c r="C806" s="1584"/>
      <c r="D806" s="1965"/>
      <c r="E806" s="1965"/>
      <c r="F806" s="1965"/>
      <c r="G806" s="1583"/>
    </row>
    <row r="807" spans="1:9" ht="14.25">
      <c r="A807" s="706"/>
      <c r="B807" s="706"/>
      <c r="C807" s="1584"/>
      <c r="D807" s="1563"/>
      <c r="E807" s="1563"/>
      <c r="F807" s="1563"/>
      <c r="G807" s="1583"/>
    </row>
    <row r="808" spans="1:9" ht="14.25">
      <c r="A808" s="706"/>
      <c r="B808" s="790" t="s">
        <v>2758</v>
      </c>
      <c r="C808" s="1584"/>
      <c r="D808" s="1962" t="s">
        <v>2078</v>
      </c>
      <c r="E808" s="1962"/>
      <c r="F808" s="1962"/>
      <c r="G808" s="1583"/>
      <c r="I808" s="1680" t="s">
        <v>2289</v>
      </c>
    </row>
    <row r="809" spans="1:9" ht="14.25">
      <c r="A809" s="706"/>
      <c r="B809" s="706"/>
      <c r="C809" s="1584"/>
      <c r="D809" s="1962"/>
      <c r="E809" s="1962"/>
      <c r="F809" s="1962"/>
      <c r="G809" s="1583"/>
    </row>
    <row r="810" spans="1:9">
      <c r="A810" s="1570"/>
      <c r="B810" s="1570"/>
      <c r="C810" s="1584"/>
      <c r="D810" s="1962"/>
      <c r="E810" s="1962"/>
      <c r="F810" s="1962"/>
      <c r="G810" s="1583"/>
    </row>
    <row r="811" spans="1:9" ht="14.25">
      <c r="A811" s="706"/>
      <c r="B811" s="1570"/>
      <c r="C811" s="1584"/>
      <c r="D811" s="1962"/>
      <c r="E811" s="1962"/>
      <c r="F811" s="1962"/>
      <c r="G811" s="1583"/>
    </row>
    <row r="812" spans="1:9" ht="12.75" customHeight="1">
      <c r="A812" s="706"/>
      <c r="B812" s="1570"/>
      <c r="C812" s="1584"/>
      <c r="D812" s="1962"/>
      <c r="E812" s="1962"/>
      <c r="F812" s="1962"/>
      <c r="G812" s="1583"/>
    </row>
    <row r="813" spans="1:9" ht="12.75" customHeight="1">
      <c r="A813" s="706"/>
      <c r="B813" s="1570"/>
      <c r="C813" s="1584"/>
      <c r="D813" s="1962"/>
      <c r="E813" s="1962"/>
      <c r="F813" s="1962"/>
      <c r="G813" s="1583"/>
    </row>
    <row r="814" spans="1:9" ht="12.75" customHeight="1">
      <c r="A814" s="1570"/>
      <c r="B814" s="1570"/>
      <c r="C814" s="1584"/>
      <c r="D814" s="1582"/>
      <c r="E814" s="6"/>
      <c r="F814" s="6"/>
      <c r="G814" s="1583"/>
    </row>
    <row r="815" spans="1:9" ht="12.75" customHeight="1">
      <c r="A815" s="1974" t="s">
        <v>2079</v>
      </c>
      <c r="B815" s="1974"/>
      <c r="C815" s="1974"/>
      <c r="D815" s="1974"/>
      <c r="E815" s="1974"/>
      <c r="F815" s="1974"/>
      <c r="G815" s="1974"/>
      <c r="H815" s="1692"/>
      <c r="I815" s="1693"/>
    </row>
    <row r="816" spans="1:9" ht="12.75" customHeight="1">
      <c r="A816" s="1560"/>
      <c r="B816" s="1560"/>
      <c r="C816" s="1584"/>
      <c r="D816" s="1582"/>
      <c r="E816" s="1582"/>
      <c r="F816" s="1582"/>
      <c r="G816" s="1583"/>
    </row>
    <row r="817" spans="1:9" ht="12.75" customHeight="1">
      <c r="A817" s="706"/>
      <c r="B817" s="706"/>
      <c r="C817" s="549"/>
      <c r="D817" s="1954" t="s">
        <v>2120</v>
      </c>
      <c r="E817" s="1954"/>
      <c r="F817" s="1954"/>
      <c r="G817" s="670"/>
    </row>
    <row r="818" spans="1:9" ht="14.25" customHeight="1">
      <c r="A818" s="706"/>
      <c r="B818" s="706"/>
      <c r="C818" s="549"/>
      <c r="D818" s="1905" t="s">
        <v>2080</v>
      </c>
      <c r="E818" s="1905"/>
      <c r="F818" s="1905"/>
      <c r="G818" s="670"/>
    </row>
    <row r="819" spans="1:9" ht="12.75" customHeight="1">
      <c r="A819" s="706"/>
      <c r="B819" s="706"/>
      <c r="C819" s="549"/>
      <c r="D819" s="1549"/>
      <c r="E819" s="1549"/>
      <c r="F819" s="1549"/>
      <c r="G819" s="670"/>
    </row>
    <row r="820" spans="1:9" ht="12.75" customHeight="1">
      <c r="A820" s="1586"/>
      <c r="B820" s="1619" t="s">
        <v>2757</v>
      </c>
      <c r="C820" s="1584"/>
      <c r="D820" s="1905" t="s">
        <v>2081</v>
      </c>
      <c r="E820" s="1905"/>
      <c r="F820" s="1905"/>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312</v>
      </c>
      <c r="C823" s="1584"/>
      <c r="D823" s="2012" t="s">
        <v>2550</v>
      </c>
      <c r="E823" s="2012"/>
      <c r="F823" s="2012"/>
      <c r="G823" s="670"/>
    </row>
    <row r="824" spans="1:9" ht="12.75" hidden="1" customHeight="1">
      <c r="A824" s="1570"/>
      <c r="B824" s="1570"/>
      <c r="C824" s="1584"/>
      <c r="D824" s="2012"/>
      <c r="E824" s="2012"/>
      <c r="F824" s="2012"/>
      <c r="G824" s="670"/>
    </row>
    <row r="825" spans="1:9" ht="12.75" hidden="1" customHeight="1">
      <c r="A825" s="1570"/>
      <c r="B825" s="1570"/>
      <c r="C825" s="1584"/>
      <c r="D825" s="2012"/>
      <c r="E825" s="2012"/>
      <c r="F825" s="2012"/>
      <c r="G825" s="670"/>
    </row>
    <row r="826" spans="1:9" ht="12.75" hidden="1" customHeight="1">
      <c r="A826" s="1570"/>
      <c r="B826" s="1570"/>
      <c r="C826" s="1584"/>
      <c r="D826" s="2012"/>
      <c r="E826" s="2012"/>
      <c r="F826" s="2012"/>
      <c r="G826" s="670"/>
    </row>
    <row r="827" spans="1:9" ht="12.75" hidden="1" customHeight="1">
      <c r="A827" s="1570"/>
      <c r="B827" s="1570"/>
      <c r="C827" s="1584"/>
      <c r="D827" s="2012"/>
      <c r="E827" s="2012"/>
      <c r="F827" s="2012"/>
      <c r="G827" s="670"/>
    </row>
    <row r="828" spans="1:9" ht="12.75" hidden="1" customHeight="1">
      <c r="A828" s="1570"/>
      <c r="B828" s="1570"/>
      <c r="C828" s="1584"/>
      <c r="D828" s="2012"/>
      <c r="E828" s="2012"/>
      <c r="F828" s="2012"/>
      <c r="G828" s="670"/>
    </row>
    <row r="829" spans="1:9" ht="12.75" hidden="1" customHeight="1">
      <c r="A829" s="1570"/>
      <c r="B829" s="1570"/>
      <c r="C829" s="1584"/>
      <c r="D829" s="2012"/>
      <c r="E829" s="2012"/>
      <c r="F829" s="2012"/>
      <c r="G829" s="670"/>
    </row>
    <row r="830" spans="1:9" ht="12.75" hidden="1" customHeight="1">
      <c r="A830" s="1570"/>
      <c r="B830" s="1570"/>
      <c r="C830" s="1584"/>
      <c r="D830" s="2012"/>
      <c r="E830" s="2012"/>
      <c r="F830" s="2012"/>
      <c r="G830" s="670"/>
    </row>
    <row r="831" spans="1:9" ht="12.75" hidden="1" customHeight="1">
      <c r="A831" s="1570"/>
      <c r="B831" s="1570"/>
      <c r="C831" s="1584"/>
      <c r="D831" s="2012"/>
      <c r="E831" s="2012"/>
      <c r="F831" s="2012"/>
      <c r="G831" s="670"/>
    </row>
    <row r="832" spans="1:9" ht="12.75" hidden="1" customHeight="1">
      <c r="A832" s="1570"/>
      <c r="B832" s="1570"/>
      <c r="C832" s="1584"/>
      <c r="D832" s="2012"/>
      <c r="E832" s="2012"/>
      <c r="F832" s="2012"/>
      <c r="G832" s="670"/>
    </row>
    <row r="833" spans="1:9" ht="12.75" hidden="1" customHeight="1">
      <c r="A833" s="1570"/>
      <c r="B833" s="1570"/>
      <c r="C833" s="1584"/>
      <c r="D833" s="1587"/>
      <c r="E833" s="6"/>
      <c r="F833" s="6"/>
      <c r="G833" s="670"/>
    </row>
    <row r="834" spans="1:9" ht="12.75" customHeight="1">
      <c r="A834" s="706"/>
      <c r="B834" s="1619" t="s">
        <v>2757</v>
      </c>
      <c r="C834" s="1584"/>
      <c r="D834" s="1905" t="s">
        <v>2082</v>
      </c>
      <c r="E834" s="1905"/>
      <c r="F834" s="1905"/>
      <c r="G834" s="670"/>
      <c r="I834" s="1618" t="s">
        <v>2275</v>
      </c>
    </row>
    <row r="835" spans="1:9" ht="12.75" customHeight="1">
      <c r="A835" s="706"/>
      <c r="B835" s="706"/>
      <c r="C835" s="1584"/>
      <c r="D835" s="1905"/>
      <c r="E835" s="1905"/>
      <c r="F835" s="1905"/>
      <c r="G835" s="670"/>
    </row>
    <row r="836" spans="1:9" ht="12.75" customHeight="1">
      <c r="A836" s="706"/>
      <c r="B836" s="706"/>
      <c r="C836" s="1584"/>
      <c r="D836" s="1905"/>
      <c r="E836" s="1905"/>
      <c r="F836" s="1905"/>
      <c r="G836" s="670"/>
    </row>
    <row r="837" spans="1:9" ht="12.75" customHeight="1">
      <c r="A837" s="400"/>
      <c r="B837" s="400"/>
      <c r="C837" s="1588"/>
      <c r="D837" s="1566"/>
      <c r="E837" s="670"/>
      <c r="F837" s="670"/>
      <c r="G837" s="670"/>
    </row>
    <row r="838" spans="1:9" ht="12.75" customHeight="1">
      <c r="A838" s="1589"/>
      <c r="B838" s="790" t="s">
        <v>2758</v>
      </c>
      <c r="C838" s="1588"/>
      <c r="D838" s="2010" t="s">
        <v>2083</v>
      </c>
      <c r="E838" s="2010"/>
      <c r="F838" s="2010"/>
      <c r="G838" s="670"/>
    </row>
    <row r="839" spans="1:9" ht="12.75" customHeight="1">
      <c r="A839" s="549"/>
      <c r="B839" s="1589"/>
      <c r="C839" s="1588"/>
      <c r="D839" s="2010"/>
      <c r="E839" s="2010"/>
      <c r="F839" s="2010"/>
      <c r="G839" s="670"/>
    </row>
    <row r="840" spans="1:9" ht="12.75" customHeight="1">
      <c r="A840" s="400"/>
      <c r="B840" s="549"/>
      <c r="C840" s="1588"/>
      <c r="D840" s="1906" t="s">
        <v>2541</v>
      </c>
      <c r="E840" s="1906"/>
      <c r="F840" s="1906"/>
      <c r="G840" s="670"/>
    </row>
    <row r="841" spans="1:9" ht="12.75" customHeight="1">
      <c r="A841" s="400"/>
      <c r="B841" s="400"/>
      <c r="C841" s="1588"/>
      <c r="D841" s="1906"/>
      <c r="E841" s="1906"/>
      <c r="F841" s="1906"/>
      <c r="G841" s="670"/>
    </row>
    <row r="842" spans="1:9" ht="12.75" customHeight="1">
      <c r="A842" s="400"/>
      <c r="B842" s="400"/>
      <c r="C842" s="1588"/>
      <c r="D842" s="1906"/>
      <c r="E842" s="1906"/>
      <c r="F842" s="1906"/>
      <c r="G842" s="670"/>
    </row>
    <row r="843" spans="1:9" ht="12.75" customHeight="1">
      <c r="A843" s="400"/>
      <c r="B843" s="400"/>
      <c r="C843" s="1588"/>
      <c r="D843" s="1906"/>
      <c r="E843" s="1906"/>
      <c r="F843" s="1906"/>
      <c r="G843" s="670"/>
    </row>
    <row r="844" spans="1:9" ht="12.75" customHeight="1">
      <c r="A844" s="400"/>
      <c r="B844" s="400"/>
      <c r="C844" s="1588"/>
      <c r="D844" s="1906"/>
      <c r="E844" s="1906"/>
      <c r="F844" s="1906"/>
      <c r="G844" s="670"/>
    </row>
    <row r="845" spans="1:9" ht="12.75" customHeight="1">
      <c r="A845" s="400"/>
      <c r="B845" s="400"/>
      <c r="C845" s="1588"/>
      <c r="D845" s="1906"/>
      <c r="E845" s="1906"/>
      <c r="F845" s="1906"/>
      <c r="G845" s="670"/>
    </row>
    <row r="846" spans="1:9" ht="12.75" customHeight="1">
      <c r="A846" s="400"/>
      <c r="B846" s="400"/>
      <c r="C846" s="1588"/>
      <c r="D846" s="1566"/>
      <c r="E846" s="670"/>
      <c r="F846" s="670"/>
      <c r="G846" s="670"/>
    </row>
    <row r="847" spans="1:9" ht="12.75" customHeight="1">
      <c r="A847" s="400"/>
      <c r="B847" s="790" t="s">
        <v>2758</v>
      </c>
      <c r="C847" s="1588"/>
      <c r="D847" s="1906" t="s">
        <v>2084</v>
      </c>
      <c r="E847" s="1906"/>
      <c r="F847" s="1906"/>
      <c r="G847" s="670"/>
      <c r="I847" s="1618" t="s">
        <v>2258</v>
      </c>
    </row>
    <row r="848" spans="1:9" ht="12.75" customHeight="1">
      <c r="A848" s="400"/>
      <c r="B848" s="400"/>
      <c r="C848" s="1588"/>
      <c r="D848" s="1906" t="s">
        <v>2085</v>
      </c>
      <c r="E848" s="1906"/>
      <c r="F848" s="1906"/>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2758</v>
      </c>
      <c r="C851" s="1588"/>
      <c r="D851" s="1906" t="s">
        <v>2086</v>
      </c>
      <c r="E851" s="1906"/>
      <c r="F851" s="1906"/>
      <c r="G851" s="670"/>
      <c r="I851" s="1618" t="s">
        <v>2276</v>
      </c>
    </row>
    <row r="852" spans="1:9" ht="12.75" customHeight="1">
      <c r="A852" s="400"/>
      <c r="B852" s="400"/>
      <c r="C852" s="1588"/>
      <c r="D852" s="1906"/>
      <c r="E852" s="1906"/>
      <c r="F852" s="1906"/>
      <c r="G852" s="670"/>
    </row>
    <row r="853" spans="1:9" ht="12.75" customHeight="1">
      <c r="A853" s="400"/>
      <c r="B853" s="400"/>
      <c r="C853" s="1588"/>
      <c r="D853" s="1906"/>
      <c r="E853" s="1906"/>
      <c r="F853" s="1906"/>
      <c r="G853" s="670"/>
    </row>
    <row r="854" spans="1:9" ht="12.75" customHeight="1">
      <c r="A854" s="400"/>
      <c r="B854" s="400"/>
      <c r="C854" s="1588"/>
      <c r="D854" s="1906"/>
      <c r="E854" s="1906"/>
      <c r="F854" s="1906"/>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8" t="s">
        <v>2121</v>
      </c>
      <c r="E858" s="1928"/>
      <c r="F858" s="1928"/>
      <c r="G858" s="1583"/>
    </row>
    <row r="859" spans="1:9" ht="12.75" customHeight="1">
      <c r="A859" s="1586"/>
      <c r="B859" s="1586"/>
      <c r="C859" s="313"/>
      <c r="D859" s="2011" t="s">
        <v>2088</v>
      </c>
      <c r="E859" s="2011"/>
      <c r="F859" s="2011"/>
      <c r="G859" s="1583"/>
    </row>
    <row r="860" spans="1:9" ht="12.75" customHeight="1">
      <c r="A860" s="1586"/>
      <c r="B860" s="1586"/>
      <c r="C860" s="313"/>
      <c r="D860" s="1594"/>
      <c r="E860" s="1594"/>
      <c r="F860" s="1594"/>
      <c r="G860" s="1583"/>
    </row>
    <row r="861" spans="1:9" ht="12.75" customHeight="1">
      <c r="A861" s="706"/>
      <c r="B861" s="790" t="s">
        <v>2757</v>
      </c>
      <c r="C861" s="549"/>
      <c r="D861" s="1918" t="s">
        <v>2089</v>
      </c>
      <c r="E861" s="1918"/>
      <c r="F861" s="1918"/>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1619" t="s">
        <v>2757</v>
      </c>
      <c r="C864" s="549"/>
      <c r="D864" s="1905" t="s">
        <v>2090</v>
      </c>
      <c r="E864" s="1929"/>
      <c r="F864" s="1929"/>
      <c r="G864" s="670"/>
      <c r="I864" s="1618" t="s">
        <v>2276</v>
      </c>
    </row>
    <row r="865" spans="1:9" ht="12.75" customHeight="1">
      <c r="A865" s="1586"/>
      <c r="B865" s="1586"/>
      <c r="C865" s="549"/>
      <c r="D865" s="1929"/>
      <c r="E865" s="1929"/>
      <c r="F865" s="1929"/>
      <c r="G865" s="670"/>
    </row>
    <row r="866" spans="1:9" ht="12.75" customHeight="1">
      <c r="A866" s="1586"/>
      <c r="B866" s="1586"/>
      <c r="C866" s="549"/>
      <c r="D866" s="1554"/>
      <c r="E866" s="6"/>
      <c r="F866" s="6"/>
      <c r="G866" s="670"/>
    </row>
    <row r="867" spans="1:9" ht="12.75" customHeight="1">
      <c r="A867" s="549"/>
      <c r="B867" s="790" t="s">
        <v>2758</v>
      </c>
      <c r="C867" s="550"/>
      <c r="D867" s="2008" t="s">
        <v>2091</v>
      </c>
      <c r="E867" s="2008"/>
      <c r="F867" s="2008"/>
      <c r="G867" s="1583"/>
    </row>
    <row r="868" spans="1:9" ht="12.75" customHeight="1">
      <c r="A868" s="549"/>
      <c r="B868" s="1595"/>
      <c r="C868" s="550"/>
      <c r="D868" s="2008"/>
      <c r="E868" s="2008"/>
      <c r="F868" s="2008"/>
      <c r="G868" s="1583"/>
    </row>
    <row r="869" spans="1:9" ht="12.75" customHeight="1">
      <c r="A869" s="706"/>
      <c r="B869" s="669"/>
      <c r="C869" s="549"/>
      <c r="D869" s="1906" t="s">
        <v>2541</v>
      </c>
      <c r="E869" s="1906"/>
      <c r="F869" s="1906"/>
      <c r="G869" s="1583"/>
    </row>
    <row r="870" spans="1:9" ht="12.75" customHeight="1">
      <c r="A870" s="706"/>
      <c r="B870" s="706"/>
      <c r="C870" s="549"/>
      <c r="D870" s="1906"/>
      <c r="E870" s="1906"/>
      <c r="F870" s="1906"/>
      <c r="G870" s="1583"/>
    </row>
    <row r="871" spans="1:9" ht="12.75" customHeight="1">
      <c r="A871" s="706"/>
      <c r="B871" s="706"/>
      <c r="C871" s="549"/>
      <c r="D871" s="1906"/>
      <c r="E871" s="1906"/>
      <c r="F871" s="1906"/>
      <c r="G871" s="1583"/>
    </row>
    <row r="872" spans="1:9" ht="12.75" customHeight="1">
      <c r="A872" s="706"/>
      <c r="B872" s="706"/>
      <c r="C872" s="549"/>
      <c r="D872" s="1906"/>
      <c r="E872" s="1906"/>
      <c r="F872" s="1906"/>
      <c r="G872" s="1583"/>
    </row>
    <row r="873" spans="1:9" ht="12.75" customHeight="1">
      <c r="A873" s="706"/>
      <c r="B873" s="706"/>
      <c r="C873" s="549"/>
      <c r="D873" s="1906"/>
      <c r="E873" s="1906"/>
      <c r="F873" s="1906"/>
      <c r="G873" s="1583"/>
    </row>
    <row r="874" spans="1:9" ht="12.75" customHeight="1">
      <c r="A874" s="706"/>
      <c r="B874" s="706"/>
      <c r="C874" s="549"/>
      <c r="D874" s="1906"/>
      <c r="E874" s="1906"/>
      <c r="F874" s="1906"/>
      <c r="G874" s="1583"/>
    </row>
    <row r="875" spans="1:9" ht="12.75" customHeight="1">
      <c r="A875" s="706"/>
      <c r="B875" s="706"/>
      <c r="C875" s="549"/>
      <c r="D875" s="1554"/>
      <c r="E875" s="1582"/>
      <c r="F875" s="1582"/>
      <c r="G875" s="1583"/>
    </row>
    <row r="876" spans="1:9" ht="12.75" customHeight="1">
      <c r="A876" s="706"/>
      <c r="B876" s="790" t="s">
        <v>2758</v>
      </c>
      <c r="C876" s="549"/>
      <c r="D876" s="1971" t="s">
        <v>2084</v>
      </c>
      <c r="E876" s="1971"/>
      <c r="F876" s="1971"/>
      <c r="G876" s="1583"/>
      <c r="I876" s="1618" t="s">
        <v>2258</v>
      </c>
    </row>
    <row r="877" spans="1:9" ht="12.75" customHeight="1">
      <c r="A877" s="706"/>
      <c r="B877" s="706"/>
      <c r="C877" s="549"/>
      <c r="D877" s="1971" t="s">
        <v>2085</v>
      </c>
      <c r="E877" s="1971"/>
      <c r="F877" s="1971"/>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2758</v>
      </c>
      <c r="C880" s="549"/>
      <c r="D880" s="1905" t="s">
        <v>2086</v>
      </c>
      <c r="E880" s="1905"/>
      <c r="F880" s="1905"/>
      <c r="G880" s="1583"/>
      <c r="I880" s="1618" t="s">
        <v>2276</v>
      </c>
    </row>
    <row r="881" spans="1:9" ht="12.75" customHeight="1">
      <c r="A881" s="706"/>
      <c r="B881" s="706"/>
      <c r="C881" s="549"/>
      <c r="D881" s="1905"/>
      <c r="E881" s="1905"/>
      <c r="F881" s="1905"/>
      <c r="G881" s="1583"/>
    </row>
    <row r="882" spans="1:9" ht="12.75" customHeight="1">
      <c r="A882" s="706"/>
      <c r="B882" s="706"/>
      <c r="C882" s="549"/>
      <c r="D882" s="1905"/>
      <c r="E882" s="1905"/>
      <c r="F882" s="1905"/>
      <c r="G882" s="1583"/>
    </row>
    <row r="883" spans="1:9" ht="12.75" customHeight="1">
      <c r="A883" s="706"/>
      <c r="B883" s="706"/>
      <c r="C883" s="549"/>
      <c r="D883" s="1905"/>
      <c r="E883" s="1905"/>
      <c r="F883" s="1905"/>
      <c r="G883" s="1583"/>
    </row>
    <row r="884" spans="1:9" ht="12.75" customHeight="1">
      <c r="A884" s="1555"/>
      <c r="B884" s="1555"/>
      <c r="C884" s="1584"/>
      <c r="D884" s="1582"/>
      <c r="E884" s="1582"/>
      <c r="F884" s="1582"/>
      <c r="G884" s="1583"/>
    </row>
    <row r="885" spans="1:9" ht="12.75" customHeight="1">
      <c r="A885" s="1974" t="s">
        <v>2122</v>
      </c>
      <c r="B885" s="1974"/>
      <c r="C885" s="1974"/>
      <c r="D885" s="1974"/>
      <c r="E885" s="1974"/>
      <c r="F885" s="1974"/>
      <c r="G885" s="1974"/>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4" t="s">
        <v>2128</v>
      </c>
      <c r="E887" s="1964"/>
      <c r="F887" s="1964"/>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2757</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64" t="s">
        <v>2123</v>
      </c>
      <c r="E891" s="1964"/>
      <c r="F891" s="1964"/>
      <c r="G891" s="1583"/>
    </row>
    <row r="892" spans="1:9" ht="12.75" customHeight="1">
      <c r="A892" s="1560"/>
      <c r="B892" s="1560"/>
      <c r="C892" s="1590"/>
      <c r="D892" s="1918" t="s">
        <v>2092</v>
      </c>
      <c r="E892" s="1918"/>
      <c r="F892" s="1918"/>
      <c r="G892" s="1583"/>
    </row>
    <row r="893" spans="1:9" ht="12.75" customHeight="1">
      <c r="A893" s="1600"/>
      <c r="B893" s="1600"/>
      <c r="C893" s="1584"/>
      <c r="D893" s="5"/>
      <c r="E893" s="1582"/>
      <c r="F893" s="1582"/>
      <c r="G893" s="1583"/>
    </row>
    <row r="894" spans="1:9" ht="12.75" customHeight="1">
      <c r="A894" s="706"/>
      <c r="B894" s="1619" t="s">
        <v>2757</v>
      </c>
      <c r="C894" s="549"/>
      <c r="D894" s="1905" t="s">
        <v>2096</v>
      </c>
      <c r="E894" s="1905"/>
      <c r="F894" s="1905"/>
      <c r="G894" s="670"/>
      <c r="I894" s="1618" t="s">
        <v>2242</v>
      </c>
    </row>
    <row r="895" spans="1:9" ht="12.75" customHeight="1">
      <c r="A895" s="1586"/>
      <c r="B895" s="1586"/>
      <c r="C895" s="549"/>
      <c r="D895" s="1905"/>
      <c r="E895" s="1905"/>
      <c r="F895" s="1905"/>
      <c r="G895" s="670"/>
    </row>
    <row r="896" spans="1:9" s="1616" customFormat="1" ht="12.75" customHeight="1">
      <c r="A896" s="1685"/>
      <c r="B896" s="1685"/>
      <c r="C896" s="1590"/>
      <c r="D896" s="1905" t="s">
        <v>2095</v>
      </c>
      <c r="E896" s="1905"/>
      <c r="F896" s="1905"/>
      <c r="G896" s="1583"/>
      <c r="I896" s="1618"/>
    </row>
    <row r="897" spans="1:9" s="1616" customFormat="1" ht="12.75" customHeight="1">
      <c r="A897" s="1685"/>
      <c r="B897" s="1685"/>
      <c r="C897" s="1590"/>
      <c r="D897" s="1905"/>
      <c r="E897" s="1905"/>
      <c r="F897" s="1905"/>
      <c r="G897" s="1583"/>
      <c r="I897" s="1618"/>
    </row>
    <row r="898" spans="1:9" ht="12.75" customHeight="1">
      <c r="A898" s="1560"/>
      <c r="B898" s="1560"/>
      <c r="C898" s="1590"/>
      <c r="D898" s="6"/>
      <c r="E898" s="6"/>
      <c r="F898" s="1582"/>
      <c r="G898" s="1583"/>
    </row>
    <row r="899" spans="1:9" ht="12.75" customHeight="1">
      <c r="A899" s="400"/>
      <c r="B899" s="1619" t="s">
        <v>2757</v>
      </c>
      <c r="C899" s="481"/>
      <c r="D899" s="1998" t="s">
        <v>2093</v>
      </c>
      <c r="E899" s="1998"/>
      <c r="F899" s="1998"/>
      <c r="G899" s="1583"/>
      <c r="I899" s="1618" t="s">
        <v>2241</v>
      </c>
    </row>
    <row r="900" spans="1:9" ht="12.75" customHeight="1">
      <c r="A900" s="400"/>
      <c r="B900" s="400"/>
      <c r="C900" s="481"/>
      <c r="D900" s="1998"/>
      <c r="E900" s="1998"/>
      <c r="F900" s="1998"/>
      <c r="G900" s="1583"/>
    </row>
    <row r="901" spans="1:9" ht="12.75" customHeight="1">
      <c r="A901" s="400"/>
      <c r="B901" s="400"/>
      <c r="C901" s="481"/>
      <c r="D901" s="1998"/>
      <c r="E901" s="1998"/>
      <c r="F901" s="1998"/>
      <c r="G901" s="1583"/>
    </row>
    <row r="902" spans="1:9" s="1616" customFormat="1" ht="12.75" customHeight="1">
      <c r="A902" s="400"/>
      <c r="B902" s="400"/>
      <c r="C902" s="481"/>
      <c r="D902" s="1998"/>
      <c r="E902" s="1998"/>
      <c r="F902" s="1998"/>
      <c r="G902" s="1583"/>
      <c r="I902" s="1618"/>
    </row>
    <row r="903" spans="1:9" ht="12.75" customHeight="1">
      <c r="A903" s="400"/>
      <c r="B903" s="400"/>
      <c r="C903" s="481"/>
      <c r="D903" s="1998"/>
      <c r="E903" s="1998"/>
      <c r="F903" s="1998"/>
      <c r="G903" s="1583"/>
    </row>
    <row r="904" spans="1:9" ht="12.75" customHeight="1">
      <c r="A904" s="482"/>
      <c r="B904" s="482"/>
      <c r="C904" s="481"/>
      <c r="D904" s="1998"/>
      <c r="E904" s="1998"/>
      <c r="F904" s="1998"/>
      <c r="G904" s="1583"/>
    </row>
    <row r="905" spans="1:9" ht="12.75" customHeight="1">
      <c r="A905" s="482"/>
      <c r="B905" s="482"/>
      <c r="C905" s="481"/>
      <c r="D905" s="1998"/>
      <c r="E905" s="1998"/>
      <c r="F905" s="1998"/>
      <c r="G905" s="1583"/>
    </row>
    <row r="906" spans="1:9" ht="12.75" customHeight="1">
      <c r="A906" s="482"/>
      <c r="B906" s="482"/>
      <c r="C906" s="481"/>
      <c r="D906" s="1998"/>
      <c r="E906" s="1998"/>
      <c r="F906" s="1998"/>
      <c r="G906" s="1583"/>
    </row>
    <row r="907" spans="1:9" s="1616" customFormat="1" ht="12.75" customHeight="1">
      <c r="A907" s="482"/>
      <c r="B907" s="482"/>
      <c r="C907" s="481"/>
      <c r="D907" s="1686"/>
      <c r="E907" s="1686"/>
      <c r="F907" s="1686"/>
      <c r="G907" s="1583"/>
      <c r="I907" s="1618"/>
    </row>
    <row r="908" spans="1:9" ht="12.75" customHeight="1">
      <c r="A908" s="1600"/>
      <c r="B908" s="790" t="s">
        <v>2758</v>
      </c>
      <c r="C908" s="1584"/>
      <c r="D908" s="1905" t="s">
        <v>2097</v>
      </c>
      <c r="E908" s="1905"/>
      <c r="F908" s="1905"/>
      <c r="G908" s="1583"/>
    </row>
    <row r="909" spans="1:9" ht="12.75" customHeight="1">
      <c r="A909" s="1600"/>
      <c r="B909" s="1600"/>
      <c r="C909" s="1584"/>
      <c r="D909" s="1905"/>
      <c r="E909" s="1905"/>
      <c r="F909" s="1905"/>
      <c r="G909" s="1583"/>
    </row>
    <row r="910" spans="1:9" ht="12.75" customHeight="1">
      <c r="A910" s="1600"/>
      <c r="B910" s="1600"/>
      <c r="C910" s="1584"/>
      <c r="D910" s="1582"/>
      <c r="E910" s="1582"/>
      <c r="F910" s="1582"/>
      <c r="G910" s="1583"/>
    </row>
    <row r="911" spans="1:9" ht="12.75" customHeight="1">
      <c r="A911" s="1600"/>
      <c r="B911" s="790" t="s">
        <v>2758</v>
      </c>
      <c r="C911" s="1584"/>
      <c r="D911" s="1962" t="s">
        <v>2098</v>
      </c>
      <c r="E911" s="1962"/>
      <c r="F911" s="1962"/>
      <c r="G911" s="1583"/>
    </row>
    <row r="912" spans="1:9" ht="12.75" customHeight="1">
      <c r="A912" s="1600"/>
      <c r="B912" s="1600"/>
      <c r="C912" s="1584"/>
      <c r="D912" s="1962"/>
      <c r="E912" s="1962"/>
      <c r="F912" s="1962"/>
      <c r="G912" s="1583"/>
    </row>
    <row r="913" spans="1:9" ht="12.75" customHeight="1">
      <c r="A913" s="1600"/>
      <c r="B913" s="1600"/>
      <c r="C913" s="1584"/>
      <c r="D913" s="1962"/>
      <c r="E913" s="1962"/>
      <c r="F913" s="1962"/>
      <c r="G913" s="1583"/>
    </row>
    <row r="914" spans="1:9" ht="12.75" customHeight="1">
      <c r="A914" s="1600"/>
      <c r="B914" s="1600"/>
      <c r="C914" s="1584"/>
      <c r="D914" s="1962"/>
      <c r="E914" s="1962"/>
      <c r="F914" s="1962"/>
      <c r="G914" s="1583"/>
    </row>
    <row r="915" spans="1:9" ht="12.75" customHeight="1">
      <c r="A915" s="1600"/>
      <c r="B915" s="1600"/>
      <c r="C915" s="1584"/>
      <c r="D915" s="1554"/>
      <c r="E915" s="1582"/>
      <c r="F915" s="1582"/>
      <c r="G915" s="1583"/>
    </row>
    <row r="916" spans="1:9" ht="12.75" customHeight="1">
      <c r="A916" s="1600"/>
      <c r="B916" s="790" t="s">
        <v>2758</v>
      </c>
      <c r="C916" s="1584"/>
      <c r="D916" s="1918" t="s">
        <v>2542</v>
      </c>
      <c r="E916" s="1918"/>
      <c r="F916" s="1918"/>
      <c r="G916" s="1583"/>
    </row>
    <row r="917" spans="1:9" ht="12.75" customHeight="1">
      <c r="A917" s="1600"/>
      <c r="B917" s="1600"/>
      <c r="C917" s="1584"/>
      <c r="D917" s="1554"/>
      <c r="E917" s="1582"/>
      <c r="F917" s="1582"/>
      <c r="G917" s="1583"/>
    </row>
    <row r="918" spans="1:9" ht="12.75" customHeight="1">
      <c r="A918" s="1600"/>
      <c r="B918" s="790" t="s">
        <v>2758</v>
      </c>
      <c r="C918" s="1584"/>
      <c r="D918" s="1918" t="s">
        <v>2543</v>
      </c>
      <c r="E918" s="1918"/>
      <c r="F918" s="1918"/>
      <c r="G918" s="1583"/>
    </row>
    <row r="919" spans="1:9" ht="12.75" customHeight="1">
      <c r="A919" s="482"/>
      <c r="B919" s="482"/>
      <c r="C919" s="481"/>
      <c r="D919" s="183"/>
      <c r="E919" s="670"/>
      <c r="F919" s="1583"/>
      <c r="G919" s="1583"/>
    </row>
    <row r="920" spans="1:9" ht="12.75" customHeight="1">
      <c r="A920" s="1596"/>
      <c r="B920" s="790" t="s">
        <v>2758</v>
      </c>
      <c r="C920" s="1597"/>
      <c r="D920" s="1998" t="s">
        <v>2094</v>
      </c>
      <c r="E920" s="1998"/>
      <c r="F920" s="1998"/>
      <c r="G920" s="1598"/>
      <c r="I920" s="1618" t="s">
        <v>2291</v>
      </c>
    </row>
    <row r="921" spans="1:9" ht="12.75" customHeight="1">
      <c r="A921" s="1596"/>
      <c r="B921" s="1596"/>
      <c r="C921" s="1597"/>
      <c r="D921" s="1998"/>
      <c r="E921" s="1998"/>
      <c r="F921" s="1998"/>
      <c r="G921" s="1598"/>
    </row>
    <row r="922" spans="1:9" ht="12.75" customHeight="1">
      <c r="A922" s="1596"/>
      <c r="B922" s="1596"/>
      <c r="C922" s="1597"/>
      <c r="D922" s="1998"/>
      <c r="E922" s="1998"/>
      <c r="F922" s="1998"/>
      <c r="G922" s="1598"/>
    </row>
    <row r="923" spans="1:9" ht="12.75" customHeight="1">
      <c r="A923" s="1596"/>
      <c r="B923" s="1596"/>
      <c r="C923" s="1597"/>
      <c r="D923" s="1998"/>
      <c r="E923" s="1998"/>
      <c r="F923" s="1998"/>
      <c r="G923" s="1598"/>
    </row>
    <row r="924" spans="1:9" ht="12.75" customHeight="1">
      <c r="A924" s="1596"/>
      <c r="B924" s="1596"/>
      <c r="C924" s="1597"/>
      <c r="D924" s="1998"/>
      <c r="E924" s="1998"/>
      <c r="F924" s="1998"/>
      <c r="G924" s="1598"/>
    </row>
    <row r="925" spans="1:9" ht="12.75" customHeight="1">
      <c r="A925" s="1596"/>
      <c r="B925" s="1596"/>
      <c r="C925" s="1597"/>
      <c r="D925" s="1998"/>
      <c r="E925" s="1998"/>
      <c r="F925" s="1998"/>
      <c r="G925" s="1598"/>
    </row>
    <row r="926" spans="1:9" ht="12.75" customHeight="1">
      <c r="A926" s="1596"/>
      <c r="B926" s="1596"/>
      <c r="C926" s="1597"/>
      <c r="D926" s="1998"/>
      <c r="E926" s="1998"/>
      <c r="F926" s="1998"/>
      <c r="G926" s="1598"/>
    </row>
    <row r="927" spans="1:9" ht="12.75" customHeight="1">
      <c r="A927" s="1596"/>
      <c r="B927" s="1596"/>
      <c r="C927" s="1597"/>
      <c r="D927" s="1998"/>
      <c r="E927" s="1998"/>
      <c r="F927" s="1998"/>
      <c r="G927" s="1598"/>
    </row>
    <row r="928" spans="1:9" ht="12.75" customHeight="1">
      <c r="A928" s="1596"/>
      <c r="B928" s="1596"/>
      <c r="C928" s="1597"/>
      <c r="D928" s="1998"/>
      <c r="E928" s="1998"/>
      <c r="F928" s="1998"/>
      <c r="G928" s="1598"/>
    </row>
    <row r="929" spans="1:9" ht="12.75" customHeight="1">
      <c r="A929" s="482"/>
      <c r="B929" s="482"/>
      <c r="C929" s="481"/>
      <c r="D929" s="183"/>
      <c r="E929" s="670"/>
      <c r="F929" s="1583"/>
      <c r="G929" s="1583"/>
    </row>
    <row r="930" spans="1:9" ht="12.75" customHeight="1">
      <c r="A930" s="400"/>
      <c r="B930" s="790" t="s">
        <v>2757</v>
      </c>
      <c r="C930" s="481"/>
      <c r="D930" s="2009" t="s">
        <v>2294</v>
      </c>
      <c r="E930" s="2009"/>
      <c r="F930" s="2009"/>
      <c r="G930" s="1583"/>
      <c r="I930" s="1618" t="s">
        <v>2291</v>
      </c>
    </row>
    <row r="931" spans="1:9" ht="12.75" customHeight="1">
      <c r="A931" s="400"/>
      <c r="B931" s="400"/>
      <c r="C931" s="481"/>
      <c r="D931" s="2009"/>
      <c r="E931" s="2009"/>
      <c r="F931" s="2009"/>
      <c r="G931" s="1583"/>
    </row>
    <row r="932" spans="1:9" ht="12.75" customHeight="1">
      <c r="A932" s="400"/>
      <c r="B932" s="400"/>
      <c r="C932" s="481"/>
      <c r="D932" s="2009"/>
      <c r="E932" s="2009"/>
      <c r="F932" s="2009"/>
      <c r="G932" s="1583"/>
    </row>
    <row r="933" spans="1:9" ht="12.75" customHeight="1">
      <c r="A933" s="400"/>
      <c r="B933" s="400"/>
      <c r="C933" s="481"/>
      <c r="D933" s="2009"/>
      <c r="E933" s="2009"/>
      <c r="F933" s="2009"/>
      <c r="G933" s="1583"/>
    </row>
    <row r="934" spans="1:9" ht="12.75" customHeight="1">
      <c r="A934" s="400"/>
      <c r="B934" s="400"/>
      <c r="C934" s="481"/>
      <c r="D934" s="2009"/>
      <c r="E934" s="2009"/>
      <c r="F934" s="2009"/>
      <c r="G934" s="1583"/>
    </row>
    <row r="935" spans="1:9" ht="12.75" customHeight="1">
      <c r="A935" s="400"/>
      <c r="B935" s="400"/>
      <c r="C935" s="481"/>
      <c r="D935" s="2009"/>
      <c r="E935" s="2009"/>
      <c r="F935" s="2009"/>
      <c r="G935" s="1583"/>
    </row>
    <row r="936" spans="1:9" ht="12.75" customHeight="1">
      <c r="A936" s="400"/>
      <c r="B936" s="400"/>
      <c r="C936" s="481"/>
      <c r="D936" s="2009"/>
      <c r="E936" s="2009"/>
      <c r="F936" s="200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2757</v>
      </c>
      <c r="C938" s="481"/>
      <c r="D938" s="1917" t="s">
        <v>2292</v>
      </c>
      <c r="E938" s="1917"/>
      <c r="F938" s="1917"/>
      <c r="G938" s="1583"/>
      <c r="I938" s="1618"/>
    </row>
    <row r="939" spans="1:9" s="1616" customFormat="1" ht="12.75" customHeight="1">
      <c r="A939" s="400"/>
      <c r="B939" s="400"/>
      <c r="C939" s="481"/>
      <c r="D939" s="1917"/>
      <c r="E939" s="1917"/>
      <c r="F939" s="1917"/>
      <c r="G939" s="1583"/>
      <c r="I939" s="1618"/>
    </row>
    <row r="940" spans="1:9" s="1616" customFormat="1" ht="12.75" customHeight="1">
      <c r="A940" s="400"/>
      <c r="B940" s="400"/>
      <c r="C940" s="481"/>
      <c r="D940" s="1917"/>
      <c r="E940" s="1917"/>
      <c r="F940" s="1917"/>
      <c r="G940" s="1583"/>
      <c r="I940" s="1618"/>
    </row>
    <row r="941" spans="1:9" s="1616" customFormat="1" ht="12.75" customHeight="1">
      <c r="A941" s="400"/>
      <c r="B941" s="400"/>
      <c r="C941" s="481"/>
      <c r="D941" s="1917"/>
      <c r="E941" s="1917"/>
      <c r="F941" s="1917"/>
      <c r="G941" s="1583"/>
      <c r="I941" s="1618"/>
    </row>
    <row r="942" spans="1:9" s="1616" customFormat="1" ht="12.75" customHeight="1">
      <c r="A942" s="400"/>
      <c r="B942" s="400"/>
      <c r="C942" s="481"/>
      <c r="D942" s="1917"/>
      <c r="E942" s="1917"/>
      <c r="F942" s="1917"/>
      <c r="G942" s="1583"/>
      <c r="I942" s="1618"/>
    </row>
    <row r="943" spans="1:9" s="1616" customFormat="1" ht="12.75" customHeight="1">
      <c r="A943" s="400"/>
      <c r="B943" s="400"/>
      <c r="C943" s="481"/>
      <c r="D943" s="1917"/>
      <c r="E943" s="1917"/>
      <c r="F943" s="1917"/>
      <c r="G943" s="1583"/>
      <c r="I943" s="1618"/>
    </row>
    <row r="944" spans="1:9" s="1616" customFormat="1" ht="12.75" customHeight="1">
      <c r="A944" s="400"/>
      <c r="B944" s="400"/>
      <c r="C944" s="481"/>
      <c r="D944" s="1687"/>
      <c r="E944" s="1687"/>
      <c r="F944" s="1687"/>
      <c r="G944" s="1583"/>
      <c r="I944" s="1618"/>
    </row>
    <row r="945" spans="1:9" ht="12.75" customHeight="1">
      <c r="A945" s="1600"/>
      <c r="B945" s="790" t="s">
        <v>2758</v>
      </c>
      <c r="C945" s="1584"/>
      <c r="D945" s="1999" t="s">
        <v>2099</v>
      </c>
      <c r="E945" s="1999"/>
      <c r="F945" s="1999"/>
      <c r="G945" s="1583"/>
    </row>
    <row r="946" spans="1:9" ht="12.75" customHeight="1">
      <c r="A946" s="1600"/>
      <c r="B946" s="1600"/>
      <c r="C946" s="1584"/>
      <c r="D946" s="1999"/>
      <c r="E946" s="1999"/>
      <c r="F946" s="1999"/>
      <c r="G946" s="1583"/>
    </row>
    <row r="947" spans="1:9" ht="12.75" customHeight="1">
      <c r="A947" s="1600"/>
      <c r="B947" s="1600"/>
      <c r="C947" s="1584"/>
      <c r="D947" s="1999"/>
      <c r="E947" s="1999"/>
      <c r="F947" s="1999"/>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2758</v>
      </c>
      <c r="C950" s="481"/>
      <c r="D950" s="1998" t="s">
        <v>2293</v>
      </c>
      <c r="E950" s="1998"/>
      <c r="F950" s="1998"/>
      <c r="G950" s="1583"/>
      <c r="I950" s="1618" t="s">
        <v>2291</v>
      </c>
    </row>
    <row r="951" spans="1:9" ht="12.75" customHeight="1">
      <c r="A951" s="400"/>
      <c r="B951" s="400"/>
      <c r="C951" s="481"/>
      <c r="D951" s="1998"/>
      <c r="E951" s="1998"/>
      <c r="F951" s="1998"/>
      <c r="G951" s="1583"/>
    </row>
    <row r="952" spans="1:9" ht="12.75" customHeight="1">
      <c r="A952" s="400"/>
      <c r="B952" s="400"/>
      <c r="C952" s="481"/>
      <c r="D952" s="1998"/>
      <c r="E952" s="1998"/>
      <c r="F952" s="1998"/>
      <c r="G952" s="1583"/>
    </row>
    <row r="953" spans="1:9" ht="12.75" customHeight="1">
      <c r="A953" s="400"/>
      <c r="B953" s="400"/>
      <c r="C953" s="481"/>
      <c r="D953" s="1998"/>
      <c r="E953" s="1998"/>
      <c r="F953" s="1998"/>
      <c r="G953" s="1583"/>
    </row>
    <row r="954" spans="1:9" ht="12.75" customHeight="1">
      <c r="A954" s="1602"/>
      <c r="B954" s="1602"/>
      <c r="C954" s="1588"/>
      <c r="D954" s="1551"/>
      <c r="E954" s="1551"/>
      <c r="F954" s="1551"/>
      <c r="G954" s="1551"/>
    </row>
    <row r="955" spans="1:9" ht="12.75" customHeight="1">
      <c r="A955" s="1586"/>
      <c r="B955" s="1586"/>
      <c r="C955" s="549"/>
      <c r="D955" s="1928" t="s">
        <v>2100</v>
      </c>
      <c r="E955" s="1928"/>
      <c r="F955" s="1928"/>
      <c r="G955" s="670"/>
    </row>
    <row r="956" spans="1:9" ht="12.75" customHeight="1">
      <c r="A956" s="706"/>
      <c r="B956" s="790" t="s">
        <v>2758</v>
      </c>
      <c r="C956" s="549"/>
      <c r="D956" s="1918" t="s">
        <v>2124</v>
      </c>
      <c r="E956" s="1918"/>
      <c r="F956" s="1918"/>
      <c r="G956" s="670"/>
      <c r="I956" s="1618" t="s">
        <v>2291</v>
      </c>
    </row>
    <row r="957" spans="1:9" ht="12.75" customHeight="1">
      <c r="A957" s="1586"/>
      <c r="B957" s="1586"/>
      <c r="C957" s="549"/>
      <c r="D957" s="6"/>
      <c r="E957" s="6"/>
      <c r="F957" s="6"/>
      <c r="G957" s="670"/>
    </row>
    <row r="958" spans="1:9" ht="12.75" customHeight="1">
      <c r="A958" s="1586"/>
      <c r="B958" s="1586"/>
      <c r="C958" s="549"/>
      <c r="D958" s="1928" t="s">
        <v>2101</v>
      </c>
      <c r="E958" s="1928"/>
      <c r="F958" s="1928"/>
      <c r="G958" s="669"/>
    </row>
    <row r="959" spans="1:9" ht="12.75" customHeight="1">
      <c r="A959" s="706"/>
      <c r="B959" s="790" t="s">
        <v>2758</v>
      </c>
      <c r="C959" s="549"/>
      <c r="D959" s="1905" t="s">
        <v>2544</v>
      </c>
      <c r="E959" s="1905"/>
      <c r="F959" s="1905"/>
      <c r="G959" s="669"/>
      <c r="I959" s="1618" t="s">
        <v>2291</v>
      </c>
    </row>
    <row r="960" spans="1:9" ht="12.75" customHeight="1">
      <c r="A960" s="706"/>
      <c r="B960" s="706"/>
      <c r="C960" s="549"/>
      <c r="D960" s="1905"/>
      <c r="E960" s="1905"/>
      <c r="F960" s="1905"/>
      <c r="G960" s="669"/>
    </row>
    <row r="961" spans="1:9" ht="12.75" customHeight="1">
      <c r="A961" s="706"/>
      <c r="B961" s="706"/>
      <c r="C961" s="549"/>
      <c r="D961" s="1905"/>
      <c r="E961" s="1905"/>
      <c r="F961" s="1905"/>
      <c r="G961" s="669"/>
    </row>
    <row r="962" spans="1:9" ht="12.75" customHeight="1">
      <c r="A962" s="706"/>
      <c r="B962" s="706"/>
      <c r="C962" s="549"/>
      <c r="D962" s="1905"/>
      <c r="E962" s="1905"/>
      <c r="F962" s="1905"/>
      <c r="G962" s="669"/>
    </row>
    <row r="963" spans="1:9" ht="12.75" customHeight="1">
      <c r="A963" s="706"/>
      <c r="B963" s="706"/>
      <c r="C963" s="549"/>
      <c r="D963" s="1905"/>
      <c r="E963" s="1905"/>
      <c r="F963" s="1905"/>
      <c r="G963" s="669"/>
    </row>
    <row r="964" spans="1:9" ht="12.75" customHeight="1">
      <c r="A964" s="706"/>
      <c r="B964" s="706"/>
      <c r="C964" s="549"/>
      <c r="D964" s="1905"/>
      <c r="E964" s="1905"/>
      <c r="F964" s="1905"/>
      <c r="G964" s="669"/>
    </row>
    <row r="965" spans="1:9" ht="12.75" customHeight="1">
      <c r="A965" s="706"/>
      <c r="B965" s="706"/>
      <c r="C965" s="549"/>
      <c r="D965" s="1905"/>
      <c r="E965" s="1905"/>
      <c r="F965" s="1905"/>
      <c r="G965" s="669"/>
    </row>
    <row r="966" spans="1:9" ht="12.75" customHeight="1">
      <c r="A966" s="706"/>
      <c r="B966" s="706"/>
      <c r="C966" s="549"/>
      <c r="D966" s="1905"/>
      <c r="E966" s="1905"/>
      <c r="F966" s="1905"/>
      <c r="G966" s="669"/>
    </row>
    <row r="967" spans="1:9" ht="12.75" customHeight="1">
      <c r="A967" s="706"/>
      <c r="B967" s="706"/>
      <c r="C967" s="549"/>
      <c r="D967" s="1905"/>
      <c r="E967" s="1905"/>
      <c r="F967" s="1905"/>
      <c r="G967" s="669"/>
    </row>
    <row r="968" spans="1:9" ht="12.75" customHeight="1">
      <c r="A968" s="706"/>
      <c r="B968" s="706"/>
      <c r="C968" s="549"/>
      <c r="D968" s="1905"/>
      <c r="E968" s="1905"/>
      <c r="F968" s="1905"/>
      <c r="G968" s="669"/>
    </row>
    <row r="969" spans="1:9" ht="12.75" customHeight="1">
      <c r="A969" s="706"/>
      <c r="B969" s="706"/>
      <c r="C969" s="549"/>
      <c r="D969" s="1905"/>
      <c r="E969" s="1905"/>
      <c r="F969" s="1905"/>
      <c r="G969" s="669"/>
    </row>
    <row r="970" spans="1:9" ht="12.75" customHeight="1">
      <c r="A970" s="706"/>
      <c r="B970" s="706"/>
      <c r="C970" s="549"/>
      <c r="D970" s="1905"/>
      <c r="E970" s="1905"/>
      <c r="F970" s="1905"/>
      <c r="G970" s="669"/>
    </row>
    <row r="971" spans="1:9" s="1616" customFormat="1" ht="12.75" customHeight="1">
      <c r="A971" s="706"/>
      <c r="B971" s="706"/>
      <c r="C971" s="549"/>
      <c r="D971" s="1905"/>
      <c r="E971" s="1905"/>
      <c r="F971" s="1905"/>
      <c r="G971" s="669"/>
      <c r="I971" s="1618"/>
    </row>
    <row r="972" spans="1:9" ht="12.75" customHeight="1">
      <c r="A972" s="706"/>
      <c r="B972" s="706"/>
      <c r="C972" s="549"/>
      <c r="D972" s="1905"/>
      <c r="E972" s="1905"/>
      <c r="F972" s="1905"/>
      <c r="G972" s="669"/>
    </row>
    <row r="973" spans="1:9" ht="12.75" customHeight="1">
      <c r="A973" s="706"/>
      <c r="B973" s="706"/>
      <c r="C973" s="549"/>
      <c r="D973" s="1905"/>
      <c r="E973" s="1905"/>
      <c r="F973" s="1905"/>
      <c r="G973" s="670"/>
    </row>
    <row r="974" spans="1:9" ht="12.75" customHeight="1">
      <c r="A974" s="1586"/>
      <c r="B974" s="1586"/>
      <c r="C974" s="549"/>
      <c r="D974" s="6"/>
      <c r="E974" s="6"/>
      <c r="F974" s="6"/>
      <c r="G974" s="670"/>
    </row>
    <row r="975" spans="1:9" ht="12.75" customHeight="1">
      <c r="A975" s="1974" t="s">
        <v>2102</v>
      </c>
      <c r="B975" s="1974"/>
      <c r="C975" s="1974"/>
      <c r="D975" s="1974"/>
      <c r="E975" s="1974"/>
      <c r="F975" s="1974"/>
      <c r="G975" s="1974"/>
      <c r="H975" s="1692"/>
      <c r="I975" s="1693"/>
    </row>
    <row r="976" spans="1:9" ht="12.75" customHeight="1">
      <c r="A976" s="1555"/>
      <c r="B976" s="1555"/>
      <c r="C976" s="549"/>
      <c r="D976" s="6"/>
      <c r="E976" s="6"/>
      <c r="F976" s="6"/>
      <c r="G976" s="670"/>
    </row>
    <row r="977" spans="1:9" ht="12.75" customHeight="1">
      <c r="A977" s="1586"/>
      <c r="B977" s="1586"/>
      <c r="C977" s="1584"/>
      <c r="D977" s="1928" t="s">
        <v>2125</v>
      </c>
      <c r="E977" s="1928"/>
      <c r="F977" s="1928"/>
      <c r="G977" s="670"/>
    </row>
    <row r="978" spans="1:9" ht="12.75" customHeight="1">
      <c r="A978" s="1560"/>
      <c r="B978" s="1560"/>
      <c r="C978" s="1590"/>
      <c r="D978" s="1918" t="s">
        <v>2103</v>
      </c>
      <c r="E978" s="1918"/>
      <c r="F978" s="1918"/>
      <c r="G978" s="670"/>
    </row>
    <row r="979" spans="1:9" ht="12.75" customHeight="1">
      <c r="A979" s="1560"/>
      <c r="B979" s="1560"/>
      <c r="C979" s="1590"/>
      <c r="D979" s="6"/>
      <c r="E979" s="6"/>
      <c r="F979" s="1582"/>
      <c r="G979" s="669"/>
    </row>
    <row r="980" spans="1:9" ht="12.75" customHeight="1">
      <c r="A980" s="1586"/>
      <c r="B980" s="790" t="s">
        <v>2757</v>
      </c>
      <c r="C980" s="549"/>
      <c r="D980" s="2007" t="s">
        <v>2365</v>
      </c>
      <c r="E980" s="2007"/>
      <c r="F980" s="2007"/>
      <c r="G980" s="669"/>
      <c r="I980" s="1618" t="s">
        <v>2271</v>
      </c>
    </row>
    <row r="981" spans="1:9" ht="12.75" customHeight="1">
      <c r="A981" s="1586"/>
      <c r="B981" s="1586"/>
      <c r="C981" s="549"/>
      <c r="D981" s="2007"/>
      <c r="E981" s="2007"/>
      <c r="F981" s="2007"/>
      <c r="G981" s="669"/>
    </row>
    <row r="982" spans="1:9" ht="12.75" customHeight="1">
      <c r="A982" s="1586"/>
      <c r="B982" s="1586"/>
      <c r="C982" s="549"/>
      <c r="D982" s="1753"/>
      <c r="E982" s="1748" t="s">
        <v>2366</v>
      </c>
      <c r="F982" s="1753"/>
      <c r="G982" s="669"/>
    </row>
    <row r="983" spans="1:9" ht="12.75" customHeight="1">
      <c r="A983" s="1571"/>
      <c r="B983" s="1571"/>
      <c r="C983" s="550"/>
      <c r="D983" s="1916" t="s">
        <v>2364</v>
      </c>
      <c r="E983" s="1916"/>
      <c r="F983" s="1916"/>
      <c r="G983" s="669"/>
    </row>
    <row r="984" spans="1:9" ht="12.75" customHeight="1">
      <c r="A984" s="1571"/>
      <c r="B984" s="1571"/>
      <c r="C984" s="550"/>
      <c r="D984" s="1916"/>
      <c r="E984" s="1916"/>
      <c r="F984" s="1916"/>
      <c r="G984" s="669"/>
    </row>
    <row r="985" spans="1:9" ht="12.75" customHeight="1">
      <c r="A985" s="712"/>
      <c r="B985" s="712"/>
      <c r="C985" s="313"/>
      <c r="D985" s="1916"/>
      <c r="E985" s="1916"/>
      <c r="F985" s="1916"/>
      <c r="G985" s="669"/>
    </row>
    <row r="986" spans="1:9" ht="12.75" customHeight="1">
      <c r="A986" s="712"/>
      <c r="B986" s="712"/>
      <c r="C986" s="313"/>
      <c r="D986" s="1916"/>
      <c r="E986" s="1916"/>
      <c r="F986" s="1916"/>
      <c r="G986" s="669"/>
    </row>
    <row r="987" spans="1:9" ht="12.75" customHeight="1">
      <c r="A987" s="712"/>
      <c r="B987" s="712"/>
      <c r="C987" s="313"/>
      <c r="D987" s="1552"/>
      <c r="E987" s="1552"/>
      <c r="F987" s="1552"/>
      <c r="G987" s="669"/>
    </row>
    <row r="988" spans="1:9" ht="12.75" customHeight="1">
      <c r="A988" s="712"/>
      <c r="B988" s="790" t="s">
        <v>2757</v>
      </c>
      <c r="C988" s="313"/>
      <c r="D988" s="1906" t="s">
        <v>2104</v>
      </c>
      <c r="E988" s="1906"/>
      <c r="F988" s="1906"/>
      <c r="G988" s="669"/>
    </row>
    <row r="989" spans="1:9" ht="12.75" customHeight="1">
      <c r="A989" s="712"/>
      <c r="B989" s="712"/>
      <c r="C989" s="313"/>
      <c r="D989" s="1906"/>
      <c r="E989" s="1906"/>
      <c r="F989" s="1906"/>
      <c r="G989" s="669"/>
    </row>
    <row r="990" spans="1:9" ht="12.75" customHeight="1">
      <c r="A990" s="712"/>
      <c r="B990" s="712"/>
      <c r="C990" s="313"/>
      <c r="D990" s="1906"/>
      <c r="E990" s="1906"/>
      <c r="F990" s="1906"/>
      <c r="G990" s="669"/>
    </row>
    <row r="991" spans="1:9" ht="12.75" customHeight="1">
      <c r="A991" s="712"/>
      <c r="B991" s="712"/>
      <c r="C991" s="313"/>
      <c r="D991" s="1906"/>
      <c r="E991" s="1906"/>
      <c r="F991" s="1906"/>
      <c r="G991" s="669"/>
    </row>
    <row r="992" spans="1:9" ht="12.75" customHeight="1">
      <c r="A992" s="712"/>
      <c r="B992" s="712"/>
      <c r="C992" s="313"/>
      <c r="D992" s="1550"/>
      <c r="E992" s="1550"/>
      <c r="F992" s="1550"/>
      <c r="G992" s="669"/>
    </row>
    <row r="993" spans="1:7" ht="12.75" customHeight="1">
      <c r="A993" s="712"/>
      <c r="B993" s="790" t="s">
        <v>2758</v>
      </c>
      <c r="C993" s="313"/>
      <c r="D993" s="1906" t="s">
        <v>2105</v>
      </c>
      <c r="E993" s="1906"/>
      <c r="F993" s="1906"/>
      <c r="G993" s="669"/>
    </row>
    <row r="994" spans="1:7" ht="12.75" customHeight="1">
      <c r="A994" s="712"/>
      <c r="B994" s="712"/>
      <c r="C994" s="313"/>
      <c r="D994" s="1906"/>
      <c r="E994" s="1906"/>
      <c r="F994" s="1906"/>
      <c r="G994" s="669"/>
    </row>
    <row r="995" spans="1:7" ht="12.75" customHeight="1">
      <c r="A995" s="712"/>
      <c r="B995" s="712"/>
      <c r="C995" s="313"/>
      <c r="D995" s="1550"/>
      <c r="E995" s="1550"/>
      <c r="F995" s="1550"/>
      <c r="G995" s="669"/>
    </row>
    <row r="996" spans="1:7" ht="12.75" customHeight="1">
      <c r="A996" s="706"/>
      <c r="B996" s="790" t="s">
        <v>2757</v>
      </c>
      <c r="C996" s="549"/>
      <c r="D996" s="1918" t="s">
        <v>2106</v>
      </c>
      <c r="E996" s="1918"/>
      <c r="F996" s="1918"/>
      <c r="G996" s="669"/>
    </row>
    <row r="997" spans="1:7" ht="12.75" customHeight="1">
      <c r="A997" s="1586"/>
      <c r="B997" s="1586"/>
      <c r="C997" s="549"/>
      <c r="D997" s="6"/>
      <c r="E997" s="6"/>
      <c r="F997" s="6"/>
      <c r="G997" s="669"/>
    </row>
    <row r="998" spans="1:7" ht="12.75" customHeight="1">
      <c r="A998" s="706"/>
      <c r="B998" s="790" t="s">
        <v>2758</v>
      </c>
      <c r="C998" s="549"/>
      <c r="D998" s="1918" t="s">
        <v>2107</v>
      </c>
      <c r="E998" s="1918"/>
      <c r="F998" s="1918"/>
      <c r="G998" s="669"/>
    </row>
    <row r="999" spans="1:7" ht="12.75" customHeight="1">
      <c r="A999" s="1586"/>
      <c r="B999" s="1586"/>
      <c r="C999" s="549"/>
      <c r="D999" s="1554"/>
      <c r="E999" s="6"/>
      <c r="F999" s="6"/>
      <c r="G999" s="669"/>
    </row>
    <row r="1000" spans="1:7" ht="12.75" customHeight="1">
      <c r="A1000" s="706"/>
      <c r="B1000" s="790" t="s">
        <v>2757</v>
      </c>
      <c r="C1000" s="549"/>
      <c r="D1000" s="1918" t="s">
        <v>2108</v>
      </c>
      <c r="E1000" s="1918"/>
      <c r="F1000" s="1918"/>
      <c r="G1000" s="669"/>
    </row>
    <row r="1001" spans="1:7" ht="12.75" customHeight="1">
      <c r="A1001" s="1586"/>
      <c r="B1001" s="1586"/>
      <c r="C1001" s="549"/>
      <c r="D1001" s="1554"/>
      <c r="E1001" s="6"/>
      <c r="F1001" s="6"/>
      <c r="G1001" s="669"/>
    </row>
    <row r="1002" spans="1:7" ht="12.75" customHeight="1">
      <c r="A1002" s="706"/>
      <c r="B1002" s="790" t="s">
        <v>2758</v>
      </c>
      <c r="C1002" s="549"/>
      <c r="D1002" s="1905" t="s">
        <v>2109</v>
      </c>
      <c r="E1002" s="1905"/>
      <c r="F1002" s="1905"/>
      <c r="G1002" s="669"/>
    </row>
    <row r="1003" spans="1:7" ht="12.75" customHeight="1">
      <c r="A1003" s="706"/>
      <c r="B1003" s="706"/>
      <c r="C1003" s="549"/>
      <c r="D1003" s="1905"/>
      <c r="E1003" s="1905"/>
      <c r="F1003" s="1905"/>
      <c r="G1003" s="669"/>
    </row>
    <row r="1004" spans="1:7" ht="12.75" customHeight="1">
      <c r="A1004" s="706"/>
      <c r="B1004" s="706"/>
      <c r="C1004" s="549"/>
      <c r="D1004" s="1554"/>
      <c r="E1004" s="6"/>
      <c r="F1004" s="6"/>
      <c r="G1004" s="670"/>
    </row>
    <row r="1005" spans="1:7" ht="12.75" customHeight="1">
      <c r="A1005" s="404"/>
      <c r="B1005" s="790" t="s">
        <v>2758</v>
      </c>
      <c r="C1005" s="1603"/>
      <c r="D1005" s="1972" t="s">
        <v>2110</v>
      </c>
      <c r="E1005" s="1972"/>
      <c r="F1005" s="1972"/>
      <c r="G1005" s="1604"/>
    </row>
    <row r="1006" spans="1:7" ht="12.75" customHeight="1">
      <c r="A1006" s="1603"/>
      <c r="B1006" s="1603"/>
      <c r="C1006" s="1603"/>
      <c r="D1006" s="1972"/>
      <c r="E1006" s="1972"/>
      <c r="F1006" s="1972"/>
      <c r="G1006" s="1604"/>
    </row>
    <row r="1007" spans="1:7" ht="12.75" customHeight="1">
      <c r="A1007" s="1603"/>
      <c r="B1007" s="1603"/>
      <c r="C1007" s="1603"/>
      <c r="D1007" s="1605"/>
      <c r="E1007" s="1606"/>
      <c r="F1007" s="1606"/>
      <c r="G1007" s="1604"/>
    </row>
    <row r="1008" spans="1:7" ht="12.75" customHeight="1">
      <c r="A1008" s="404"/>
      <c r="B1008" s="790" t="s">
        <v>2758</v>
      </c>
      <c r="C1008" s="1603"/>
      <c r="D1008" s="2006" t="s">
        <v>2111</v>
      </c>
      <c r="E1008" s="2006"/>
      <c r="F1008" s="2006"/>
      <c r="G1008" s="1604"/>
    </row>
    <row r="1009" spans="1:9" ht="12.75" customHeight="1">
      <c r="A1009" s="1603"/>
      <c r="B1009" s="1603"/>
      <c r="C1009" s="1603"/>
      <c r="D1009" s="1605"/>
      <c r="E1009" s="1606"/>
      <c r="F1009" s="1606"/>
      <c r="G1009" s="1604"/>
    </row>
    <row r="1010" spans="1:9" ht="12.75" customHeight="1">
      <c r="A1010" s="706"/>
      <c r="B1010" s="790" t="s">
        <v>2757</v>
      </c>
      <c r="C1010" s="549"/>
      <c r="D1010" s="1918" t="s">
        <v>2112</v>
      </c>
      <c r="E1010" s="1918"/>
      <c r="F1010" s="1918"/>
      <c r="G1010" s="670"/>
    </row>
    <row r="1011" spans="1:9" ht="12.75" customHeight="1">
      <c r="A1011" s="706"/>
      <c r="B1011" s="706"/>
      <c r="C1011" s="549"/>
      <c r="D1011" s="1554"/>
      <c r="E1011" s="6"/>
      <c r="F1011" s="6"/>
      <c r="G1011" s="670"/>
    </row>
    <row r="1012" spans="1:9" ht="12.75" customHeight="1">
      <c r="A1012" s="706"/>
      <c r="B1012" s="790" t="s">
        <v>2758</v>
      </c>
      <c r="C1012" s="549"/>
      <c r="D1012" s="1905" t="s">
        <v>2113</v>
      </c>
      <c r="E1012" s="1905"/>
      <c r="F1012" s="1905"/>
      <c r="G1012" s="670"/>
    </row>
    <row r="1013" spans="1:9" ht="12.75" customHeight="1">
      <c r="A1013" s="706"/>
      <c r="B1013" s="706"/>
      <c r="C1013" s="549"/>
      <c r="D1013" s="1905"/>
      <c r="E1013" s="1905"/>
      <c r="F1013" s="1905"/>
      <c r="G1013" s="670"/>
    </row>
    <row r="1014" spans="1:9" ht="12.75" customHeight="1">
      <c r="A1014" s="1586"/>
      <c r="B1014" s="1586"/>
      <c r="C1014" s="549"/>
      <c r="D1014" s="6"/>
      <c r="E1014" s="6"/>
      <c r="F1014" s="6"/>
      <c r="G1014" s="670"/>
    </row>
    <row r="1015" spans="1:9" ht="12.75" customHeight="1">
      <c r="A1015" s="1974" t="s">
        <v>2114</v>
      </c>
      <c r="B1015" s="1974"/>
      <c r="C1015" s="1974"/>
      <c r="D1015" s="1974"/>
      <c r="E1015" s="1974"/>
      <c r="F1015" s="1974"/>
      <c r="G1015" s="1974"/>
      <c r="H1015" s="1692"/>
      <c r="I1015" s="1693"/>
    </row>
    <row r="1016" spans="1:9" ht="12.75" customHeight="1">
      <c r="A1016" s="1586"/>
      <c r="B1016" s="1586"/>
      <c r="C1016" s="549"/>
      <c r="D1016" s="6"/>
      <c r="E1016" s="6"/>
      <c r="F1016" s="6"/>
      <c r="G1016" s="670"/>
    </row>
    <row r="1017" spans="1:9" ht="12.75" customHeight="1">
      <c r="A1017" s="1571"/>
      <c r="B1017" s="1571"/>
      <c r="C1017" s="550"/>
      <c r="D1017" s="1964" t="s">
        <v>2115</v>
      </c>
      <c r="E1017" s="1964"/>
      <c r="F1017" s="1964"/>
      <c r="G1017" s="670"/>
    </row>
    <row r="1018" spans="1:9" ht="12.75" customHeight="1">
      <c r="A1018" s="1571"/>
      <c r="B1018" s="1571"/>
      <c r="C1018" s="550"/>
      <c r="D1018" s="1997" t="s">
        <v>2116</v>
      </c>
      <c r="E1018" s="1997"/>
      <c r="F1018" s="1997"/>
      <c r="G1018" s="670"/>
    </row>
    <row r="1019" spans="1:9" ht="12.75" customHeight="1">
      <c r="A1019" s="666"/>
      <c r="B1019" s="666"/>
      <c r="C1019" s="1561"/>
      <c r="D1019" s="670"/>
      <c r="E1019" s="670"/>
      <c r="F1019" s="670"/>
      <c r="G1019" s="670"/>
    </row>
    <row r="1020" spans="1:9" ht="12.75" customHeight="1">
      <c r="A1020" s="706"/>
      <c r="B1020" s="706"/>
      <c r="C1020" s="313"/>
      <c r="D1020" s="1964" t="s">
        <v>2130</v>
      </c>
      <c r="E1020" s="1964"/>
      <c r="F1020" s="1964"/>
      <c r="G1020" s="670"/>
      <c r="I1020" s="1618" t="s">
        <v>2243</v>
      </c>
    </row>
    <row r="1021" spans="1:9" ht="12.75" customHeight="1">
      <c r="A1021" s="1586"/>
      <c r="B1021" s="790" t="s">
        <v>2757</v>
      </c>
      <c r="C1021" s="549"/>
      <c r="D1021" s="1997" t="s">
        <v>1452</v>
      </c>
      <c r="E1021" s="1997"/>
      <c r="F1021" s="1997"/>
      <c r="G1021" s="670"/>
    </row>
    <row r="1022" spans="1:9" s="1616" customFormat="1" ht="12.75" customHeight="1">
      <c r="A1022" s="1586"/>
      <c r="B1022" s="706"/>
      <c r="C1022" s="549"/>
      <c r="D1022" s="1993" t="s">
        <v>2117</v>
      </c>
      <c r="E1022" s="1993"/>
      <c r="F1022" s="1993"/>
      <c r="G1022" s="670"/>
      <c r="I1022" s="1618"/>
    </row>
    <row r="1023" spans="1:9" ht="12.75" customHeight="1">
      <c r="A1023" s="1586"/>
      <c r="B1023" s="1586"/>
      <c r="C1023" s="549"/>
      <c r="D1023" s="1997"/>
      <c r="E1023" s="1997"/>
      <c r="F1023" s="1997"/>
      <c r="G1023" s="670"/>
    </row>
    <row r="1024" spans="1:9" ht="12.75" customHeight="1">
      <c r="A1024" s="1994" t="s">
        <v>2126</v>
      </c>
      <c r="B1024" s="1994"/>
      <c r="C1024" s="1994"/>
      <c r="D1024" s="1994"/>
      <c r="E1024" s="1994"/>
      <c r="F1024" s="1994"/>
      <c r="G1024" s="1994"/>
      <c r="H1024" s="1692"/>
      <c r="I1024" s="1693"/>
    </row>
    <row r="1025" spans="1:9" ht="12.75" customHeight="1">
      <c r="A1025" s="254"/>
      <c r="B1025" s="254"/>
      <c r="C1025" s="1578"/>
      <c r="D1025" s="678"/>
      <c r="E1025" s="678"/>
      <c r="F1025" s="678"/>
      <c r="G1025" s="678"/>
    </row>
    <row r="1026" spans="1:9" ht="12.75" customHeight="1">
      <c r="A1026" s="254"/>
      <c r="B1026" s="1613"/>
      <c r="C1026" s="1620"/>
      <c r="D1026" s="1978" t="s">
        <v>1453</v>
      </c>
      <c r="E1026" s="1978"/>
      <c r="F1026" s="1978"/>
      <c r="G1026" s="678"/>
    </row>
    <row r="1027" spans="1:9" ht="12.75" customHeight="1">
      <c r="A1027" s="254"/>
      <c r="B1027" s="1619" t="s">
        <v>2757</v>
      </c>
      <c r="C1027" s="1620"/>
      <c r="D1027" s="1981" t="s">
        <v>1452</v>
      </c>
      <c r="E1027" s="1981"/>
      <c r="F1027" s="1981"/>
      <c r="G1027" s="678"/>
    </row>
    <row r="1028" spans="1:9" ht="12.75" customHeight="1">
      <c r="A1028" s="254"/>
      <c r="B1028" s="1616"/>
      <c r="C1028" s="1620"/>
      <c r="D1028" s="1981" t="s">
        <v>2127</v>
      </c>
      <c r="E1028" s="1981"/>
      <c r="F1028" s="1981"/>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5" t="s">
        <v>1153</v>
      </c>
      <c r="E1030" s="1995"/>
      <c r="F1030" s="1995"/>
      <c r="G1030" s="678"/>
      <c r="I1030" s="1618" t="s">
        <v>2272</v>
      </c>
    </row>
    <row r="1031" spans="1:9" ht="12.75" customHeight="1">
      <c r="A1031" s="496"/>
      <c r="B1031" s="496"/>
      <c r="C1031" s="495"/>
      <c r="D1031" s="1996" t="s">
        <v>1170</v>
      </c>
      <c r="E1031" s="1996"/>
      <c r="F1031" s="1996"/>
      <c r="G1031" s="1607"/>
    </row>
    <row r="1032" spans="1:9" ht="12.75" customHeight="1">
      <c r="A1032" s="706"/>
      <c r="B1032" s="1619" t="s">
        <v>2758</v>
      </c>
      <c r="C1032" s="550"/>
      <c r="D1032" s="1971" t="s">
        <v>1045</v>
      </c>
      <c r="E1032" s="1971"/>
      <c r="F1032" s="1971"/>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94" t="s">
        <v>2147</v>
      </c>
      <c r="B1035" s="1994"/>
      <c r="C1035" s="1994"/>
      <c r="D1035" s="1994"/>
      <c r="E1035" s="1994"/>
      <c r="F1035" s="1994"/>
      <c r="G1035" s="1994"/>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2758</v>
      </c>
      <c r="C1040" s="782"/>
      <c r="D1040" s="2002" t="s">
        <v>2131</v>
      </c>
      <c r="E1040" s="2002"/>
      <c r="F1040" s="2002"/>
      <c r="G1040" s="782"/>
      <c r="I1040" s="1618" t="s">
        <v>2244</v>
      </c>
    </row>
    <row r="1041" spans="1:9">
      <c r="A1041" s="782"/>
      <c r="B1041" s="782"/>
      <c r="C1041" s="782"/>
      <c r="D1041" s="2002"/>
      <c r="E1041" s="2002"/>
      <c r="F1041" s="2002"/>
      <c r="G1041" s="782"/>
    </row>
    <row r="1042" spans="1:9">
      <c r="A1042" s="782"/>
      <c r="B1042" s="782"/>
      <c r="C1042" s="782"/>
      <c r="D1042" s="2002"/>
      <c r="E1042" s="2002"/>
      <c r="F1042" s="2002"/>
      <c r="G1042" s="782"/>
    </row>
    <row r="1043" spans="1:9">
      <c r="A1043" s="782"/>
      <c r="B1043" s="782"/>
      <c r="C1043" s="782"/>
      <c r="D1043" s="2002"/>
      <c r="E1043" s="2002"/>
      <c r="F1043" s="2002"/>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2757</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2757</v>
      </c>
      <c r="C1050" s="782"/>
      <c r="D1050" s="2002" t="s">
        <v>2135</v>
      </c>
      <c r="E1050" s="2002"/>
      <c r="F1050" s="2002"/>
      <c r="G1050" s="782"/>
      <c r="I1050" s="1618" t="s">
        <v>2246</v>
      </c>
    </row>
    <row r="1051" spans="1:9">
      <c r="A1051" s="782"/>
      <c r="B1051" s="782"/>
      <c r="C1051" s="782"/>
      <c r="D1051" s="2002"/>
      <c r="E1051" s="2002"/>
      <c r="F1051" s="2002"/>
      <c r="G1051" s="782"/>
    </row>
    <row r="1052" spans="1:9">
      <c r="A1052" s="782"/>
      <c r="B1052" s="782"/>
      <c r="C1052" s="782"/>
      <c r="D1052" s="2002"/>
      <c r="E1052" s="2002"/>
      <c r="F1052" s="2002"/>
      <c r="G1052" s="782"/>
    </row>
    <row r="1053" spans="1:9">
      <c r="A1053" s="782"/>
      <c r="B1053" s="782"/>
      <c r="C1053" s="782"/>
      <c r="D1053" s="2002"/>
      <c r="E1053" s="2002"/>
      <c r="F1053" s="2002"/>
      <c r="G1053" s="782"/>
    </row>
    <row r="1054" spans="1:9">
      <c r="A1054" s="782"/>
      <c r="B1054" s="782"/>
      <c r="C1054" s="782"/>
      <c r="D1054" s="2002"/>
      <c r="E1054" s="2002"/>
      <c r="F1054" s="2002"/>
      <c r="G1054" s="782"/>
    </row>
    <row r="1055" spans="1:9">
      <c r="A1055" s="782"/>
      <c r="B1055" s="782"/>
      <c r="C1055" s="782"/>
      <c r="D1055" s="782"/>
      <c r="E1055" s="782"/>
      <c r="F1055" s="782"/>
      <c r="G1055" s="782"/>
    </row>
    <row r="1056" spans="1:9">
      <c r="A1056" s="1994" t="s">
        <v>2136</v>
      </c>
      <c r="B1056" s="1994"/>
      <c r="C1056" s="1994"/>
      <c r="D1056" s="1994"/>
      <c r="E1056" s="1994"/>
      <c r="F1056" s="1994"/>
      <c r="G1056" s="1994"/>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2757</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2757</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2758</v>
      </c>
      <c r="C1065" s="782"/>
      <c r="D1065" s="1610" t="s">
        <v>2145</v>
      </c>
      <c r="E1065" s="1615"/>
      <c r="F1065" s="782"/>
      <c r="G1065" s="782"/>
      <c r="I1065" s="1618" t="s">
        <v>2249</v>
      </c>
    </row>
    <row r="1066" spans="1:9" s="1616" customFormat="1">
      <c r="D1066" s="2003" t="s">
        <v>2146</v>
      </c>
      <c r="E1066" s="2003"/>
      <c r="F1066" s="2003"/>
      <c r="I1066" s="1618"/>
    </row>
    <row r="1067" spans="1:9" s="1616" customFormat="1">
      <c r="D1067" s="2003"/>
      <c r="E1067" s="2003"/>
      <c r="F1067" s="2003"/>
      <c r="I1067" s="1618"/>
    </row>
    <row r="1068" spans="1:9" s="1616" customFormat="1">
      <c r="D1068" s="2003"/>
      <c r="E1068" s="2003"/>
      <c r="F1068" s="2003"/>
      <c r="I1068" s="1618"/>
    </row>
    <row r="1069" spans="1:9" s="1616" customFormat="1">
      <c r="D1069" s="2003"/>
      <c r="E1069" s="2003"/>
      <c r="F1069" s="2003"/>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2758</v>
      </c>
      <c r="C1073" s="782"/>
      <c r="D1073" s="2000" t="s">
        <v>2138</v>
      </c>
      <c r="E1073" s="2000"/>
      <c r="F1073" s="2000"/>
      <c r="G1073" s="782"/>
    </row>
    <row r="1074" spans="1:9" s="1616" customFormat="1">
      <c r="D1074" s="2000"/>
      <c r="E1074" s="2000"/>
      <c r="F1074" s="2000"/>
      <c r="I1074" s="1618"/>
    </row>
    <row r="1075" spans="1:9" s="1616" customFormat="1">
      <c r="D1075" s="2000"/>
      <c r="E1075" s="2000"/>
      <c r="F1075" s="2000"/>
      <c r="I1075" s="1618"/>
    </row>
    <row r="1076" spans="1:9" s="1616" customFormat="1">
      <c r="D1076" s="2000"/>
      <c r="E1076" s="2000"/>
      <c r="F1076" s="2000"/>
      <c r="I1076" s="1618"/>
    </row>
    <row r="1077" spans="1:9">
      <c r="A1077" s="782"/>
      <c r="B1077" s="782"/>
      <c r="C1077" s="782"/>
      <c r="D1077" s="2000"/>
      <c r="E1077" s="2000"/>
      <c r="F1077" s="2000"/>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94" t="s">
        <v>2148</v>
      </c>
      <c r="B1080" s="1994"/>
      <c r="C1080" s="1994"/>
      <c r="D1080" s="1994"/>
      <c r="E1080" s="1994"/>
      <c r="F1080" s="1994"/>
      <c r="G1080" s="1994"/>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2758</v>
      </c>
      <c r="C1083" s="782"/>
      <c r="D1083" s="2004" t="s">
        <v>2379</v>
      </c>
      <c r="E1083" s="2004"/>
      <c r="F1083" s="2004"/>
      <c r="G1083" s="782"/>
      <c r="I1083" s="1618" t="s">
        <v>2251</v>
      </c>
    </row>
    <row r="1084" spans="1:9" s="1616" customFormat="1">
      <c r="D1084" s="2004"/>
      <c r="E1084" s="2004"/>
      <c r="F1084" s="2004"/>
      <c r="I1084" s="1618"/>
    </row>
    <row r="1085" spans="1:9" s="1616" customFormat="1">
      <c r="D1085" s="2005" t="s">
        <v>2551</v>
      </c>
      <c r="E1085" s="2003"/>
      <c r="F1085" s="2003"/>
      <c r="I1085" s="1618"/>
    </row>
    <row r="1086" spans="1:9" s="1616" customFormat="1">
      <c r="D1086" s="1611"/>
      <c r="I1086" s="1618"/>
    </row>
    <row r="1087" spans="1:9">
      <c r="A1087" s="782"/>
      <c r="B1087" s="1619" t="s">
        <v>2758</v>
      </c>
      <c r="C1087" s="782"/>
      <c r="D1087" s="2000" t="s">
        <v>2149</v>
      </c>
      <c r="E1087" s="2000"/>
      <c r="F1087" s="2000"/>
      <c r="G1087" s="782"/>
      <c r="I1087" s="1618" t="s">
        <v>2252</v>
      </c>
    </row>
    <row r="1088" spans="1:9" s="1616" customFormat="1">
      <c r="D1088" s="2000"/>
      <c r="E1088" s="2000"/>
      <c r="F1088" s="2000"/>
      <c r="I1088" s="1618"/>
    </row>
    <row r="1089" spans="1:9" s="1616" customFormat="1">
      <c r="D1089" s="1611"/>
      <c r="I1089" s="1618"/>
    </row>
    <row r="1090" spans="1:9">
      <c r="A1090" s="782"/>
      <c r="B1090" s="1619" t="s">
        <v>2758</v>
      </c>
      <c r="C1090" s="782"/>
      <c r="D1090" s="2000" t="s">
        <v>2297</v>
      </c>
      <c r="E1090" s="2000"/>
      <c r="F1090" s="2000"/>
      <c r="G1090" s="782"/>
      <c r="I1090" s="1618" t="s">
        <v>2295</v>
      </c>
    </row>
    <row r="1091" spans="1:9" s="1616" customFormat="1">
      <c r="D1091" s="2000"/>
      <c r="E1091" s="2000"/>
      <c r="F1091" s="2000"/>
      <c r="I1091" s="1618"/>
    </row>
    <row r="1092" spans="1:9" s="1616" customFormat="1">
      <c r="D1092" s="2000"/>
      <c r="E1092" s="2000"/>
      <c r="F1092" s="2000"/>
      <c r="I1092" s="1618"/>
    </row>
    <row r="1093" spans="1:9" s="1616" customFormat="1">
      <c r="D1093" s="2000"/>
      <c r="E1093" s="2000"/>
      <c r="F1093" s="2000"/>
      <c r="I1093" s="1618"/>
    </row>
    <row r="1094" spans="1:9" s="1616" customFormat="1">
      <c r="D1094" s="2000"/>
      <c r="E1094" s="2000"/>
      <c r="F1094" s="2000"/>
      <c r="I1094" s="1618"/>
    </row>
    <row r="1095" spans="1:9" s="1616" customFormat="1">
      <c r="D1095" s="2000"/>
      <c r="E1095" s="2000"/>
      <c r="F1095" s="2000"/>
      <c r="I1095" s="1618"/>
    </row>
    <row r="1096" spans="1:9" s="1617" customFormat="1">
      <c r="B1096" s="1616"/>
      <c r="D1096" s="1611" t="s">
        <v>2296</v>
      </c>
    </row>
    <row r="1097" spans="1:9">
      <c r="A1097" s="782"/>
      <c r="B1097" s="1619" t="s">
        <v>2758</v>
      </c>
      <c r="C1097" s="782"/>
      <c r="D1097" s="2000" t="s">
        <v>2150</v>
      </c>
      <c r="E1097" s="2000"/>
      <c r="F1097" s="2000"/>
      <c r="G1097" s="782"/>
      <c r="I1097" s="1676" t="s">
        <v>2253</v>
      </c>
    </row>
    <row r="1098" spans="1:9" s="1616" customFormat="1">
      <c r="D1098" s="2000"/>
      <c r="E1098" s="2000"/>
      <c r="F1098" s="2000"/>
      <c r="I1098" s="1618"/>
    </row>
    <row r="1099" spans="1:9" s="1616" customFormat="1">
      <c r="D1099" s="2000"/>
      <c r="E1099" s="2000"/>
      <c r="F1099" s="2000"/>
      <c r="I1099" s="1618"/>
    </row>
    <row r="1100" spans="1:9" s="1616" customFormat="1">
      <c r="D1100" s="1611"/>
      <c r="I1100" s="1618"/>
    </row>
    <row r="1101" spans="1:9">
      <c r="A1101" s="782"/>
      <c r="B1101" s="1619" t="s">
        <v>2758</v>
      </c>
      <c r="C1101" s="782"/>
      <c r="D1101" s="2001" t="s">
        <v>2298</v>
      </c>
      <c r="E1101" s="2001"/>
      <c r="F1101" s="2001"/>
      <c r="G1101" s="782"/>
      <c r="I1101" s="1618" t="s">
        <v>2254</v>
      </c>
    </row>
    <row r="1102" spans="1:9">
      <c r="A1102" s="782"/>
      <c r="B1102" s="782"/>
      <c r="C1102" s="782"/>
      <c r="D1102" s="2001"/>
      <c r="E1102" s="2001"/>
      <c r="F1102" s="2001"/>
      <c r="G1102" s="782"/>
    </row>
    <row r="1103" spans="1:9">
      <c r="A1103" s="782"/>
      <c r="B1103" s="782"/>
      <c r="C1103" s="782"/>
      <c r="D1103" s="2001"/>
      <c r="E1103" s="2001"/>
      <c r="F1103" s="2001"/>
      <c r="G1103" s="782"/>
    </row>
    <row r="1104" spans="1:9" s="1616" customFormat="1">
      <c r="D1104" s="1688"/>
      <c r="E1104" s="1688"/>
      <c r="F1104" s="1688"/>
      <c r="I1104" s="1618"/>
    </row>
    <row r="1105" spans="1:9" s="1616" customFormat="1" ht="15.75" customHeight="1">
      <c r="B1105" s="1619" t="s">
        <v>2757</v>
      </c>
      <c r="D1105" s="1906" t="s">
        <v>2300</v>
      </c>
      <c r="E1105" s="1906"/>
      <c r="F1105" s="1906"/>
      <c r="I1105" s="1618" t="s">
        <v>2299</v>
      </c>
    </row>
    <row r="1106" spans="1:9" s="1616" customFormat="1">
      <c r="D1106" s="1906"/>
      <c r="E1106" s="1906"/>
      <c r="F1106" s="1906"/>
      <c r="I1106" s="1618"/>
    </row>
    <row r="1107" spans="1:9" s="1616" customFormat="1">
      <c r="D1107" s="1906"/>
      <c r="E1107" s="1906"/>
      <c r="F1107" s="1906"/>
      <c r="I1107" s="1618"/>
    </row>
    <row r="1108" spans="1:9" s="1616" customFormat="1">
      <c r="D1108" s="1906"/>
      <c r="E1108" s="1906"/>
      <c r="F1108" s="1906"/>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42"/>
      <c r="H1523" s="1942"/>
      <c r="I1523" s="19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64" zoomScaleNormal="100" zoomScaleSheetLayoutView="80" workbookViewId="0">
      <selection activeCell="AQ691" sqref="AQ69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59" t="s">
        <v>105</v>
      </c>
      <c r="B8" s="2359"/>
      <c r="C8" s="2359"/>
      <c r="D8" s="2359"/>
      <c r="E8" s="2359"/>
      <c r="F8" s="2359"/>
      <c r="G8" s="2359"/>
      <c r="H8" s="2359"/>
      <c r="I8" s="2359"/>
      <c r="J8" s="2359"/>
      <c r="K8" s="2359"/>
      <c r="L8" s="2359"/>
      <c r="M8" s="2359"/>
      <c r="N8" s="2359"/>
      <c r="O8" s="2359"/>
      <c r="P8" s="2359"/>
      <c r="Q8" s="2359"/>
      <c r="R8" s="2359"/>
      <c r="S8" s="2359"/>
      <c r="T8" s="2359"/>
      <c r="U8" s="2359"/>
      <c r="V8" s="2359"/>
      <c r="W8" s="2359"/>
      <c r="X8" s="2359"/>
      <c r="Y8" s="2359"/>
      <c r="Z8" s="2359"/>
      <c r="AA8" s="2359"/>
      <c r="AB8" s="2359"/>
      <c r="AC8" s="2359"/>
      <c r="AD8" s="2359"/>
      <c r="AE8" s="2359"/>
      <c r="AF8" s="2359"/>
      <c r="AG8" s="2359"/>
      <c r="AH8" s="2359"/>
      <c r="AI8" s="2359"/>
      <c r="AJ8" s="2359"/>
      <c r="AK8" s="2359"/>
      <c r="AL8" s="2359"/>
      <c r="AM8" s="1424"/>
      <c r="AN8" s="1424"/>
      <c r="AO8" s="1424"/>
      <c r="AP8" s="1424"/>
      <c r="AQ8" s="1424"/>
      <c r="AR8" s="1424"/>
      <c r="AS8" s="1424"/>
      <c r="AT8" s="1424"/>
      <c r="AU8" s="1424"/>
      <c r="AV8" s="1424"/>
      <c r="AW8" s="1424"/>
      <c r="AX8" s="1424"/>
      <c r="AY8" s="1424"/>
    </row>
    <row r="9" spans="1:96" s="711" customFormat="1" ht="12.75">
      <c r="A9" s="2527" t="s">
        <v>2553</v>
      </c>
      <c r="B9" s="2527"/>
      <c r="C9" s="2527"/>
      <c r="D9" s="2527"/>
      <c r="E9" s="2527"/>
      <c r="F9" s="2527"/>
      <c r="G9" s="2527"/>
      <c r="H9" s="2527"/>
      <c r="I9" s="2527"/>
      <c r="J9" s="2527"/>
      <c r="K9" s="2527"/>
      <c r="L9" s="2527"/>
      <c r="M9" s="2527"/>
      <c r="N9" s="2527"/>
      <c r="O9" s="2527"/>
      <c r="P9" s="2527"/>
      <c r="Q9" s="2527"/>
      <c r="R9" s="2527"/>
      <c r="S9" s="2527"/>
      <c r="T9" s="2527"/>
      <c r="U9" s="2527"/>
      <c r="V9" s="2527"/>
      <c r="W9" s="2527"/>
      <c r="X9" s="2527"/>
      <c r="Y9" s="2527"/>
      <c r="Z9" s="2527"/>
      <c r="AA9" s="2527"/>
      <c r="AB9" s="2527"/>
      <c r="AC9" s="2527"/>
      <c r="AD9" s="2527"/>
      <c r="AE9" s="2527"/>
      <c r="AF9" s="2527"/>
      <c r="AG9" s="2527"/>
      <c r="AH9" s="2527"/>
      <c r="AI9" s="2527"/>
      <c r="AJ9" s="2527"/>
      <c r="AK9" s="2527"/>
      <c r="AL9" s="2527"/>
      <c r="AM9" s="1408"/>
      <c r="AN9" s="1408"/>
      <c r="AO9" s="1408"/>
      <c r="AP9" s="1408"/>
      <c r="AQ9" s="1408"/>
      <c r="AR9" s="1408"/>
      <c r="AS9" s="1408"/>
      <c r="AT9" s="1408"/>
      <c r="AU9" s="1408"/>
      <c r="AV9" s="1408"/>
      <c r="AW9" s="1408"/>
      <c r="AX9" s="1408"/>
      <c r="AY9" s="1408"/>
      <c r="CR9" s="25"/>
    </row>
    <row r="10" spans="1:96" ht="15" customHeight="1">
      <c r="A10" s="2437" t="s">
        <v>2314</v>
      </c>
      <c r="B10" s="2437"/>
      <c r="C10" s="2437"/>
      <c r="D10" s="2437"/>
      <c r="E10" s="2437"/>
      <c r="F10" s="2437"/>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0"/>
      <c r="AN10" s="20"/>
      <c r="AO10" s="20"/>
      <c r="AP10" s="20"/>
      <c r="AQ10" s="20"/>
      <c r="AR10" s="20"/>
      <c r="AS10" s="20"/>
      <c r="AT10" s="20"/>
      <c r="AU10" s="20"/>
      <c r="AV10" s="20"/>
      <c r="AW10" s="20"/>
      <c r="AX10" s="20"/>
      <c r="AY10" s="20"/>
    </row>
    <row r="11" spans="1:96" ht="15" customHeight="1">
      <c r="A11" s="2527" t="s">
        <v>1866</v>
      </c>
      <c r="B11" s="2527"/>
      <c r="C11" s="2527"/>
      <c r="D11" s="2527"/>
      <c r="E11" s="2527"/>
      <c r="F11" s="2527"/>
      <c r="G11" s="2527"/>
      <c r="H11" s="2527"/>
      <c r="I11" s="2527"/>
      <c r="J11" s="2527"/>
      <c r="K11" s="2527"/>
      <c r="L11" s="2527"/>
      <c r="M11" s="2527"/>
      <c r="N11" s="2527"/>
      <c r="O11" s="2527"/>
      <c r="P11" s="2527"/>
      <c r="Q11" s="2527"/>
      <c r="R11" s="2527"/>
      <c r="S11" s="2527"/>
      <c r="T11" s="2527"/>
      <c r="U11" s="2527"/>
      <c r="V11" s="2527"/>
      <c r="W11" s="2527"/>
      <c r="X11" s="2527"/>
      <c r="Y11" s="2527"/>
      <c r="Z11" s="2527"/>
      <c r="AA11" s="2527"/>
      <c r="AB11" s="2527"/>
      <c r="AC11" s="2527"/>
      <c r="AD11" s="2527"/>
      <c r="AE11" s="2527"/>
      <c r="AF11" s="2527"/>
      <c r="AG11" s="2527"/>
      <c r="AH11" s="2527"/>
      <c r="AI11" s="2527"/>
      <c r="AJ11" s="2527"/>
      <c r="AK11" s="2527"/>
      <c r="AL11" s="2527"/>
      <c r="AM11" s="1408"/>
      <c r="AN11" s="1408"/>
      <c r="AO11" s="1408"/>
      <c r="AP11" s="1408"/>
      <c r="AQ11" s="1408"/>
      <c r="AR11" s="1408"/>
      <c r="AS11" s="1408"/>
      <c r="AT11" s="1408"/>
      <c r="AU11" s="1408"/>
      <c r="AV11" s="1408"/>
      <c r="AW11" s="1408"/>
      <c r="AX11" s="1408"/>
      <c r="AY11" s="1408"/>
    </row>
    <row r="12" spans="1:96" ht="12.75">
      <c r="A12" s="2542" t="s">
        <v>2552</v>
      </c>
      <c r="B12" s="2543"/>
      <c r="C12" s="2543"/>
      <c r="D12" s="2543"/>
      <c r="E12" s="2543"/>
      <c r="F12" s="2543"/>
      <c r="G12" s="2543"/>
      <c r="H12" s="2543"/>
      <c r="I12" s="2543"/>
      <c r="J12" s="2543"/>
      <c r="K12" s="2543"/>
      <c r="L12" s="2543"/>
      <c r="M12" s="2543"/>
      <c r="N12" s="2543"/>
      <c r="O12" s="2543"/>
      <c r="P12" s="2543"/>
      <c r="Q12" s="2543"/>
      <c r="R12" s="2543"/>
      <c r="S12" s="2543"/>
      <c r="T12" s="2543"/>
      <c r="U12" s="2543"/>
      <c r="V12" s="2543"/>
      <c r="W12" s="2543"/>
      <c r="X12" s="2543"/>
      <c r="Y12" s="2543"/>
      <c r="Z12" s="2543"/>
      <c r="AA12" s="2543"/>
      <c r="AB12" s="2543"/>
      <c r="AC12" s="2543"/>
      <c r="AD12" s="2543"/>
      <c r="AE12" s="2543"/>
      <c r="AF12" s="2543"/>
      <c r="AG12" s="2543"/>
      <c r="AH12" s="2543"/>
      <c r="AI12" s="2543"/>
      <c r="AJ12" s="2543"/>
      <c r="AK12" s="2543"/>
      <c r="AL12" s="2543"/>
      <c r="AM12" s="1414"/>
      <c r="AN12" s="1414"/>
      <c r="AO12" s="1414"/>
      <c r="AP12" s="1414"/>
      <c r="AQ12" s="1414"/>
      <c r="AR12" s="1414"/>
      <c r="AS12" s="1414"/>
      <c r="AT12" s="1414"/>
      <c r="AU12" s="1414"/>
      <c r="AV12" s="1414"/>
      <c r="AW12" s="1414"/>
      <c r="AX12" s="1414"/>
      <c r="AY12" s="1414"/>
    </row>
    <row r="13" spans="1:96" ht="12.75">
      <c r="A13" s="1901" t="s">
        <v>2554</v>
      </c>
      <c r="B13" s="1901"/>
      <c r="C13" s="1901"/>
      <c r="D13" s="1901"/>
      <c r="E13" s="1901"/>
      <c r="F13" s="1901"/>
      <c r="G13" s="1901"/>
      <c r="H13" s="1901"/>
      <c r="I13" s="1901"/>
      <c r="J13" s="1901"/>
      <c r="K13" s="1901"/>
      <c r="L13" s="1901"/>
      <c r="M13" s="1901"/>
      <c r="N13" s="1901"/>
      <c r="O13" s="1901"/>
      <c r="P13" s="1901"/>
      <c r="Q13" s="1901"/>
      <c r="R13" s="1901"/>
      <c r="S13" s="1901"/>
      <c r="T13" s="1901"/>
      <c r="U13" s="1901"/>
      <c r="V13" s="1901"/>
      <c r="W13" s="1901"/>
      <c r="X13" s="1901"/>
      <c r="Y13" s="1901"/>
      <c r="Z13" s="1901"/>
      <c r="AA13" s="1901"/>
      <c r="AB13" s="1901"/>
      <c r="AC13" s="1901"/>
      <c r="AD13" s="1901"/>
      <c r="AE13" s="1901"/>
      <c r="AF13" s="1901"/>
      <c r="AG13" s="1901"/>
      <c r="AH13" s="1901"/>
      <c r="AI13" s="1901"/>
      <c r="AJ13" s="1901"/>
      <c r="AK13" s="1901"/>
      <c r="AL13" s="1901"/>
      <c r="AM13" s="1425"/>
      <c r="AN13" s="1425"/>
      <c r="AO13" s="1425"/>
      <c r="AP13" s="1425"/>
      <c r="AQ13" s="1425"/>
      <c r="AR13" s="1425"/>
      <c r="AS13" s="1425"/>
      <c r="AT13" s="1425"/>
      <c r="AU13" s="1425"/>
      <c r="AV13" s="1425"/>
      <c r="AW13" s="1425"/>
      <c r="AX13" s="1425"/>
      <c r="AY13" s="1425"/>
    </row>
    <row r="14" spans="1:96" ht="12.75" customHeight="1" thickBot="1">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521" t="s">
        <v>2599</v>
      </c>
      <c r="I16" s="2521"/>
      <c r="J16" s="2521"/>
      <c r="K16" s="2521"/>
      <c r="L16" s="2521"/>
      <c r="M16" s="2521"/>
      <c r="N16" s="2521"/>
      <c r="O16" s="2521"/>
      <c r="P16" s="2521"/>
      <c r="Q16" s="2521"/>
      <c r="R16" s="2521"/>
      <c r="S16" s="2521"/>
      <c r="T16" s="2521"/>
      <c r="U16" s="2521"/>
      <c r="V16" s="2521"/>
      <c r="W16" s="2521"/>
      <c r="X16" s="2521"/>
      <c r="Y16" s="2521"/>
      <c r="Z16" s="2521"/>
      <c r="AA16" s="2521"/>
      <c r="AB16" s="2521"/>
      <c r="AC16" s="2521"/>
      <c r="AD16" s="2521"/>
      <c r="AE16" s="2521"/>
      <c r="AF16" s="2521"/>
      <c r="AG16" s="2521"/>
      <c r="AH16" s="2521"/>
      <c r="AI16" s="2521"/>
      <c r="AJ16" s="2521"/>
    </row>
    <row r="17" spans="1:96" ht="12.75" customHeight="1"/>
    <row r="18" spans="1:96" ht="12.75" customHeight="1">
      <c r="A18" s="134" t="s">
        <v>106</v>
      </c>
      <c r="C18" s="7"/>
      <c r="D18" s="7"/>
      <c r="E18" s="7"/>
      <c r="F18" s="7"/>
      <c r="G18" s="7"/>
      <c r="H18" s="2366" t="s">
        <v>2600</v>
      </c>
      <c r="I18" s="2366"/>
      <c r="J18" s="2366"/>
      <c r="K18" s="2366"/>
      <c r="L18" s="2366"/>
      <c r="M18" s="2366"/>
      <c r="N18" s="2366"/>
      <c r="O18" s="2366"/>
      <c r="P18" s="2366"/>
      <c r="Q18" s="2366"/>
      <c r="R18" s="2366"/>
      <c r="S18" s="2366"/>
      <c r="T18" s="2366"/>
      <c r="U18" s="2366"/>
      <c r="V18" s="2366"/>
      <c r="W18" s="2366"/>
      <c r="X18" s="2366"/>
      <c r="Y18" s="2366"/>
      <c r="Z18" s="2366"/>
      <c r="AA18" s="2366"/>
      <c r="AB18" s="2366"/>
      <c r="AC18" s="2366"/>
      <c r="AD18" s="2366"/>
      <c r="AE18" s="2366"/>
      <c r="AF18" s="2366"/>
      <c r="AG18" s="2366"/>
      <c r="AH18" s="2366"/>
      <c r="AI18" s="2366"/>
      <c r="AJ18" s="2366"/>
    </row>
    <row r="19" spans="1:96" ht="12.75" customHeight="1"/>
    <row r="20" spans="1:96" ht="14.25" customHeight="1">
      <c r="A20" s="2537" t="s">
        <v>920</v>
      </c>
      <c r="B20" s="2537"/>
      <c r="C20" s="2537"/>
      <c r="D20" s="2537"/>
      <c r="E20" s="2537"/>
      <c r="F20" s="2537"/>
      <c r="G20" s="2537"/>
      <c r="H20" s="2537"/>
      <c r="I20" s="2537"/>
      <c r="J20" s="2537"/>
      <c r="K20" s="2537"/>
      <c r="L20" s="2537"/>
      <c r="M20" s="2537"/>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c r="AL20" s="2537"/>
      <c r="AM20" s="1427"/>
      <c r="AN20" s="1427"/>
      <c r="AO20" s="1427"/>
      <c r="AP20" s="1427"/>
      <c r="AQ20" s="1427"/>
      <c r="AR20" s="1427"/>
      <c r="AS20" s="1427"/>
      <c r="AT20" s="1427"/>
      <c r="AU20" s="1427"/>
      <c r="AV20" s="1427"/>
      <c r="AW20" s="1427"/>
      <c r="AX20" s="1427"/>
      <c r="AY20" s="1427"/>
    </row>
    <row r="21" spans="1:96" ht="12.75" customHeight="1">
      <c r="A21" s="2524" t="s">
        <v>1086</v>
      </c>
      <c r="B21" s="2524"/>
      <c r="C21" s="2524"/>
      <c r="D21" s="2524"/>
      <c r="E21" s="2524"/>
      <c r="F21" s="2524"/>
      <c r="G21" s="2524"/>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23">
        <f>'Basis &amp; Credits'!AB56</f>
        <v>1526684.9</v>
      </c>
      <c r="N26" s="2523"/>
      <c r="O26" s="2523"/>
      <c r="P26" s="2523"/>
      <c r="Q26" s="2523"/>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0">
        <f>'Basis &amp; Credits'!AB77</f>
        <v>0</v>
      </c>
      <c r="N27" s="2090"/>
      <c r="O27" s="2090"/>
      <c r="P27" s="2090"/>
      <c r="Q27" s="209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99" t="s">
        <v>695</v>
      </c>
      <c r="P33" s="2099"/>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522"/>
      <c r="H122" s="2522"/>
      <c r="I122" s="239" t="s">
        <v>186</v>
      </c>
      <c r="L122" s="2522"/>
      <c r="M122" s="2522"/>
      <c r="N122" s="2522"/>
      <c r="O122" s="2532" t="s">
        <v>1448</v>
      </c>
      <c r="P122" s="2532"/>
      <c r="Q122" s="2532"/>
      <c r="R122" s="253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49"/>
      <c r="D124" s="2549"/>
      <c r="E124" s="2549"/>
      <c r="F124" s="2549"/>
      <c r="G124" s="2549"/>
      <c r="H124" s="2549"/>
      <c r="I124" s="2549"/>
      <c r="J124" s="2549"/>
      <c r="K124" s="2549"/>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22"/>
      <c r="Z126" s="2522"/>
      <c r="AA126" s="2522"/>
      <c r="AB126" s="2522"/>
      <c r="AC126" s="2522"/>
      <c r="AD126" s="2522"/>
      <c r="AE126" s="2522"/>
      <c r="AF126" s="2522"/>
      <c r="AG126" s="2522"/>
      <c r="AH126" s="2522"/>
      <c r="AI126" s="2522"/>
      <c r="AJ126" s="2522"/>
      <c r="AK126" s="2522"/>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22"/>
      <c r="Z129" s="2522"/>
      <c r="AA129" s="2522"/>
      <c r="AB129" s="2522"/>
      <c r="AC129" s="2522"/>
      <c r="AD129" s="2522"/>
      <c r="AE129" s="2522"/>
      <c r="AF129" s="2522"/>
      <c r="AG129" s="2522"/>
      <c r="AH129" s="2522"/>
      <c r="AI129" s="2522"/>
      <c r="AJ129" s="2522"/>
      <c r="AK129" s="2522"/>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22"/>
      <c r="Z132" s="2522"/>
      <c r="AA132" s="2522"/>
      <c r="AB132" s="2522"/>
      <c r="AC132" s="2522"/>
      <c r="AD132" s="2522"/>
      <c r="AE132" s="2522"/>
      <c r="AF132" s="2522"/>
      <c r="AG132" s="2522"/>
      <c r="AH132" s="2522"/>
      <c r="AI132" s="2522"/>
      <c r="AJ132" s="2522"/>
      <c r="AK132" s="252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25"/>
      <c r="G150" s="2525"/>
      <c r="H150" s="2525"/>
      <c r="I150" s="2525"/>
      <c r="J150" s="2525"/>
      <c r="K150" s="2525"/>
      <c r="L150" s="2525"/>
      <c r="M150" s="2525"/>
      <c r="N150" s="2525"/>
      <c r="O150" s="2525"/>
      <c r="P150" s="2525"/>
      <c r="Q150" s="2525"/>
      <c r="R150" s="2525"/>
      <c r="S150" s="2525"/>
      <c r="T150" s="25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66" t="s">
        <v>2601</v>
      </c>
      <c r="P153" s="2366"/>
      <c r="Q153" s="2366"/>
      <c r="R153" s="2366"/>
      <c r="S153" s="2366"/>
      <c r="T153" s="2366"/>
      <c r="U153" s="2366"/>
      <c r="V153" s="2366"/>
      <c r="W153" s="2366"/>
      <c r="X153" s="2366"/>
      <c r="Y153" s="2366"/>
      <c r="Z153" s="2366"/>
      <c r="AA153" s="2366"/>
      <c r="AB153" s="2366"/>
      <c r="AC153" s="2366"/>
      <c r="AD153" s="2366"/>
      <c r="AE153" s="2366"/>
      <c r="AF153" s="2366"/>
      <c r="AG153" s="2366"/>
      <c r="AH153" s="2366"/>
    </row>
    <row r="154" spans="1:96" ht="12.75" customHeight="1">
      <c r="D154" s="463" t="s">
        <v>457</v>
      </c>
      <c r="F154" s="32"/>
      <c r="G154" s="32"/>
      <c r="H154" s="32"/>
      <c r="I154" s="32"/>
      <c r="J154" s="32"/>
      <c r="K154" s="32"/>
      <c r="L154" s="32"/>
      <c r="M154" s="32"/>
      <c r="N154" s="32"/>
      <c r="O154" s="2153" t="s">
        <v>2602</v>
      </c>
      <c r="P154" s="2153"/>
      <c r="Q154" s="2153"/>
      <c r="R154" s="2153"/>
      <c r="S154" s="2153"/>
      <c r="T154" s="2153"/>
      <c r="U154" s="2153"/>
      <c r="V154" s="2153"/>
      <c r="W154" s="2153"/>
      <c r="X154" s="2153"/>
      <c r="Y154" s="2153"/>
      <c r="Z154" s="2153"/>
      <c r="AA154" s="2153"/>
      <c r="AB154" s="2153"/>
      <c r="AC154" s="2153"/>
      <c r="AD154" s="2153"/>
      <c r="AE154" s="2153"/>
      <c r="AF154" s="2153"/>
      <c r="AG154" s="2153"/>
      <c r="AH154" s="2153"/>
      <c r="AZ154" s="25"/>
    </row>
    <row r="155" spans="1:96" ht="12.75">
      <c r="D155" s="13" t="s">
        <v>459</v>
      </c>
      <c r="F155" s="13"/>
      <c r="G155" s="13"/>
      <c r="H155" s="13"/>
      <c r="I155" s="13"/>
      <c r="J155" s="13"/>
      <c r="K155" s="13"/>
      <c r="L155" s="13"/>
      <c r="M155" s="13"/>
      <c r="N155" s="13"/>
      <c r="O155" s="2528" t="s">
        <v>458</v>
      </c>
      <c r="P155" s="2528"/>
      <c r="Q155" s="2528"/>
      <c r="R155" s="2528"/>
      <c r="S155" s="2528"/>
      <c r="T155" s="2528"/>
      <c r="U155" s="2528"/>
      <c r="V155" s="2528"/>
      <c r="W155" s="2528"/>
      <c r="X155" s="2528"/>
      <c r="Y155" s="2528"/>
      <c r="Z155" s="2528"/>
      <c r="AA155" s="2528"/>
      <c r="AB155" s="2528"/>
      <c r="AC155" s="2528"/>
      <c r="AD155" s="2528"/>
      <c r="AE155" s="2528"/>
      <c r="AF155" s="2528"/>
      <c r="AG155" s="2528"/>
      <c r="AH155" s="2528"/>
      <c r="AZ155" s="25"/>
    </row>
    <row r="156" spans="1:96" ht="12.75">
      <c r="D156" s="32" t="s">
        <v>318</v>
      </c>
      <c r="F156" s="32"/>
      <c r="G156" s="32"/>
      <c r="H156" s="32"/>
      <c r="I156" s="32"/>
      <c r="J156" s="32"/>
      <c r="K156" s="32"/>
      <c r="L156" s="32"/>
      <c r="M156" s="32"/>
      <c r="N156" s="32"/>
      <c r="O156" s="2122" t="s">
        <v>2603</v>
      </c>
      <c r="P156" s="2122"/>
      <c r="Q156" s="2122"/>
      <c r="R156" s="2122"/>
      <c r="S156" s="2122"/>
      <c r="T156" s="2122"/>
      <c r="U156" s="2122"/>
      <c r="V156" s="2122"/>
      <c r="W156" s="2122"/>
      <c r="X156" s="2122"/>
      <c r="Y156" s="2122"/>
      <c r="Z156" s="2122"/>
      <c r="AA156" s="2122"/>
      <c r="AB156" s="2122"/>
      <c r="AC156" s="2122"/>
      <c r="AD156" s="2122"/>
      <c r="AE156" s="2122"/>
      <c r="AF156" s="2122"/>
      <c r="AG156" s="2122"/>
      <c r="AH156" s="2122"/>
      <c r="BT156" s="12" t="s">
        <v>312</v>
      </c>
    </row>
    <row r="157" spans="1:96" ht="12.75">
      <c r="D157" s="32" t="s">
        <v>319</v>
      </c>
      <c r="F157" s="32"/>
      <c r="G157" s="32"/>
      <c r="H157" s="32"/>
      <c r="I157" s="32"/>
      <c r="J157" s="32"/>
      <c r="K157" s="32"/>
      <c r="L157" s="32"/>
      <c r="M157" s="32"/>
      <c r="N157" s="32"/>
      <c r="O157" s="2366" t="s">
        <v>2604</v>
      </c>
      <c r="P157" s="2418"/>
      <c r="Q157" s="2418"/>
      <c r="R157" s="2418"/>
      <c r="S157" s="2418"/>
      <c r="T157" s="2418"/>
      <c r="U157" s="2418"/>
      <c r="V157" s="2418"/>
      <c r="W157" s="2418"/>
      <c r="X157" s="2418"/>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529">
        <v>92648</v>
      </c>
      <c r="P158" s="2529"/>
      <c r="Q158" s="2529"/>
      <c r="R158" s="2529"/>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531" t="s">
        <v>2605</v>
      </c>
      <c r="P159" s="2531"/>
      <c r="Q159" s="2531"/>
      <c r="R159" s="2531"/>
      <c r="S159" s="2531"/>
      <c r="T159" s="2531"/>
      <c r="V159" s="146" t="s">
        <v>276</v>
      </c>
      <c r="W159" s="2530"/>
      <c r="X159" s="2530"/>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531" t="s">
        <v>2606</v>
      </c>
      <c r="P160" s="2531"/>
      <c r="Q160" s="2531"/>
      <c r="R160" s="2531"/>
      <c r="S160" s="2531"/>
      <c r="T160" s="2531"/>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435" t="s">
        <v>2607</v>
      </c>
      <c r="P161" s="2435"/>
      <c r="Q161" s="2435"/>
      <c r="R161" s="2435"/>
      <c r="S161" s="2435"/>
      <c r="T161" s="2435"/>
      <c r="U161" s="2435"/>
      <c r="V161" s="2435"/>
      <c r="W161" s="2435"/>
      <c r="X161" s="2435"/>
      <c r="Y161" s="2435"/>
      <c r="Z161" s="2435"/>
      <c r="AA161" s="2435"/>
      <c r="AB161" s="2435"/>
      <c r="AC161" s="2435"/>
      <c r="AD161" s="2435"/>
      <c r="AE161" s="2435"/>
      <c r="AF161" s="2435"/>
      <c r="AG161" s="2435"/>
      <c r="AH161" s="2435"/>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50" t="s">
        <v>1409</v>
      </c>
      <c r="E164" s="2550"/>
      <c r="F164" s="2550"/>
      <c r="G164" s="2550"/>
      <c r="H164" s="2550"/>
      <c r="I164" s="2550"/>
      <c r="J164" s="2550"/>
      <c r="K164" s="2550"/>
      <c r="L164" s="2550"/>
      <c r="M164" s="2550"/>
      <c r="N164" s="2550"/>
      <c r="O164" s="2550"/>
      <c r="P164" s="2550"/>
      <c r="Q164" s="2550"/>
      <c r="R164" s="2550"/>
      <c r="S164" s="2550"/>
      <c r="T164" s="2550"/>
      <c r="U164" s="2550"/>
      <c r="V164" s="2550"/>
      <c r="W164" s="2550"/>
      <c r="X164" s="2550"/>
      <c r="Y164" s="2550"/>
      <c r="Z164" s="2550"/>
      <c r="AA164" s="2550"/>
      <c r="AB164" s="2550"/>
      <c r="AC164" s="2550"/>
      <c r="AD164" s="2550"/>
      <c r="AE164" s="2550"/>
      <c r="AF164" s="2550"/>
      <c r="AG164" s="2550"/>
      <c r="AH164" s="2550"/>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57" t="s">
        <v>564</v>
      </c>
      <c r="B169" s="2357"/>
      <c r="C169" s="2357"/>
      <c r="D169" s="2357"/>
      <c r="E169" s="2357"/>
      <c r="F169" s="2357"/>
      <c r="G169" s="2357"/>
      <c r="H169" s="2357"/>
      <c r="I169" s="2357"/>
      <c r="J169" s="2357"/>
      <c r="K169" s="2357"/>
      <c r="L169" s="2357"/>
      <c r="M169" s="2357"/>
      <c r="N169" s="2357"/>
      <c r="O169" s="2357"/>
      <c r="P169" s="2357"/>
      <c r="Q169" s="2357"/>
      <c r="R169" s="2357"/>
      <c r="S169" s="2357"/>
      <c r="T169" s="2357"/>
      <c r="U169" s="2357"/>
      <c r="V169" s="2357"/>
      <c r="W169" s="2357"/>
      <c r="X169" s="2357"/>
      <c r="Y169" s="2357"/>
      <c r="Z169" s="2357"/>
      <c r="AA169" s="2357"/>
      <c r="AB169" s="2357"/>
      <c r="AC169" s="2357"/>
      <c r="AD169" s="2357"/>
      <c r="AE169" s="2357"/>
      <c r="AF169" s="2357"/>
      <c r="AG169" s="2357"/>
      <c r="AH169" s="2357"/>
      <c r="AI169" s="2357"/>
      <c r="AJ169" s="2357"/>
      <c r="AK169" s="2357"/>
      <c r="AL169" s="2357"/>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58"/>
      <c r="B170" s="2358"/>
      <c r="C170" s="2358"/>
      <c r="D170" s="2358"/>
      <c r="E170" s="2358"/>
      <c r="F170" s="2358"/>
      <c r="G170" s="2358"/>
      <c r="H170" s="2358"/>
      <c r="I170" s="2358"/>
      <c r="J170" s="2358"/>
      <c r="K170" s="2358"/>
      <c r="L170" s="2358"/>
      <c r="M170" s="2358"/>
      <c r="N170" s="2358"/>
      <c r="O170" s="2358"/>
      <c r="P170" s="2358"/>
      <c r="Q170" s="2358"/>
      <c r="R170" s="2358"/>
      <c r="S170" s="2358"/>
      <c r="T170" s="2358"/>
      <c r="U170" s="2358"/>
      <c r="V170" s="2358"/>
      <c r="W170" s="2358"/>
      <c r="X170" s="2358"/>
      <c r="Y170" s="2358"/>
      <c r="Z170" s="2358"/>
      <c r="AA170" s="2358"/>
      <c r="AB170" s="2358"/>
      <c r="AC170" s="2358"/>
      <c r="AD170" s="2358"/>
      <c r="AE170" s="2358"/>
      <c r="AF170" s="2358"/>
      <c r="AG170" s="2358"/>
      <c r="AH170" s="2358"/>
      <c r="AI170" s="2358"/>
      <c r="AJ170" s="2358"/>
      <c r="AK170" s="2358"/>
      <c r="AL170" s="2358"/>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526" t="s">
        <v>385</v>
      </c>
      <c r="K173" s="2526"/>
      <c r="L173" s="2526"/>
      <c r="M173" s="2526"/>
      <c r="N173" s="2526"/>
      <c r="O173" s="2526"/>
      <c r="P173" s="2526"/>
      <c r="Q173" s="2526"/>
      <c r="R173" s="2526"/>
      <c r="S173" s="252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1366</v>
      </c>
      <c r="E174" s="25"/>
      <c r="F174" s="25"/>
      <c r="G174" s="25"/>
      <c r="H174" s="25"/>
      <c r="I174" s="25"/>
      <c r="J174" s="2122" t="s">
        <v>2575</v>
      </c>
      <c r="K174" s="2122"/>
      <c r="L174" s="2122"/>
      <c r="M174" s="2122"/>
      <c r="N174" s="2122"/>
      <c r="O174" s="2122"/>
      <c r="P174" s="2122"/>
      <c r="Q174" s="2122"/>
      <c r="R174" s="2122"/>
      <c r="S174" s="2122"/>
      <c r="T174" s="2122"/>
      <c r="U174" s="2122"/>
      <c r="V174" s="2122"/>
      <c r="W174" s="2122"/>
      <c r="X174" s="2122"/>
      <c r="Y174" s="2122"/>
      <c r="Z174" s="2122"/>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99" t="s">
        <v>695</v>
      </c>
      <c r="V175" s="2099"/>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2576</v>
      </c>
      <c r="Q176" s="25"/>
      <c r="R176" s="25"/>
      <c r="S176" s="25" t="s">
        <v>310</v>
      </c>
      <c r="T176" s="711"/>
      <c r="U176" s="2110"/>
      <c r="V176" s="2110"/>
      <c r="W176" s="4" t="s">
        <v>311</v>
      </c>
      <c r="X176" s="2518"/>
      <c r="Y176" s="251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99" t="s">
        <v>695</v>
      </c>
      <c r="S177" s="2099"/>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310</v>
      </c>
      <c r="AF178" s="2367"/>
      <c r="AG178" s="2367"/>
      <c r="AH178" s="4" t="s">
        <v>311</v>
      </c>
      <c r="AI178" s="2421"/>
      <c r="AJ178" s="2421"/>
      <c r="AK178" s="2421"/>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2577</v>
      </c>
      <c r="E180" s="25"/>
      <c r="X180" s="2099" t="s">
        <v>695</v>
      </c>
      <c r="Y180" s="2099"/>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88" t="str">
        <f>H18</f>
        <v>Huntington Square</v>
      </c>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95" t="s">
        <v>2608</v>
      </c>
      <c r="J185" s="2095"/>
      <c r="K185" s="2095"/>
      <c r="L185" s="2095"/>
      <c r="M185" s="2095"/>
      <c r="N185" s="2095"/>
      <c r="O185" s="2095"/>
      <c r="P185" s="2095"/>
      <c r="Q185" s="2095"/>
      <c r="R185" s="2095"/>
      <c r="S185" s="2095"/>
      <c r="T185" s="2095"/>
      <c r="U185" s="2095"/>
      <c r="V185" s="2095"/>
      <c r="W185" s="2095"/>
      <c r="X185" s="2095"/>
      <c r="Y185" s="2095"/>
      <c r="Z185" s="2095"/>
      <c r="AA185" s="2095"/>
      <c r="AB185" s="2095"/>
      <c r="AC185" s="2095"/>
      <c r="AD185" s="2095"/>
      <c r="AE185" s="2095"/>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540"/>
      <c r="F187" s="2540"/>
      <c r="G187" s="2540"/>
      <c r="H187" s="2540"/>
      <c r="I187" s="2540"/>
      <c r="J187" s="2540"/>
      <c r="K187" s="2540"/>
      <c r="L187" s="2540"/>
      <c r="M187" s="2540"/>
      <c r="N187" s="2540"/>
      <c r="O187" s="2540"/>
      <c r="P187" s="2540"/>
      <c r="Q187" s="2540"/>
      <c r="R187" s="2540"/>
      <c r="S187" s="2540"/>
      <c r="T187" s="2540"/>
      <c r="U187" s="2540"/>
      <c r="V187" s="2540"/>
      <c r="W187" s="2540"/>
      <c r="X187" s="2540"/>
      <c r="Y187" s="2540"/>
      <c r="Z187" s="2540"/>
      <c r="AA187" s="2540"/>
      <c r="AB187" s="2540"/>
      <c r="AC187" s="2540"/>
      <c r="AD187" s="2540"/>
      <c r="AE187" s="2540"/>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541"/>
      <c r="F188" s="2541"/>
      <c r="G188" s="2541"/>
      <c r="H188" s="2541"/>
      <c r="I188" s="2541"/>
      <c r="J188" s="2541"/>
      <c r="K188" s="2541"/>
      <c r="L188" s="2541"/>
      <c r="M188" s="2541"/>
      <c r="N188" s="2541"/>
      <c r="O188" s="2541"/>
      <c r="P188" s="2541"/>
      <c r="Q188" s="2541"/>
      <c r="R188" s="2541"/>
      <c r="S188" s="2541"/>
      <c r="T188" s="2541"/>
      <c r="U188" s="2541"/>
      <c r="V188" s="2541"/>
      <c r="W188" s="2541"/>
      <c r="X188" s="2541"/>
      <c r="Y188" s="2541"/>
      <c r="Z188" s="2541"/>
      <c r="AA188" s="2541"/>
      <c r="AB188" s="2541"/>
      <c r="AC188" s="2541"/>
      <c r="AD188" s="2541"/>
      <c r="AE188" s="2541"/>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122" t="s">
        <v>2600</v>
      </c>
      <c r="J189" s="2122"/>
      <c r="K189" s="2122"/>
      <c r="L189" s="2122"/>
      <c r="M189" s="2122"/>
      <c r="N189" s="2122"/>
      <c r="O189" s="2122"/>
      <c r="P189" s="2122"/>
      <c r="Q189" s="25" t="s">
        <v>608</v>
      </c>
      <c r="T189" s="2122" t="s">
        <v>519</v>
      </c>
      <c r="U189" s="2122"/>
      <c r="V189" s="2122"/>
      <c r="W189" s="2122"/>
      <c r="X189" s="2122"/>
      <c r="Y189" s="2122"/>
      <c r="Z189" s="2122"/>
      <c r="AA189" s="2122"/>
      <c r="AB189" s="2122"/>
      <c r="AC189" s="2122"/>
      <c r="AD189" s="2122"/>
      <c r="AE189" s="2122"/>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95">
        <v>90255</v>
      </c>
      <c r="J190" s="2095"/>
      <c r="K190" s="2095"/>
      <c r="L190" s="2095"/>
      <c r="M190" s="2095"/>
      <c r="N190" s="2095"/>
      <c r="O190" s="25" t="s">
        <v>611</v>
      </c>
      <c r="P190" s="25"/>
      <c r="Q190" s="25"/>
      <c r="R190" s="25"/>
      <c r="S190" s="25"/>
      <c r="T190" s="2538" t="s">
        <v>2609</v>
      </c>
      <c r="U190" s="2538"/>
      <c r="V190" s="2538"/>
      <c r="W190" s="2538"/>
      <c r="X190" s="2538"/>
      <c r="Y190" s="2538"/>
      <c r="Z190" s="2538"/>
      <c r="AA190" s="2538"/>
      <c r="AB190" s="2538"/>
      <c r="AC190" s="2538"/>
      <c r="AD190" s="2538"/>
      <c r="AE190" s="2538"/>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540" t="s">
        <v>2610</v>
      </c>
      <c r="O191" s="2540"/>
      <c r="P191" s="2540"/>
      <c r="Q191" s="2540"/>
      <c r="R191" s="2540"/>
      <c r="S191" s="2540"/>
      <c r="T191" s="2540"/>
      <c r="U191" s="2540"/>
      <c r="V191" s="2540"/>
      <c r="W191" s="2540"/>
      <c r="X191" s="2540"/>
      <c r="Y191" s="2540"/>
      <c r="Z191" s="2540"/>
      <c r="AA191" s="2540"/>
      <c r="AB191" s="2540"/>
      <c r="AC191" s="2540"/>
      <c r="AD191" s="2540"/>
      <c r="AE191" s="2540"/>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541"/>
      <c r="O192" s="2541"/>
      <c r="P192" s="2541"/>
      <c r="Q192" s="2541"/>
      <c r="R192" s="2541"/>
      <c r="S192" s="2541"/>
      <c r="T192" s="2541"/>
      <c r="U192" s="2541"/>
      <c r="V192" s="2541"/>
      <c r="W192" s="2541"/>
      <c r="X192" s="2541"/>
      <c r="Y192" s="2541"/>
      <c r="Z192" s="2541"/>
      <c r="AA192" s="2541"/>
      <c r="AB192" s="2541"/>
      <c r="AC192" s="2541"/>
      <c r="AD192" s="2541"/>
      <c r="AE192" s="2541"/>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533" t="s">
        <v>2611</v>
      </c>
      <c r="U193" s="2533"/>
      <c r="V193" s="2533"/>
      <c r="W193" s="2533"/>
      <c r="X193" s="2533"/>
      <c r="Y193" s="2533"/>
      <c r="Z193" s="2533"/>
      <c r="AA193" s="2533"/>
      <c r="AB193" s="2533"/>
      <c r="AC193" s="2533"/>
      <c r="AD193" s="2533"/>
      <c r="AE193" s="2533"/>
      <c r="AF193" s="2533"/>
      <c r="AG193" s="2533"/>
      <c r="AH193" s="2533"/>
      <c r="AI193" s="2533"/>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99" t="s">
        <v>695</v>
      </c>
      <c r="U194" s="2099"/>
      <c r="W194" s="25" t="s">
        <v>711</v>
      </c>
      <c r="X194" s="25"/>
      <c r="Y194" s="25"/>
      <c r="Z194" s="25"/>
      <c r="AA194" s="25"/>
      <c r="AB194" s="25"/>
      <c r="AC194" s="25"/>
      <c r="AD194" s="25"/>
      <c r="AE194" s="25"/>
      <c r="AF194" s="25"/>
      <c r="AG194" s="25"/>
      <c r="AH194" s="2099">
        <v>40</v>
      </c>
      <c r="AI194" s="2099"/>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79" t="s">
        <v>570</v>
      </c>
      <c r="U195" s="2079"/>
      <c r="V195" s="12"/>
      <c r="W195" s="25" t="s">
        <v>712</v>
      </c>
      <c r="X195" s="25"/>
      <c r="Y195" s="25"/>
      <c r="Z195" s="25"/>
      <c r="AA195" s="25"/>
      <c r="AB195" s="25"/>
      <c r="AC195" s="25"/>
      <c r="AD195" s="25"/>
      <c r="AE195" s="25"/>
      <c r="AF195" s="25"/>
      <c r="AG195" s="25"/>
      <c r="AH195" s="2099">
        <v>53</v>
      </c>
      <c r="AI195" s="2099"/>
      <c r="AJ195" s="3"/>
      <c r="AK195" s="3"/>
      <c r="AL195" s="3"/>
      <c r="AM195" s="673"/>
      <c r="AN195" s="673"/>
      <c r="AO195" s="673"/>
      <c r="AP195" s="673"/>
      <c r="AQ195" s="673"/>
      <c r="AR195" s="673"/>
      <c r="AS195" s="673"/>
      <c r="AT195" s="673"/>
      <c r="AU195" s="673"/>
      <c r="AV195" s="673"/>
      <c r="AW195" s="673"/>
      <c r="AX195" s="673"/>
      <c r="AY195" s="673"/>
      <c r="BC195" s="711" t="s">
        <v>2174</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079" t="s">
        <v>695</v>
      </c>
      <c r="U196" s="2079"/>
      <c r="W196" s="25" t="s">
        <v>713</v>
      </c>
      <c r="X196" s="25"/>
      <c r="Y196" s="25"/>
      <c r="Z196" s="25"/>
      <c r="AA196" s="25"/>
      <c r="AB196" s="25"/>
      <c r="AC196" s="25"/>
      <c r="AD196" s="25"/>
      <c r="AE196" s="25"/>
      <c r="AF196" s="25"/>
      <c r="AG196" s="25"/>
      <c r="AH196" s="2099">
        <v>33</v>
      </c>
      <c r="AI196" s="2099"/>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79"/>
      <c r="U197" s="2079"/>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99"/>
      <c r="Z198" s="2099"/>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200</v>
      </c>
    </row>
    <row r="203" spans="1:96" ht="12.75" customHeight="1">
      <c r="A203" s="25"/>
      <c r="C203" s="25"/>
      <c r="D203" s="2088" t="s">
        <v>399</v>
      </c>
      <c r="E203" s="2088"/>
      <c r="F203" s="2088"/>
      <c r="G203" s="2088"/>
      <c r="H203" s="2088"/>
      <c r="I203" s="2088"/>
      <c r="J203" s="2088"/>
      <c r="K203" s="2088"/>
      <c r="L203" s="2088"/>
      <c r="M203" s="2088"/>
      <c r="P203" s="2535">
        <f>M26</f>
        <v>1526684.9</v>
      </c>
      <c r="Q203" s="2536"/>
      <c r="R203" s="2536"/>
      <c r="S203" s="2536"/>
      <c r="T203" s="2536"/>
      <c r="U203" s="2536"/>
      <c r="V203" s="25"/>
      <c r="W203" s="25"/>
      <c r="X203" s="25"/>
      <c r="Y203" s="25"/>
      <c r="Z203" s="2544" t="s">
        <v>2759</v>
      </c>
      <c r="AA203" s="2544"/>
      <c r="AB203" s="2544"/>
      <c r="AC203" s="2544"/>
      <c r="AD203" s="2544"/>
      <c r="AE203" s="2544"/>
      <c r="AF203" s="2544"/>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201</v>
      </c>
    </row>
    <row r="204" spans="1:96" ht="12.75" customHeight="1">
      <c r="A204" s="25"/>
      <c r="C204" s="45"/>
      <c r="D204" s="2534" t="s">
        <v>1425</v>
      </c>
      <c r="E204" s="2088"/>
      <c r="F204" s="2088"/>
      <c r="G204" s="2088"/>
      <c r="H204" s="2088"/>
      <c r="I204" s="2088"/>
      <c r="J204" s="2088"/>
      <c r="K204" s="2088"/>
      <c r="L204" s="2088"/>
      <c r="M204" s="2088"/>
      <c r="P204" s="2536">
        <f>M27</f>
        <v>0</v>
      </c>
      <c r="Q204" s="2536"/>
      <c r="R204" s="2536"/>
      <c r="S204" s="2536"/>
      <c r="T204" s="2536"/>
      <c r="U204" s="2536"/>
      <c r="V204" s="47"/>
      <c r="W204" s="58" t="s">
        <v>2035</v>
      </c>
      <c r="Z204" s="2544"/>
      <c r="AA204" s="2544"/>
      <c r="AB204" s="2544"/>
      <c r="AC204" s="2544"/>
      <c r="AD204" s="2544"/>
      <c r="AE204" s="2544"/>
      <c r="AF204" s="2544"/>
      <c r="AG204" s="25" t="s">
        <v>1426</v>
      </c>
      <c r="AH204" s="25"/>
      <c r="AI204" s="25"/>
      <c r="AJ204" s="25"/>
      <c r="AK204" s="25"/>
      <c r="AL204" s="25"/>
      <c r="AM204" s="25"/>
      <c r="AN204" s="25"/>
      <c r="AO204" s="25"/>
      <c r="AP204" s="2099" t="s">
        <v>695</v>
      </c>
      <c r="AQ204" s="2099"/>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45"/>
      <c r="AA205" s="2545"/>
      <c r="AB205" s="2545"/>
      <c r="AC205" s="2545"/>
      <c r="AD205" s="2545"/>
      <c r="AE205" s="2545"/>
      <c r="AF205" s="2545"/>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203</v>
      </c>
      <c r="BU206" s="56"/>
    </row>
    <row r="207" spans="1:96" ht="12.75">
      <c r="A207" s="25"/>
      <c r="C207" s="45"/>
      <c r="D207" s="2418" t="s">
        <v>2612</v>
      </c>
      <c r="E207" s="2418"/>
      <c r="F207" s="2418"/>
      <c r="G207" s="2418"/>
      <c r="H207" s="2418"/>
      <c r="I207" s="2418"/>
      <c r="J207" s="2418"/>
      <c r="K207" s="2418"/>
      <c r="L207" s="2418"/>
      <c r="M207" s="24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418" t="s">
        <v>1125</v>
      </c>
      <c r="E210" s="2418"/>
      <c r="F210" s="2418"/>
      <c r="G210" s="2418"/>
      <c r="H210" s="2418"/>
      <c r="I210" s="2418"/>
      <c r="J210" s="2418"/>
      <c r="K210" s="2418"/>
      <c r="L210" s="2418"/>
      <c r="M210" s="2418"/>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99">
        <v>35</v>
      </c>
      <c r="Z211" s="2099"/>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596" t="s">
        <v>1122</v>
      </c>
      <c r="E213" s="2596"/>
      <c r="F213" s="2596"/>
      <c r="G213" s="2596"/>
      <c r="H213" s="2596"/>
      <c r="I213" s="2596"/>
      <c r="J213" s="2596"/>
      <c r="K213" s="2596"/>
      <c r="L213" s="2596"/>
      <c r="M213" s="2596"/>
      <c r="N213" s="2596"/>
      <c r="O213" s="2596"/>
      <c r="P213" s="2596"/>
      <c r="Q213" s="2596"/>
      <c r="R213" s="2596"/>
      <c r="S213" s="2596"/>
      <c r="T213" s="2596"/>
      <c r="U213" s="2596"/>
      <c r="V213" s="2596"/>
      <c r="W213" s="2596"/>
      <c r="X213" s="2596"/>
      <c r="Y213" s="2596"/>
      <c r="Z213" s="2596"/>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54">
        <v>62</v>
      </c>
      <c r="AC214" s="2554"/>
      <c r="AD214" s="2554"/>
      <c r="AE214" s="2554"/>
      <c r="AF214" s="2554"/>
      <c r="AG214" s="2554"/>
      <c r="AH214" s="2554"/>
      <c r="AI214" s="2554"/>
      <c r="AJ214" s="2554"/>
      <c r="AK214" s="2554"/>
      <c r="AL214" s="2554"/>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1859</v>
      </c>
      <c r="Z215" s="69"/>
      <c r="AB215" s="2554"/>
      <c r="AC215" s="2554"/>
      <c r="AD215" s="2554"/>
      <c r="AE215" s="2554"/>
      <c r="AF215" s="2554"/>
      <c r="AG215" s="2554"/>
      <c r="AH215" s="2554"/>
      <c r="AI215" s="2554"/>
      <c r="AJ215" s="2554"/>
      <c r="AK215" s="2554"/>
      <c r="AL215" s="2554"/>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418" t="s">
        <v>922</v>
      </c>
      <c r="E219" s="2418"/>
      <c r="F219" s="2418"/>
      <c r="G219" s="2418"/>
      <c r="H219" s="2418"/>
      <c r="I219" s="2418"/>
      <c r="J219" s="2418"/>
      <c r="K219" s="2418"/>
      <c r="L219" s="2418"/>
      <c r="M219" s="2418"/>
      <c r="N219" s="2418"/>
      <c r="O219" s="2418"/>
      <c r="P219" s="2418"/>
      <c r="Q219" s="2418"/>
      <c r="R219" s="2418"/>
      <c r="S219" s="2418"/>
      <c r="T219" s="2418"/>
      <c r="U219" s="2418"/>
      <c r="V219" s="2418"/>
      <c r="W219" s="2418"/>
      <c r="X219" s="2418"/>
      <c r="Y219" s="2418"/>
      <c r="Z219" s="2418"/>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357" t="s">
        <v>565</v>
      </c>
      <c r="B221" s="2357"/>
      <c r="C221" s="2357"/>
      <c r="D221" s="2357"/>
      <c r="E221" s="2357"/>
      <c r="F221" s="2357"/>
      <c r="G221" s="2357"/>
      <c r="H221" s="2357"/>
      <c r="I221" s="2357"/>
      <c r="J221" s="2357"/>
      <c r="K221" s="2357"/>
      <c r="L221" s="2357"/>
      <c r="M221" s="2357"/>
      <c r="N221" s="2357"/>
      <c r="O221" s="2357"/>
      <c r="P221" s="2357"/>
      <c r="Q221" s="2357"/>
      <c r="R221" s="2357"/>
      <c r="S221" s="2357"/>
      <c r="T221" s="2357"/>
      <c r="U221" s="2357"/>
      <c r="V221" s="2357"/>
      <c r="W221" s="2357"/>
      <c r="X221" s="2357"/>
      <c r="Y221" s="2357"/>
      <c r="Z221" s="2357"/>
      <c r="AA221" s="2357"/>
      <c r="AB221" s="2357"/>
      <c r="AC221" s="2357"/>
      <c r="AD221" s="2357"/>
      <c r="AE221" s="2357"/>
      <c r="AF221" s="2357"/>
      <c r="AG221" s="2357"/>
      <c r="AH221" s="2357"/>
      <c r="AI221" s="2357"/>
      <c r="AJ221" s="2357"/>
      <c r="AK221" s="2357"/>
      <c r="AL221" s="2357"/>
      <c r="AM221" s="144"/>
      <c r="AN221" s="144"/>
      <c r="AO221" s="144"/>
      <c r="AP221" s="144"/>
      <c r="AQ221" s="144"/>
      <c r="AR221" s="144"/>
      <c r="AS221" s="144"/>
      <c r="AT221" s="144"/>
      <c r="AU221" s="144"/>
      <c r="AV221" s="144"/>
      <c r="AW221" s="144"/>
      <c r="AX221" s="144"/>
      <c r="AY221" s="144"/>
      <c r="BA221" s="58"/>
    </row>
    <row r="222" spans="1:96" ht="13.5" thickBot="1">
      <c r="A222" s="2358"/>
      <c r="B222" s="2358"/>
      <c r="C222" s="2358"/>
      <c r="D222" s="2358"/>
      <c r="E222" s="2358"/>
      <c r="F222" s="2358"/>
      <c r="G222" s="2358"/>
      <c r="H222" s="2358"/>
      <c r="I222" s="2358"/>
      <c r="J222" s="2358"/>
      <c r="K222" s="2358"/>
      <c r="L222" s="2358"/>
      <c r="M222" s="2358"/>
      <c r="N222" s="2358"/>
      <c r="O222" s="2358"/>
      <c r="P222" s="2358"/>
      <c r="Q222" s="2358"/>
      <c r="R222" s="2358"/>
      <c r="S222" s="2358"/>
      <c r="T222" s="2358"/>
      <c r="U222" s="2358"/>
      <c r="V222" s="2358"/>
      <c r="W222" s="2358"/>
      <c r="X222" s="2358"/>
      <c r="Y222" s="2358"/>
      <c r="Z222" s="2358"/>
      <c r="AA222" s="2358"/>
      <c r="AB222" s="2358"/>
      <c r="AC222" s="2358"/>
      <c r="AD222" s="2358"/>
      <c r="AE222" s="2358"/>
      <c r="AF222" s="2358"/>
      <c r="AG222" s="2358"/>
      <c r="AH222" s="2358"/>
      <c r="AI222" s="2358"/>
      <c r="AJ222" s="2358"/>
      <c r="AK222" s="2358"/>
      <c r="AL222" s="235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99" t="s">
        <v>570</v>
      </c>
      <c r="AJ225" s="2099"/>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99" t="s">
        <v>617</v>
      </c>
      <c r="AJ226" s="2099"/>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99" t="s">
        <v>617</v>
      </c>
      <c r="AJ227" s="2099"/>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99" t="s">
        <v>617</v>
      </c>
      <c r="AJ228" s="2099"/>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39" t="str">
        <f>H16</f>
        <v>Huntington Square, L.P.</v>
      </c>
      <c r="N231" s="2539"/>
      <c r="O231" s="2539"/>
      <c r="P231" s="2539"/>
      <c r="Q231" s="2539"/>
      <c r="R231" s="2539"/>
      <c r="S231" s="2539"/>
      <c r="T231" s="2539"/>
      <c r="U231" s="2539"/>
      <c r="V231" s="2539"/>
      <c r="W231" s="2539"/>
      <c r="X231" s="2539"/>
      <c r="Y231" s="2539"/>
      <c r="Z231" s="2539"/>
      <c r="AA231" s="2539"/>
      <c r="AB231" s="2539"/>
      <c r="AC231" s="2539"/>
      <c r="AD231" s="2539"/>
      <c r="AE231" s="2539"/>
      <c r="AF231" s="2539"/>
      <c r="AG231" s="2539"/>
      <c r="AH231" s="2539"/>
      <c r="AI231" s="2539"/>
      <c r="AJ231" s="2539"/>
      <c r="AK231" s="2539"/>
      <c r="BA231" s="58"/>
      <c r="BB231" s="381"/>
      <c r="BG231" s="384"/>
      <c r="BQ231" s="61"/>
    </row>
    <row r="232" spans="1:69" ht="12.75">
      <c r="D232" s="57" t="s">
        <v>90</v>
      </c>
      <c r="E232" s="57"/>
      <c r="F232" s="57"/>
      <c r="G232" s="57"/>
      <c r="H232" s="57"/>
      <c r="I232" s="57"/>
      <c r="J232" s="57"/>
      <c r="K232" s="7"/>
      <c r="M232" s="2366" t="s">
        <v>2613</v>
      </c>
      <c r="N232" s="2418"/>
      <c r="O232" s="2418"/>
      <c r="P232" s="2418"/>
      <c r="Q232" s="2418"/>
      <c r="R232" s="2418"/>
      <c r="S232" s="2418"/>
      <c r="T232" s="2418"/>
      <c r="U232" s="2418"/>
      <c r="V232" s="2418"/>
      <c r="W232" s="2418"/>
      <c r="X232" s="2418"/>
      <c r="Y232" s="2418"/>
      <c r="Z232" s="2418"/>
      <c r="AA232" s="2418"/>
      <c r="AB232" s="2418"/>
      <c r="AC232" s="2418"/>
      <c r="AD232" s="2418"/>
      <c r="AE232" s="2418"/>
      <c r="AZ232" s="7"/>
      <c r="BA232" s="58"/>
      <c r="BB232" s="334" t="s">
        <v>563</v>
      </c>
      <c r="BG232" s="386">
        <f>IF(AND(AND($M$248="nonprofit",$M$256="nonprofit",$M$264="for profit")),2,0)</f>
        <v>0</v>
      </c>
      <c r="BQ232" s="61"/>
    </row>
    <row r="233" spans="1:69" ht="12.75">
      <c r="D233" s="57" t="s">
        <v>606</v>
      </c>
      <c r="E233" s="57"/>
      <c r="M233" s="2366" t="s">
        <v>519</v>
      </c>
      <c r="N233" s="2418"/>
      <c r="O233" s="2418"/>
      <c r="P233" s="2418"/>
      <c r="Q233" s="2418"/>
      <c r="R233" s="2418"/>
      <c r="S233" s="2418"/>
      <c r="T233" s="2418"/>
      <c r="V233" s="59" t="s">
        <v>91</v>
      </c>
      <c r="W233" s="2153" t="s">
        <v>2614</v>
      </c>
      <c r="X233" s="2094"/>
      <c r="Y233" s="57" t="s">
        <v>609</v>
      </c>
      <c r="AC233" s="2418">
        <v>90010</v>
      </c>
      <c r="AD233" s="2418"/>
      <c r="AE233" s="2418"/>
      <c r="BB233" s="334" t="s">
        <v>563</v>
      </c>
      <c r="BG233" s="386">
        <f>IF(AND(AND($M$248="nonprofit",$M$256="for profit",$M$264="nonprofit")),2,0)</f>
        <v>0</v>
      </c>
    </row>
    <row r="234" spans="1:69" ht="12.75">
      <c r="D234" s="60" t="s">
        <v>92</v>
      </c>
      <c r="E234" s="7"/>
      <c r="F234" s="7"/>
      <c r="G234" s="7"/>
      <c r="H234" s="7"/>
      <c r="I234" s="7"/>
      <c r="J234" s="7"/>
      <c r="K234" s="29"/>
      <c r="M234" s="2366" t="s">
        <v>2615</v>
      </c>
      <c r="N234" s="2418"/>
      <c r="O234" s="2418"/>
      <c r="P234" s="2418"/>
      <c r="Q234" s="2418"/>
      <c r="R234" s="2418"/>
      <c r="S234" s="2418"/>
      <c r="T234" s="2418"/>
      <c r="U234" s="2418"/>
      <c r="V234" s="2418"/>
      <c r="W234" s="2418"/>
      <c r="X234" s="2418"/>
      <c r="Y234" s="2418"/>
      <c r="Z234" s="2418"/>
      <c r="AA234" s="2418"/>
      <c r="AB234" s="2418"/>
      <c r="AC234" s="2418"/>
      <c r="AD234" s="2418"/>
      <c r="AE234" s="2418"/>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80" t="s">
        <v>2616</v>
      </c>
      <c r="N235" s="2368"/>
      <c r="O235" s="2368"/>
      <c r="P235" s="2368"/>
      <c r="Q235" s="2368"/>
      <c r="R235" s="2368"/>
      <c r="S235" s="7" t="s">
        <v>211</v>
      </c>
      <c r="T235" s="7"/>
      <c r="U235" s="2094">
        <v>236</v>
      </c>
      <c r="V235" s="2094"/>
      <c r="W235" s="2094"/>
      <c r="X235" s="7" t="s">
        <v>94</v>
      </c>
      <c r="Z235" s="2380" t="s">
        <v>2617</v>
      </c>
      <c r="AA235" s="2368"/>
      <c r="AB235" s="2368"/>
      <c r="AC235" s="2368"/>
      <c r="AD235" s="2368"/>
      <c r="AE235" s="2368"/>
      <c r="BB235" s="382"/>
      <c r="BG235" s="383"/>
    </row>
    <row r="236" spans="1:69" ht="12.75">
      <c r="D236" s="60" t="s">
        <v>95</v>
      </c>
      <c r="E236" s="7"/>
      <c r="F236" s="7"/>
      <c r="M236" s="2435" t="s">
        <v>2618</v>
      </c>
      <c r="N236" s="2435"/>
      <c r="O236" s="2435"/>
      <c r="P236" s="2435"/>
      <c r="Q236" s="2435"/>
      <c r="R236" s="2435"/>
      <c r="S236" s="2435"/>
      <c r="T236" s="2435"/>
      <c r="U236" s="2435"/>
      <c r="V236" s="2435"/>
      <c r="W236" s="2435"/>
      <c r="X236" s="2435"/>
      <c r="Y236" s="2435"/>
      <c r="Z236" s="2435"/>
      <c r="AA236" s="2435"/>
      <c r="AB236" s="2435"/>
      <c r="AC236" s="2435"/>
      <c r="AD236" s="2435"/>
      <c r="AE236" s="243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95" t="s">
        <v>553</v>
      </c>
      <c r="N237" s="2095"/>
      <c r="O237" s="2095"/>
      <c r="P237" s="2095"/>
      <c r="Q237" s="2095"/>
      <c r="R237" s="2095"/>
      <c r="S237" s="2095"/>
      <c r="T237" s="2095"/>
      <c r="U237" s="384" t="s">
        <v>958</v>
      </c>
      <c r="V237" s="325"/>
      <c r="W237" s="325"/>
      <c r="X237" s="325"/>
      <c r="Y237" s="325"/>
      <c r="Z237" s="325"/>
      <c r="AA237" s="2519" t="s">
        <v>2619</v>
      </c>
      <c r="AB237" s="2520"/>
      <c r="AC237" s="2520"/>
      <c r="AD237" s="2520"/>
      <c r="AE237" s="2520"/>
      <c r="AF237" s="2520"/>
      <c r="AG237" s="2520"/>
      <c r="AH237" s="2520"/>
      <c r="AI237" s="2520"/>
      <c r="AJ237" s="2520"/>
      <c r="AK237" s="2520"/>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122"/>
      <c r="N238" s="2122"/>
      <c r="O238" s="2122"/>
      <c r="P238" s="2122"/>
      <c r="Q238" s="2122"/>
      <c r="R238" s="2122"/>
      <c r="S238" s="2122"/>
      <c r="T238" s="2122"/>
      <c r="U238" s="2122"/>
      <c r="V238" s="2122"/>
      <c r="W238" s="2122"/>
      <c r="X238" s="2122"/>
      <c r="Y238" s="2122"/>
      <c r="Z238" s="2122"/>
      <c r="AA238" s="2122"/>
      <c r="AB238" s="2122"/>
      <c r="AC238" s="2122"/>
      <c r="AD238" s="2122"/>
      <c r="AE238" s="212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521" t="s">
        <v>2620</v>
      </c>
      <c r="N242" s="2516"/>
      <c r="O242" s="2516"/>
      <c r="P242" s="2516"/>
      <c r="Q242" s="2516"/>
      <c r="R242" s="2516"/>
      <c r="S242" s="2516"/>
      <c r="T242" s="2516"/>
      <c r="U242" s="2516"/>
      <c r="V242" s="2516"/>
      <c r="W242" s="2516"/>
      <c r="X242" s="2516"/>
      <c r="Y242" s="2516"/>
      <c r="Z242" s="2516"/>
      <c r="AA242" s="2516"/>
      <c r="AB242" s="2516"/>
      <c r="AC242" s="2516"/>
      <c r="AD242" s="2516"/>
      <c r="AE242" s="2516"/>
      <c r="AF242" s="2516" t="s">
        <v>2621</v>
      </c>
      <c r="AG242" s="2516"/>
      <c r="AH242" s="2516"/>
      <c r="AI242" s="2516"/>
      <c r="AJ242" s="2516"/>
      <c r="AK242" s="2516"/>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66" t="s">
        <v>2622</v>
      </c>
      <c r="N243" s="2418"/>
      <c r="O243" s="2418"/>
      <c r="P243" s="2418"/>
      <c r="Q243" s="2418"/>
      <c r="R243" s="2418"/>
      <c r="S243" s="2418"/>
      <c r="T243" s="2418"/>
      <c r="U243" s="2418"/>
      <c r="V243" s="2418"/>
      <c r="W243" s="2418"/>
      <c r="X243" s="2418"/>
      <c r="Y243" s="2418"/>
      <c r="Z243" s="2418"/>
      <c r="AA243" s="2418"/>
      <c r="AB243" s="2418"/>
      <c r="AC243" s="2418"/>
      <c r="AD243" s="2418"/>
      <c r="AE243" s="2418"/>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366" t="s">
        <v>519</v>
      </c>
      <c r="N244" s="2418"/>
      <c r="O244" s="2418"/>
      <c r="P244" s="2418"/>
      <c r="Q244" s="2418"/>
      <c r="R244" s="2418"/>
      <c r="S244" s="2418"/>
      <c r="T244" s="2418"/>
      <c r="V244" s="59" t="s">
        <v>91</v>
      </c>
      <c r="W244" s="2153" t="s">
        <v>2614</v>
      </c>
      <c r="X244" s="2094"/>
      <c r="Y244" s="57" t="s">
        <v>609</v>
      </c>
      <c r="AC244" s="2418">
        <v>90010</v>
      </c>
      <c r="AD244" s="2418"/>
      <c r="AE244" s="2418"/>
      <c r="AF244" s="58" t="s">
        <v>1344</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366" t="s">
        <v>2623</v>
      </c>
      <c r="N245" s="2418"/>
      <c r="O245" s="2418"/>
      <c r="P245" s="2418"/>
      <c r="Q245" s="2418"/>
      <c r="R245" s="2418"/>
      <c r="S245" s="2418"/>
      <c r="T245" s="2418"/>
      <c r="U245" s="2418"/>
      <c r="V245" s="2418"/>
      <c r="W245" s="2418"/>
      <c r="X245" s="2418"/>
      <c r="Y245" s="2418"/>
      <c r="Z245" s="2418"/>
      <c r="AA245" s="2418"/>
      <c r="AB245" s="2418"/>
      <c r="AC245" s="2418"/>
      <c r="AD245" s="2418"/>
      <c r="AE245" s="2418"/>
      <c r="AH245" s="2517">
        <v>0.01</v>
      </c>
      <c r="AI245" s="2517"/>
      <c r="AJ245" s="2517"/>
      <c r="AK245" s="2517"/>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Nonprofit</v>
      </c>
    </row>
    <row r="246" spans="1:72" ht="12.75">
      <c r="A246" s="29"/>
      <c r="B246" s="7"/>
      <c r="C246" s="7"/>
      <c r="D246" s="60" t="s">
        <v>93</v>
      </c>
      <c r="E246" s="7"/>
      <c r="F246" s="7"/>
      <c r="M246" s="2380" t="s">
        <v>2616</v>
      </c>
      <c r="N246" s="2368"/>
      <c r="O246" s="2368"/>
      <c r="P246" s="2368"/>
      <c r="Q246" s="2368"/>
      <c r="R246" s="2368"/>
      <c r="S246" s="7" t="s">
        <v>211</v>
      </c>
      <c r="T246" s="7"/>
      <c r="U246" s="2094">
        <v>230</v>
      </c>
      <c r="V246" s="2094"/>
      <c r="W246" s="2094"/>
      <c r="X246" s="7" t="s">
        <v>94</v>
      </c>
      <c r="Z246" s="2380" t="s">
        <v>2617</v>
      </c>
      <c r="AA246" s="2368"/>
      <c r="AB246" s="2368"/>
      <c r="AC246" s="2368"/>
      <c r="AD246" s="2368"/>
      <c r="AE246" s="2368"/>
      <c r="BB246" s="7" t="s">
        <v>177</v>
      </c>
      <c r="BG246" s="12">
        <v>3</v>
      </c>
      <c r="BH246" s="12" t="s">
        <v>561</v>
      </c>
      <c r="BN246" s="387"/>
      <c r="BO246" s="39"/>
    </row>
    <row r="247" spans="1:72" ht="12.75">
      <c r="A247" s="29"/>
      <c r="B247" s="7"/>
      <c r="C247" s="7"/>
      <c r="D247" s="60" t="s">
        <v>95</v>
      </c>
      <c r="E247" s="7"/>
      <c r="F247" s="7"/>
      <c r="M247" s="2435" t="s">
        <v>2624</v>
      </c>
      <c r="N247" s="2435"/>
      <c r="O247" s="2435"/>
      <c r="P247" s="2435"/>
      <c r="Q247" s="2435"/>
      <c r="R247" s="2435"/>
      <c r="S247" s="2435"/>
      <c r="T247" s="2435"/>
      <c r="U247" s="2435"/>
      <c r="V247" s="2435"/>
      <c r="W247" s="2435"/>
      <c r="X247" s="2435"/>
      <c r="Y247" s="2435"/>
      <c r="Z247" s="2435"/>
      <c r="AA247" s="2435"/>
      <c r="AB247" s="2435"/>
      <c r="AC247" s="2435"/>
      <c r="AD247" s="2435"/>
      <c r="AE247" s="243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95" t="s">
        <v>559</v>
      </c>
      <c r="N248" s="2095"/>
      <c r="O248" s="2095"/>
      <c r="P248" s="2095"/>
      <c r="Q248" s="2095"/>
      <c r="R248" s="2095"/>
      <c r="S248" s="2095"/>
      <c r="T248" s="2095"/>
      <c r="U248" s="384" t="s">
        <v>958</v>
      </c>
      <c r="V248" s="325"/>
      <c r="W248" s="325"/>
      <c r="X248" s="325"/>
      <c r="Y248" s="325"/>
      <c r="Z248" s="325"/>
      <c r="AA248" s="2519" t="s">
        <v>2619</v>
      </c>
      <c r="AB248" s="2520"/>
      <c r="AC248" s="2520"/>
      <c r="AD248" s="2520"/>
      <c r="AE248" s="2520"/>
      <c r="AF248" s="2520"/>
      <c r="AG248" s="2520"/>
      <c r="AH248" s="2520"/>
      <c r="AI248" s="2520"/>
      <c r="AJ248" s="2520"/>
      <c r="AK248" s="25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516"/>
      <c r="N250" s="2516"/>
      <c r="O250" s="2516"/>
      <c r="P250" s="2516"/>
      <c r="Q250" s="2516"/>
      <c r="R250" s="2516"/>
      <c r="S250" s="2516"/>
      <c r="T250" s="2516"/>
      <c r="U250" s="2516"/>
      <c r="V250" s="2516"/>
      <c r="W250" s="2516"/>
      <c r="X250" s="2516"/>
      <c r="Y250" s="2516"/>
      <c r="Z250" s="2516"/>
      <c r="AA250" s="2516"/>
      <c r="AB250" s="2516"/>
      <c r="AC250" s="2516"/>
      <c r="AD250" s="2516"/>
      <c r="AE250" s="2516"/>
      <c r="AF250" s="2516" t="s">
        <v>312</v>
      </c>
      <c r="AG250" s="2516"/>
      <c r="AH250" s="2516"/>
      <c r="AI250" s="2516"/>
      <c r="AJ250" s="2516"/>
      <c r="AK250" s="2516"/>
      <c r="BN250" s="61"/>
    </row>
    <row r="251" spans="1:72" ht="12.75">
      <c r="A251" s="29"/>
      <c r="B251" s="7"/>
      <c r="C251" s="7"/>
      <c r="D251" s="57" t="s">
        <v>90</v>
      </c>
      <c r="E251" s="57"/>
      <c r="F251" s="57"/>
      <c r="G251" s="57"/>
      <c r="H251" s="57"/>
      <c r="I251" s="57"/>
      <c r="J251" s="57"/>
      <c r="K251" s="57"/>
      <c r="L251" s="7"/>
      <c r="M251" s="2418"/>
      <c r="N251" s="2418"/>
      <c r="O251" s="2418"/>
      <c r="P251" s="2418"/>
      <c r="Q251" s="2418"/>
      <c r="R251" s="2418"/>
      <c r="S251" s="2418"/>
      <c r="T251" s="2418"/>
      <c r="U251" s="2418"/>
      <c r="V251" s="2418"/>
      <c r="W251" s="2418"/>
      <c r="X251" s="2418"/>
      <c r="Y251" s="2418"/>
      <c r="Z251" s="2418"/>
      <c r="AA251" s="2418"/>
      <c r="AB251" s="2418"/>
      <c r="AC251" s="2418"/>
      <c r="AD251" s="2418"/>
      <c r="AE251" s="2418"/>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418"/>
      <c r="N252" s="2418"/>
      <c r="O252" s="2418"/>
      <c r="P252" s="2418"/>
      <c r="Q252" s="2418"/>
      <c r="R252" s="2418"/>
      <c r="S252" s="2418"/>
      <c r="T252" s="2418"/>
      <c r="V252" s="59" t="s">
        <v>91</v>
      </c>
      <c r="W252" s="2094"/>
      <c r="X252" s="2094"/>
      <c r="Y252" s="57" t="s">
        <v>609</v>
      </c>
      <c r="AC252" s="2418"/>
      <c r="AD252" s="2418"/>
      <c r="AE252" s="2418"/>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418"/>
      <c r="N253" s="2418"/>
      <c r="O253" s="2418"/>
      <c r="P253" s="2418"/>
      <c r="Q253" s="2418"/>
      <c r="R253" s="2418"/>
      <c r="S253" s="2418"/>
      <c r="T253" s="2418"/>
      <c r="U253" s="2418"/>
      <c r="V253" s="2418"/>
      <c r="W253" s="2418"/>
      <c r="X253" s="2418"/>
      <c r="Y253" s="2418"/>
      <c r="Z253" s="2418"/>
      <c r="AA253" s="2418"/>
      <c r="AB253" s="2418"/>
      <c r="AC253" s="2418"/>
      <c r="AD253" s="2418"/>
      <c r="AE253" s="2418"/>
      <c r="AF253" s="711"/>
      <c r="AG253" s="711"/>
      <c r="AH253" s="2517"/>
      <c r="AI253" s="2517"/>
      <c r="AJ253" s="2517"/>
      <c r="AK253" s="251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68"/>
      <c r="N254" s="2368"/>
      <c r="O254" s="2368"/>
      <c r="P254" s="2368"/>
      <c r="Q254" s="2368"/>
      <c r="R254" s="2368"/>
      <c r="S254" s="7" t="s">
        <v>211</v>
      </c>
      <c r="T254" s="7"/>
      <c r="U254" s="2094"/>
      <c r="V254" s="2094"/>
      <c r="W254" s="2094"/>
      <c r="X254" s="7" t="s">
        <v>94</v>
      </c>
      <c r="Z254" s="2368"/>
      <c r="AA254" s="2368"/>
      <c r="AB254" s="2368"/>
      <c r="AC254" s="2368"/>
      <c r="AD254" s="2368"/>
      <c r="AE254" s="2368"/>
    </row>
    <row r="255" spans="1:72" ht="12.75">
      <c r="A255" s="29"/>
      <c r="B255" s="7"/>
      <c r="C255" s="7"/>
      <c r="D255" s="60" t="s">
        <v>95</v>
      </c>
      <c r="E255" s="7"/>
      <c r="F255" s="7"/>
      <c r="M255" s="2435"/>
      <c r="N255" s="2435"/>
      <c r="O255" s="2435"/>
      <c r="P255" s="2435"/>
      <c r="Q255" s="2435"/>
      <c r="R255" s="2435"/>
      <c r="S255" s="2435"/>
      <c r="T255" s="2435"/>
      <c r="U255" s="2435"/>
      <c r="V255" s="2435"/>
      <c r="W255" s="2435"/>
      <c r="X255" s="2435"/>
      <c r="Y255" s="2435"/>
      <c r="Z255" s="2435"/>
      <c r="AA255" s="2435"/>
      <c r="AB255" s="2435"/>
      <c r="AC255" s="2435"/>
      <c r="AD255" s="2435"/>
      <c r="AE255" s="243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95" t="s">
        <v>312</v>
      </c>
      <c r="N256" s="2095"/>
      <c r="O256" s="2095"/>
      <c r="P256" s="2095"/>
      <c r="Q256" s="2095"/>
      <c r="R256" s="2095"/>
      <c r="S256" s="2095"/>
      <c r="T256" s="2095"/>
      <c r="U256" s="384" t="s">
        <v>958</v>
      </c>
      <c r="V256" s="325"/>
      <c r="W256" s="325"/>
      <c r="X256" s="325"/>
      <c r="Y256" s="325"/>
      <c r="Z256" s="325"/>
      <c r="AA256" s="2520"/>
      <c r="AB256" s="2520"/>
      <c r="AC256" s="2520"/>
      <c r="AD256" s="2520"/>
      <c r="AE256" s="2520"/>
      <c r="AF256" s="2520"/>
      <c r="AG256" s="2520"/>
      <c r="AH256" s="2520"/>
      <c r="AI256" s="2520"/>
      <c r="AJ256" s="2520"/>
      <c r="AK256" s="25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516"/>
      <c r="N258" s="2516"/>
      <c r="O258" s="2516"/>
      <c r="P258" s="2516"/>
      <c r="Q258" s="2516"/>
      <c r="R258" s="2516"/>
      <c r="S258" s="2516"/>
      <c r="T258" s="2516"/>
      <c r="U258" s="2516"/>
      <c r="V258" s="2516"/>
      <c r="W258" s="2516"/>
      <c r="X258" s="2516"/>
      <c r="Y258" s="2516"/>
      <c r="Z258" s="2516"/>
      <c r="AA258" s="2516"/>
      <c r="AB258" s="2516"/>
      <c r="AC258" s="2516"/>
      <c r="AD258" s="2516"/>
      <c r="AE258" s="2516"/>
      <c r="AF258" s="2516" t="s">
        <v>312</v>
      </c>
      <c r="AG258" s="2516"/>
      <c r="AH258" s="2516"/>
      <c r="AI258" s="2516"/>
      <c r="AJ258" s="2516"/>
      <c r="AK258" s="25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418"/>
      <c r="N259" s="2418"/>
      <c r="O259" s="2418"/>
      <c r="P259" s="2418"/>
      <c r="Q259" s="2418"/>
      <c r="R259" s="2418"/>
      <c r="S259" s="2418"/>
      <c r="T259" s="2418"/>
      <c r="U259" s="2418"/>
      <c r="V259" s="2418"/>
      <c r="W259" s="2418"/>
      <c r="X259" s="2418"/>
      <c r="Y259" s="2418"/>
      <c r="Z259" s="2418"/>
      <c r="AA259" s="2418"/>
      <c r="AB259" s="2418"/>
      <c r="AC259" s="2418"/>
      <c r="AD259" s="2418"/>
      <c r="AE259" s="2418"/>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418"/>
      <c r="N260" s="2418"/>
      <c r="O260" s="2418"/>
      <c r="P260" s="2418"/>
      <c r="Q260" s="2418"/>
      <c r="R260" s="2418"/>
      <c r="S260" s="2418"/>
      <c r="T260" s="2418"/>
      <c r="V260" s="59" t="s">
        <v>91</v>
      </c>
      <c r="W260" s="2094"/>
      <c r="X260" s="2094"/>
      <c r="Y260" s="57" t="s">
        <v>609</v>
      </c>
      <c r="AC260" s="2418"/>
      <c r="AD260" s="2418"/>
      <c r="AE260" s="2418"/>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418"/>
      <c r="N261" s="2418"/>
      <c r="O261" s="2418"/>
      <c r="P261" s="2418"/>
      <c r="Q261" s="2418"/>
      <c r="R261" s="2418"/>
      <c r="S261" s="2418"/>
      <c r="T261" s="2418"/>
      <c r="U261" s="2418"/>
      <c r="V261" s="2418"/>
      <c r="W261" s="2418"/>
      <c r="X261" s="2418"/>
      <c r="Y261" s="2418"/>
      <c r="Z261" s="2418"/>
      <c r="AA261" s="2418"/>
      <c r="AB261" s="2418"/>
      <c r="AC261" s="2418"/>
      <c r="AD261" s="2418"/>
      <c r="AE261" s="2418"/>
      <c r="AF261" s="711"/>
      <c r="AG261" s="711"/>
      <c r="AH261" s="2517"/>
      <c r="AI261" s="2517"/>
      <c r="AJ261" s="2517"/>
      <c r="AK261" s="251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68"/>
      <c r="N262" s="2368"/>
      <c r="O262" s="2368"/>
      <c r="P262" s="2368"/>
      <c r="Q262" s="2368"/>
      <c r="R262" s="2368"/>
      <c r="S262" s="7" t="s">
        <v>211</v>
      </c>
      <c r="T262" s="7"/>
      <c r="U262" s="2094"/>
      <c r="V262" s="2094"/>
      <c r="W262" s="2094"/>
      <c r="X262" s="7" t="s">
        <v>94</v>
      </c>
      <c r="Z262" s="2368"/>
      <c r="AA262" s="2368"/>
      <c r="AB262" s="2368"/>
      <c r="AC262" s="2368"/>
      <c r="AD262" s="2368"/>
      <c r="AE262" s="236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35"/>
      <c r="N263" s="2435"/>
      <c r="O263" s="2435"/>
      <c r="P263" s="2435"/>
      <c r="Q263" s="2435"/>
      <c r="R263" s="2435"/>
      <c r="S263" s="2435"/>
      <c r="T263" s="2435"/>
      <c r="U263" s="2435"/>
      <c r="V263" s="2435"/>
      <c r="W263" s="2435"/>
      <c r="X263" s="2435"/>
      <c r="Y263" s="2435"/>
      <c r="Z263" s="2435"/>
      <c r="AA263" s="2548"/>
      <c r="AB263" s="2548"/>
      <c r="AC263" s="2548"/>
      <c r="AD263" s="2548"/>
      <c r="AE263" s="25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95" t="s">
        <v>312</v>
      </c>
      <c r="N264" s="2095"/>
      <c r="O264" s="2095"/>
      <c r="P264" s="2095"/>
      <c r="Q264" s="2095"/>
      <c r="R264" s="2095"/>
      <c r="S264" s="2095"/>
      <c r="T264" s="2095"/>
      <c r="U264" s="384" t="s">
        <v>958</v>
      </c>
      <c r="V264" s="325"/>
      <c r="W264" s="325"/>
      <c r="X264" s="325"/>
      <c r="Y264" s="325"/>
      <c r="Z264" s="325"/>
      <c r="AA264" s="2546"/>
      <c r="AB264" s="2546"/>
      <c r="AC264" s="2546"/>
      <c r="AD264" s="2546"/>
      <c r="AE264" s="2546"/>
      <c r="AF264" s="2546"/>
      <c r="AG264" s="2546"/>
      <c r="AH264" s="2546"/>
      <c r="AI264" s="2546"/>
      <c r="AJ264" s="2546"/>
      <c r="AK264" s="254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547" t="str">
        <f>BO245</f>
        <v>Nonprofit</v>
      </c>
      <c r="U266" s="2547"/>
      <c r="V266" s="2547"/>
      <c r="W266" s="2547"/>
      <c r="X266" s="2547"/>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418" t="s">
        <v>285</v>
      </c>
      <c r="E269" s="2418"/>
      <c r="F269" s="2418"/>
      <c r="G269" s="2418"/>
      <c r="H269" s="2418"/>
      <c r="J269" s="12" t="s">
        <v>284</v>
      </c>
      <c r="X269" s="2390"/>
      <c r="Y269" s="2390"/>
      <c r="Z269" s="2390"/>
      <c r="AA269" s="2390"/>
      <c r="AB269" s="2390"/>
      <c r="AC269" s="2390"/>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521" t="s">
        <v>2619</v>
      </c>
      <c r="M273" s="2516"/>
      <c r="N273" s="2516"/>
      <c r="O273" s="2516"/>
      <c r="P273" s="2516"/>
      <c r="Q273" s="2516"/>
      <c r="R273" s="2516"/>
      <c r="S273" s="2516"/>
      <c r="T273" s="2516"/>
      <c r="U273" s="2516"/>
      <c r="V273" s="2516"/>
      <c r="W273" s="2516"/>
      <c r="X273" s="2516"/>
      <c r="Y273" s="2516"/>
      <c r="Z273" s="2516"/>
      <c r="AA273" s="2516"/>
      <c r="AB273" s="2516"/>
      <c r="AC273" s="2516"/>
      <c r="AD273" s="2516"/>
      <c r="AE273" s="2516"/>
      <c r="AF273" s="2516"/>
      <c r="AG273" s="2516"/>
      <c r="AH273" s="2516"/>
      <c r="AI273" s="2516"/>
      <c r="AJ273" s="25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66" t="s">
        <v>2613</v>
      </c>
      <c r="M274" s="2418"/>
      <c r="N274" s="2418"/>
      <c r="O274" s="2418"/>
      <c r="P274" s="2418"/>
      <c r="Q274" s="2418"/>
      <c r="R274" s="2418"/>
      <c r="S274" s="2418"/>
      <c r="T274" s="2418"/>
      <c r="U274" s="2418"/>
      <c r="V274" s="2418"/>
      <c r="W274" s="2418"/>
      <c r="X274" s="2418"/>
      <c r="Y274" s="2418"/>
      <c r="Z274" s="2418"/>
      <c r="AA274" s="2418"/>
      <c r="AB274" s="2418"/>
      <c r="AC274" s="2418"/>
      <c r="AD274" s="2418"/>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66" t="s">
        <v>519</v>
      </c>
      <c r="M275" s="2418"/>
      <c r="N275" s="2418"/>
      <c r="O275" s="2418"/>
      <c r="P275" s="2418"/>
      <c r="Q275" s="2418"/>
      <c r="R275" s="2418"/>
      <c r="S275" s="2418"/>
      <c r="U275" s="59" t="s">
        <v>91</v>
      </c>
      <c r="V275" s="2153" t="s">
        <v>2614</v>
      </c>
      <c r="W275" s="2094"/>
      <c r="X275" s="57" t="s">
        <v>609</v>
      </c>
      <c r="AB275" s="2418">
        <v>90010</v>
      </c>
      <c r="AC275" s="2418"/>
      <c r="AD275" s="24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66" t="s">
        <v>2615</v>
      </c>
      <c r="M276" s="2418"/>
      <c r="N276" s="2418"/>
      <c r="O276" s="2418"/>
      <c r="P276" s="2418"/>
      <c r="Q276" s="2418"/>
      <c r="R276" s="2418"/>
      <c r="S276" s="2418"/>
      <c r="T276" s="2418"/>
      <c r="U276" s="2418"/>
      <c r="V276" s="2418"/>
      <c r="W276" s="2418"/>
      <c r="X276" s="2418"/>
      <c r="Y276" s="2418"/>
      <c r="Z276" s="2418"/>
      <c r="AA276" s="2418"/>
      <c r="AB276" s="2418"/>
      <c r="AC276" s="2418"/>
      <c r="AD276" s="241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80" t="s">
        <v>2616</v>
      </c>
      <c r="M277" s="2368"/>
      <c r="N277" s="2368"/>
      <c r="O277" s="2368"/>
      <c r="P277" s="2368"/>
      <c r="Q277" s="2368"/>
      <c r="R277" s="7" t="s">
        <v>211</v>
      </c>
      <c r="S277" s="7"/>
      <c r="T277" s="2094">
        <v>236</v>
      </c>
      <c r="U277" s="2094"/>
      <c r="V277" s="2094"/>
      <c r="W277" s="7" t="s">
        <v>94</v>
      </c>
      <c r="Y277" s="2380" t="s">
        <v>2617</v>
      </c>
      <c r="Z277" s="2368"/>
      <c r="AA277" s="2368"/>
      <c r="AB277" s="2368"/>
      <c r="AC277" s="2368"/>
      <c r="AD277" s="2368"/>
      <c r="BN277" s="61"/>
    </row>
    <row r="278" spans="1:66" ht="12.75">
      <c r="D278" s="60" t="s">
        <v>95</v>
      </c>
      <c r="E278" s="7"/>
      <c r="F278" s="7"/>
      <c r="L278" s="2435" t="s">
        <v>2618</v>
      </c>
      <c r="M278" s="2435"/>
      <c r="N278" s="2435"/>
      <c r="O278" s="2435"/>
      <c r="P278" s="2435"/>
      <c r="Q278" s="2435"/>
      <c r="R278" s="2435"/>
      <c r="S278" s="2435"/>
      <c r="T278" s="2435"/>
      <c r="U278" s="2435"/>
      <c r="V278" s="2435"/>
      <c r="W278" s="2435"/>
      <c r="X278" s="2435"/>
      <c r="Y278" s="2435"/>
      <c r="Z278" s="2435"/>
      <c r="AA278" s="2435"/>
      <c r="AB278" s="2435"/>
      <c r="AC278" s="2435"/>
      <c r="AD278" s="2435"/>
      <c r="AF278" s="7"/>
      <c r="AG278" s="7"/>
      <c r="AH278" s="7"/>
      <c r="AI278" s="7"/>
      <c r="AJ278" s="7"/>
      <c r="BN278" s="61"/>
    </row>
    <row r="279" spans="1:66" ht="12.75">
      <c r="D279" s="58" t="s">
        <v>649</v>
      </c>
      <c r="E279" s="58"/>
      <c r="F279" s="58"/>
      <c r="G279" s="58"/>
      <c r="H279" s="58"/>
      <c r="I279" s="58"/>
      <c r="L279" s="2153" t="s">
        <v>2625</v>
      </c>
      <c r="M279" s="2153"/>
      <c r="N279" s="2153"/>
      <c r="O279" s="2153"/>
      <c r="P279" s="2153"/>
      <c r="Q279" s="2153"/>
      <c r="R279" s="2153"/>
      <c r="S279" s="2153"/>
      <c r="T279" s="2153"/>
      <c r="U279" s="2153"/>
      <c r="V279" s="2153"/>
      <c r="W279" s="2153"/>
      <c r="X279" s="2153"/>
      <c r="Y279" s="2153"/>
      <c r="Z279" s="2153"/>
      <c r="AA279" s="2153"/>
      <c r="AB279" s="2153"/>
      <c r="AC279" s="2153"/>
      <c r="AD279" s="2153"/>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57" t="s">
        <v>566</v>
      </c>
      <c r="B281" s="2357"/>
      <c r="C281" s="2357"/>
      <c r="D281" s="2357"/>
      <c r="E281" s="2357"/>
      <c r="F281" s="2357"/>
      <c r="G281" s="2357"/>
      <c r="H281" s="2357"/>
      <c r="I281" s="2357"/>
      <c r="J281" s="2357"/>
      <c r="K281" s="2357"/>
      <c r="L281" s="2357"/>
      <c r="M281" s="2357"/>
      <c r="N281" s="2357"/>
      <c r="O281" s="2357"/>
      <c r="P281" s="2357"/>
      <c r="Q281" s="2357"/>
      <c r="R281" s="2357"/>
      <c r="S281" s="2357"/>
      <c r="T281" s="2357"/>
      <c r="U281" s="2357"/>
      <c r="V281" s="2357"/>
      <c r="W281" s="2357"/>
      <c r="X281" s="2357"/>
      <c r="Y281" s="2357"/>
      <c r="Z281" s="2357"/>
      <c r="AA281" s="2357"/>
      <c r="AB281" s="2357"/>
      <c r="AC281" s="2357"/>
      <c r="AD281" s="2357"/>
      <c r="AE281" s="2357"/>
      <c r="AF281" s="2357"/>
      <c r="AG281" s="2357"/>
      <c r="AH281" s="2357"/>
      <c r="AI281" s="2357"/>
      <c r="AJ281" s="2357"/>
      <c r="AK281" s="2357"/>
      <c r="AL281" s="2357"/>
      <c r="AM281" s="144"/>
      <c r="AN281" s="144"/>
      <c r="AO281" s="144"/>
      <c r="AP281" s="144"/>
      <c r="AQ281" s="144"/>
      <c r="AR281" s="144"/>
      <c r="AS281" s="144"/>
      <c r="AT281" s="144"/>
      <c r="AU281" s="144"/>
      <c r="AV281" s="144"/>
      <c r="AW281" s="144"/>
      <c r="AX281" s="144"/>
      <c r="AY281" s="144"/>
      <c r="BN281" s="61"/>
    </row>
    <row r="282" spans="1:66" ht="13.5" thickBot="1">
      <c r="A282" s="2358"/>
      <c r="B282" s="2358"/>
      <c r="C282" s="2358"/>
      <c r="D282" s="2358"/>
      <c r="E282" s="2358"/>
      <c r="F282" s="2358"/>
      <c r="G282" s="2358"/>
      <c r="H282" s="2358"/>
      <c r="I282" s="2358"/>
      <c r="J282" s="2358"/>
      <c r="K282" s="2358"/>
      <c r="L282" s="2358"/>
      <c r="M282" s="2358"/>
      <c r="N282" s="2358"/>
      <c r="O282" s="2358"/>
      <c r="P282" s="2358"/>
      <c r="Q282" s="2358"/>
      <c r="R282" s="2358"/>
      <c r="S282" s="2358"/>
      <c r="T282" s="2358"/>
      <c r="U282" s="2358"/>
      <c r="V282" s="2358"/>
      <c r="W282" s="2358"/>
      <c r="X282" s="2358"/>
      <c r="Y282" s="2358"/>
      <c r="Z282" s="2358"/>
      <c r="AA282" s="2358"/>
      <c r="AB282" s="2358"/>
      <c r="AC282" s="2358"/>
      <c r="AD282" s="2358"/>
      <c r="AE282" s="2358"/>
      <c r="AF282" s="2358"/>
      <c r="AG282" s="2358"/>
      <c r="AH282" s="2358"/>
      <c r="AI282" s="2358"/>
      <c r="AJ282" s="2358"/>
      <c r="AK282" s="2358"/>
      <c r="AL282" s="235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1893" t="s">
        <v>2619</v>
      </c>
      <c r="I286" s="1893"/>
      <c r="J286" s="1893"/>
      <c r="K286" s="1893"/>
      <c r="L286" s="1893"/>
      <c r="M286" s="1893"/>
      <c r="N286" s="1893"/>
      <c r="O286" s="1893"/>
      <c r="P286" s="1893"/>
      <c r="Q286" s="1893"/>
      <c r="R286" s="1893"/>
      <c r="T286" s="58" t="s">
        <v>592</v>
      </c>
      <c r="V286" s="58"/>
      <c r="W286" s="58"/>
      <c r="X286" s="58"/>
      <c r="Y286" s="58"/>
      <c r="AA286" s="2122" t="s">
        <v>2627</v>
      </c>
      <c r="AB286" s="2122"/>
      <c r="AC286" s="2122"/>
      <c r="AD286" s="2122"/>
      <c r="AE286" s="2122"/>
      <c r="AF286" s="2122"/>
      <c r="AG286" s="2122"/>
      <c r="AH286" s="2122"/>
      <c r="AI286" s="2122"/>
      <c r="AJ286" s="2122"/>
      <c r="AK286" s="2122"/>
      <c r="BN286" s="61"/>
    </row>
    <row r="287" spans="1:66" ht="12.75">
      <c r="B287" s="58" t="s">
        <v>496</v>
      </c>
      <c r="C287" s="58"/>
      <c r="D287" s="58"/>
      <c r="E287" s="58"/>
      <c r="F287" s="58"/>
      <c r="H287" s="1892" t="s">
        <v>2626</v>
      </c>
      <c r="I287" s="1892"/>
      <c r="J287" s="1892"/>
      <c r="K287" s="1892"/>
      <c r="L287" s="1892"/>
      <c r="M287" s="1892"/>
      <c r="N287" s="1892"/>
      <c r="O287" s="1892"/>
      <c r="P287" s="1892"/>
      <c r="Q287" s="1892"/>
      <c r="R287" s="1892"/>
      <c r="T287" s="58" t="s">
        <v>496</v>
      </c>
      <c r="V287" s="58"/>
      <c r="W287" s="58"/>
      <c r="X287" s="58"/>
      <c r="Y287" s="58"/>
      <c r="AA287" s="2095" t="s">
        <v>2628</v>
      </c>
      <c r="AB287" s="2095"/>
      <c r="AC287" s="2095"/>
      <c r="AD287" s="2095"/>
      <c r="AE287" s="2095"/>
      <c r="AF287" s="2095"/>
      <c r="AG287" s="2095"/>
      <c r="AH287" s="2095"/>
      <c r="AI287" s="2095"/>
      <c r="AJ287" s="2095"/>
      <c r="AK287" s="2095"/>
      <c r="BN287" s="61"/>
    </row>
    <row r="288" spans="1:66" ht="12.75">
      <c r="B288" s="58" t="s">
        <v>497</v>
      </c>
      <c r="C288" s="58"/>
      <c r="D288" s="58"/>
      <c r="E288" s="58"/>
      <c r="F288" s="58"/>
      <c r="H288" s="2095" t="s">
        <v>2630</v>
      </c>
      <c r="I288" s="2095"/>
      <c r="J288" s="2095"/>
      <c r="K288" s="2095"/>
      <c r="L288" s="2095"/>
      <c r="M288" s="2095"/>
      <c r="N288" s="2095"/>
      <c r="O288" s="2095"/>
      <c r="P288" s="2095"/>
      <c r="Q288" s="2095"/>
      <c r="R288" s="2095"/>
      <c r="T288" s="58" t="s">
        <v>79</v>
      </c>
      <c r="V288" s="58"/>
      <c r="W288" s="58"/>
      <c r="X288" s="58"/>
      <c r="Y288" s="58"/>
      <c r="AA288" s="2095" t="s">
        <v>2629</v>
      </c>
      <c r="AB288" s="2095"/>
      <c r="AC288" s="2095"/>
      <c r="AD288" s="2095"/>
      <c r="AE288" s="2095"/>
      <c r="AF288" s="2095"/>
      <c r="AG288" s="2095"/>
      <c r="AH288" s="2095"/>
      <c r="AI288" s="2095"/>
      <c r="AJ288" s="2095"/>
      <c r="AK288" s="2095"/>
      <c r="BN288" s="61"/>
    </row>
    <row r="289" spans="2:66" ht="12.75" customHeight="1">
      <c r="B289" s="58" t="s">
        <v>92</v>
      </c>
      <c r="C289" s="58"/>
      <c r="D289" s="58"/>
      <c r="E289" s="58"/>
      <c r="F289" s="58"/>
      <c r="H289" s="2095" t="s">
        <v>2615</v>
      </c>
      <c r="I289" s="2095"/>
      <c r="J289" s="2095"/>
      <c r="K289" s="2095"/>
      <c r="L289" s="2095"/>
      <c r="M289" s="2095"/>
      <c r="N289" s="2095"/>
      <c r="O289" s="2095"/>
      <c r="P289" s="2095"/>
      <c r="Q289" s="2095"/>
      <c r="R289" s="2095"/>
      <c r="T289" s="58" t="s">
        <v>92</v>
      </c>
      <c r="V289" s="58"/>
      <c r="W289" s="58"/>
      <c r="X289" s="58"/>
      <c r="Y289" s="58"/>
      <c r="AA289" s="2095" t="s">
        <v>2632</v>
      </c>
      <c r="AB289" s="2095"/>
      <c r="AC289" s="2095"/>
      <c r="AD289" s="2095"/>
      <c r="AE289" s="2095"/>
      <c r="AF289" s="2095"/>
      <c r="AG289" s="2095"/>
      <c r="AH289" s="2095"/>
      <c r="AI289" s="2095"/>
      <c r="AJ289" s="2095"/>
      <c r="AK289" s="2095"/>
      <c r="BN289" s="61"/>
    </row>
    <row r="290" spans="2:66" ht="12.75" customHeight="1">
      <c r="B290" s="58" t="s">
        <v>93</v>
      </c>
      <c r="C290" s="58"/>
      <c r="D290" s="58"/>
      <c r="E290" s="58"/>
      <c r="F290" s="58"/>
      <c r="G290" s="58"/>
      <c r="H290" s="2420" t="s">
        <v>2616</v>
      </c>
      <c r="I290" s="2420"/>
      <c r="J290" s="2420"/>
      <c r="K290" s="2420"/>
      <c r="L290" s="2420"/>
      <c r="M290" s="2420"/>
      <c r="N290" s="7" t="s">
        <v>211</v>
      </c>
      <c r="O290" s="7"/>
      <c r="P290" s="2418">
        <v>236</v>
      </c>
      <c r="Q290" s="2418"/>
      <c r="R290" s="2418"/>
      <c r="S290" s="58"/>
      <c r="T290" s="58" t="s">
        <v>93</v>
      </c>
      <c r="V290" s="58"/>
      <c r="W290" s="58"/>
      <c r="X290" s="58"/>
      <c r="Y290" s="58"/>
      <c r="AA290" s="2420" t="s">
        <v>2633</v>
      </c>
      <c r="AB290" s="2420"/>
      <c r="AC290" s="2420"/>
      <c r="AD290" s="2420"/>
      <c r="AE290" s="2420"/>
      <c r="AF290" s="2420"/>
      <c r="AG290" s="7" t="s">
        <v>211</v>
      </c>
      <c r="AH290" s="7"/>
      <c r="AI290" s="2418"/>
      <c r="AJ290" s="2418"/>
      <c r="AK290" s="2418"/>
      <c r="BN290" s="61"/>
    </row>
    <row r="291" spans="2:66" ht="12.75" customHeight="1">
      <c r="B291" s="58" t="s">
        <v>94</v>
      </c>
      <c r="C291" s="58"/>
      <c r="D291" s="58"/>
      <c r="E291" s="58"/>
      <c r="F291" s="58"/>
      <c r="G291" s="58"/>
      <c r="H291" s="2380" t="s">
        <v>2617</v>
      </c>
      <c r="I291" s="2368"/>
      <c r="J291" s="2368"/>
      <c r="K291" s="2368"/>
      <c r="L291" s="2368"/>
      <c r="M291" s="2368"/>
      <c r="N291" s="60"/>
      <c r="O291" s="60"/>
      <c r="P291" s="62"/>
      <c r="Q291" s="62"/>
      <c r="R291" s="62"/>
      <c r="S291" s="58"/>
      <c r="T291" s="58" t="s">
        <v>94</v>
      </c>
      <c r="V291" s="58"/>
      <c r="W291" s="58"/>
      <c r="X291" s="58"/>
      <c r="Y291" s="58"/>
      <c r="AA291" s="2380" t="s">
        <v>2635</v>
      </c>
      <c r="AB291" s="2368"/>
      <c r="AC291" s="2368"/>
      <c r="AD291" s="2368"/>
      <c r="AE291" s="2368"/>
      <c r="AF291" s="2368"/>
      <c r="AG291" s="60"/>
      <c r="AH291" s="60"/>
      <c r="AI291" s="62"/>
      <c r="AJ291" s="62"/>
      <c r="AK291" s="62"/>
      <c r="BN291" s="61"/>
    </row>
    <row r="292" spans="2:66" ht="12.75" customHeight="1">
      <c r="B292" s="58" t="s">
        <v>80</v>
      </c>
      <c r="C292" s="58"/>
      <c r="D292" s="58"/>
      <c r="E292" s="58"/>
      <c r="F292" s="58"/>
      <c r="G292" s="58"/>
      <c r="H292" s="2095" t="s">
        <v>2618</v>
      </c>
      <c r="I292" s="2095"/>
      <c r="J292" s="2095"/>
      <c r="K292" s="2095"/>
      <c r="L292" s="2095"/>
      <c r="M292" s="2095"/>
      <c r="N292" s="2122"/>
      <c r="O292" s="2122"/>
      <c r="P292" s="2122"/>
      <c r="Q292" s="2122"/>
      <c r="R292" s="2122"/>
      <c r="S292" s="58"/>
      <c r="T292" s="58" t="s">
        <v>80</v>
      </c>
      <c r="V292" s="58"/>
      <c r="W292" s="58"/>
      <c r="X292" s="58"/>
      <c r="Y292" s="58"/>
      <c r="AA292" s="2095" t="s">
        <v>2634</v>
      </c>
      <c r="AB292" s="2095"/>
      <c r="AC292" s="2095"/>
      <c r="AD292" s="2095"/>
      <c r="AE292" s="2095"/>
      <c r="AF292" s="2095"/>
      <c r="AG292" s="2122"/>
      <c r="AH292" s="2122"/>
      <c r="AI292" s="2122"/>
      <c r="AJ292" s="2122"/>
      <c r="AK292" s="212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122" t="s">
        <v>2677</v>
      </c>
      <c r="I294" s="2122"/>
      <c r="J294" s="2122"/>
      <c r="K294" s="2122"/>
      <c r="L294" s="2122"/>
      <c r="M294" s="2122"/>
      <c r="N294" s="2122"/>
      <c r="O294" s="2122"/>
      <c r="P294" s="2122"/>
      <c r="Q294" s="2122"/>
      <c r="R294" s="2122"/>
      <c r="T294" s="58" t="s">
        <v>370</v>
      </c>
      <c r="V294" s="58"/>
      <c r="W294" s="58"/>
      <c r="X294" s="58"/>
      <c r="Y294" s="58"/>
      <c r="AA294" s="2122" t="s">
        <v>2631</v>
      </c>
      <c r="AB294" s="2122"/>
      <c r="AC294" s="2122"/>
      <c r="AD294" s="2122"/>
      <c r="AE294" s="2122"/>
      <c r="AF294" s="2122"/>
      <c r="AG294" s="2122"/>
      <c r="AH294" s="2122"/>
      <c r="AI294" s="2122"/>
      <c r="AJ294" s="2122"/>
      <c r="AK294" s="2122"/>
      <c r="BN294" s="61"/>
    </row>
    <row r="295" spans="2:66" ht="12.75">
      <c r="B295" s="58" t="s">
        <v>496</v>
      </c>
      <c r="C295" s="58"/>
      <c r="D295" s="58"/>
      <c r="E295" s="58"/>
      <c r="F295" s="58"/>
      <c r="H295" s="2095" t="s">
        <v>2636</v>
      </c>
      <c r="I295" s="2095"/>
      <c r="J295" s="2095"/>
      <c r="K295" s="2095"/>
      <c r="L295" s="2095"/>
      <c r="M295" s="2095"/>
      <c r="N295" s="2095"/>
      <c r="O295" s="2095"/>
      <c r="P295" s="2095"/>
      <c r="Q295" s="2095"/>
      <c r="R295" s="2095"/>
      <c r="T295" s="58" t="s">
        <v>496</v>
      </c>
      <c r="V295" s="58"/>
      <c r="W295" s="58"/>
      <c r="X295" s="58"/>
      <c r="Y295" s="58"/>
      <c r="AA295" s="2095"/>
      <c r="AB295" s="2095"/>
      <c r="AC295" s="2095"/>
      <c r="AD295" s="2095"/>
      <c r="AE295" s="2095"/>
      <c r="AF295" s="2095"/>
      <c r="AG295" s="2095"/>
      <c r="AH295" s="2095"/>
      <c r="AI295" s="2095"/>
      <c r="AJ295" s="2095"/>
      <c r="AK295" s="2095"/>
      <c r="BN295" s="61"/>
    </row>
    <row r="296" spans="2:66" ht="12.75">
      <c r="B296" s="58" t="s">
        <v>497</v>
      </c>
      <c r="C296" s="58"/>
      <c r="D296" s="58"/>
      <c r="E296" s="58"/>
      <c r="F296" s="58"/>
      <c r="H296" s="2095" t="s">
        <v>2637</v>
      </c>
      <c r="I296" s="2095"/>
      <c r="J296" s="2095"/>
      <c r="K296" s="2095"/>
      <c r="L296" s="2095"/>
      <c r="M296" s="2095"/>
      <c r="N296" s="2095"/>
      <c r="O296" s="2095"/>
      <c r="P296" s="2095"/>
      <c r="Q296" s="2095"/>
      <c r="R296" s="2095"/>
      <c r="T296" s="58" t="s">
        <v>79</v>
      </c>
      <c r="V296" s="58"/>
      <c r="W296" s="58"/>
      <c r="X296" s="58"/>
      <c r="Y296" s="58"/>
      <c r="AA296" s="2095"/>
      <c r="AB296" s="2095"/>
      <c r="AC296" s="2095"/>
      <c r="AD296" s="2095"/>
      <c r="AE296" s="2095"/>
      <c r="AF296" s="2095"/>
      <c r="AG296" s="2095"/>
      <c r="AH296" s="2095"/>
      <c r="AI296" s="2095"/>
      <c r="AJ296" s="2095"/>
      <c r="AK296" s="2095"/>
      <c r="BN296" s="61"/>
    </row>
    <row r="297" spans="2:66" ht="12.75">
      <c r="B297" s="58" t="s">
        <v>92</v>
      </c>
      <c r="C297" s="58"/>
      <c r="D297" s="58"/>
      <c r="E297" s="58"/>
      <c r="F297" s="58"/>
      <c r="H297" s="2095" t="s">
        <v>2638</v>
      </c>
      <c r="I297" s="2095"/>
      <c r="J297" s="2095"/>
      <c r="K297" s="2095"/>
      <c r="L297" s="2095"/>
      <c r="M297" s="2095"/>
      <c r="N297" s="2095"/>
      <c r="O297" s="2095"/>
      <c r="P297" s="2095"/>
      <c r="Q297" s="2095"/>
      <c r="R297" s="2095"/>
      <c r="T297" s="58" t="s">
        <v>92</v>
      </c>
      <c r="V297" s="58"/>
      <c r="W297" s="58"/>
      <c r="X297" s="58"/>
      <c r="Y297" s="58"/>
      <c r="AA297" s="2095"/>
      <c r="AB297" s="2095"/>
      <c r="AC297" s="2095"/>
      <c r="AD297" s="2095"/>
      <c r="AE297" s="2095"/>
      <c r="AF297" s="2095"/>
      <c r="AG297" s="2095"/>
      <c r="AH297" s="2095"/>
      <c r="AI297" s="2095"/>
      <c r="AJ297" s="2095"/>
      <c r="AK297" s="2095"/>
      <c r="BN297" s="61"/>
    </row>
    <row r="298" spans="2:66" ht="12.75">
      <c r="B298" s="58" t="s">
        <v>93</v>
      </c>
      <c r="C298" s="58"/>
      <c r="D298" s="58"/>
      <c r="E298" s="58"/>
      <c r="F298" s="58"/>
      <c r="G298" s="58"/>
      <c r="H298" s="2420" t="s">
        <v>2639</v>
      </c>
      <c r="I298" s="2420"/>
      <c r="J298" s="2420"/>
      <c r="K298" s="2420"/>
      <c r="L298" s="2420"/>
      <c r="M298" s="2420"/>
      <c r="N298" s="7" t="s">
        <v>211</v>
      </c>
      <c r="O298" s="7"/>
      <c r="P298" s="2418"/>
      <c r="Q298" s="2418"/>
      <c r="R298" s="2418"/>
      <c r="S298" s="58"/>
      <c r="T298" s="58" t="s">
        <v>93</v>
      </c>
      <c r="V298" s="58"/>
      <c r="W298" s="58"/>
      <c r="X298" s="58"/>
      <c r="Y298" s="58"/>
      <c r="AA298" s="2420"/>
      <c r="AB298" s="2420"/>
      <c r="AC298" s="2420"/>
      <c r="AD298" s="2420"/>
      <c r="AE298" s="2420"/>
      <c r="AF298" s="2420"/>
      <c r="AG298" s="7" t="s">
        <v>211</v>
      </c>
      <c r="AH298" s="7"/>
      <c r="AI298" s="2418"/>
      <c r="AJ298" s="2418"/>
      <c r="AK298" s="2418"/>
      <c r="BN298" s="61"/>
    </row>
    <row r="299" spans="2:66" ht="12.75" customHeight="1">
      <c r="B299" s="58" t="s">
        <v>94</v>
      </c>
      <c r="C299" s="58"/>
      <c r="D299" s="58"/>
      <c r="E299" s="58"/>
      <c r="F299" s="58"/>
      <c r="G299" s="58"/>
      <c r="H299" s="2380" t="s">
        <v>2640</v>
      </c>
      <c r="I299" s="2368"/>
      <c r="J299" s="2368"/>
      <c r="K299" s="2368"/>
      <c r="L299" s="2368"/>
      <c r="M299" s="2368"/>
      <c r="N299" s="60"/>
      <c r="O299" s="60"/>
      <c r="P299" s="62"/>
      <c r="Q299" s="62"/>
      <c r="R299" s="62"/>
      <c r="S299" s="58"/>
      <c r="T299" s="58" t="s">
        <v>94</v>
      </c>
      <c r="V299" s="58"/>
      <c r="W299" s="58"/>
      <c r="X299" s="58"/>
      <c r="Y299" s="58"/>
      <c r="AA299" s="2368"/>
      <c r="AB299" s="2368"/>
      <c r="AC299" s="2368"/>
      <c r="AD299" s="2368"/>
      <c r="AE299" s="2368"/>
      <c r="AF299" s="2368"/>
      <c r="AG299" s="60"/>
      <c r="AH299" s="60"/>
      <c r="AI299" s="62"/>
      <c r="AJ299" s="62"/>
      <c r="AK299" s="62"/>
      <c r="BN299" s="61"/>
    </row>
    <row r="300" spans="2:66" ht="12.75" customHeight="1">
      <c r="B300" s="58" t="s">
        <v>80</v>
      </c>
      <c r="C300" s="58"/>
      <c r="D300" s="58"/>
      <c r="E300" s="58"/>
      <c r="F300" s="58"/>
      <c r="G300" s="58"/>
      <c r="H300" s="2095" t="s">
        <v>2641</v>
      </c>
      <c r="I300" s="2095"/>
      <c r="J300" s="2095"/>
      <c r="K300" s="2095"/>
      <c r="L300" s="2095"/>
      <c r="M300" s="2095"/>
      <c r="N300" s="2122"/>
      <c r="O300" s="2122"/>
      <c r="P300" s="2122"/>
      <c r="Q300" s="2122"/>
      <c r="R300" s="2122"/>
      <c r="S300" s="58"/>
      <c r="T300" s="58" t="s">
        <v>80</v>
      </c>
      <c r="V300" s="58"/>
      <c r="W300" s="58"/>
      <c r="X300" s="58"/>
      <c r="Y300" s="58"/>
      <c r="AA300" s="2095"/>
      <c r="AB300" s="2095"/>
      <c r="AC300" s="2095"/>
      <c r="AD300" s="2095"/>
      <c r="AE300" s="2095"/>
      <c r="AF300" s="2095"/>
      <c r="AG300" s="2122"/>
      <c r="AH300" s="2122"/>
      <c r="AI300" s="2122"/>
      <c r="AJ300" s="2122"/>
      <c r="AK300" s="2122"/>
      <c r="BN300" s="61"/>
    </row>
    <row r="301" spans="2:66" ht="12.75" customHeight="1">
      <c r="BN301" s="61"/>
    </row>
    <row r="302" spans="2:66" ht="12.75" customHeight="1">
      <c r="B302" s="58" t="s">
        <v>81</v>
      </c>
      <c r="C302" s="58"/>
      <c r="D302" s="58"/>
      <c r="E302" s="58"/>
      <c r="F302" s="58"/>
      <c r="H302" s="2122" t="str">
        <f t="shared" ref="H302:H308" si="0">H294</f>
        <v>Gubb &amp; Barshay LLP</v>
      </c>
      <c r="I302" s="2122"/>
      <c r="J302" s="2122"/>
      <c r="K302" s="2122"/>
      <c r="L302" s="2122"/>
      <c r="M302" s="2122"/>
      <c r="N302" s="2122"/>
      <c r="O302" s="2122"/>
      <c r="P302" s="2122"/>
      <c r="Q302" s="2122"/>
      <c r="R302" s="2122"/>
      <c r="T302" s="7" t="s">
        <v>926</v>
      </c>
      <c r="V302" s="58"/>
      <c r="W302" s="58"/>
      <c r="X302" s="58"/>
      <c r="Y302" s="58"/>
      <c r="AA302" s="2122" t="s">
        <v>2642</v>
      </c>
      <c r="AB302" s="2122"/>
      <c r="AC302" s="2122"/>
      <c r="AD302" s="2122"/>
      <c r="AE302" s="2122"/>
      <c r="AF302" s="2122"/>
      <c r="AG302" s="2122"/>
      <c r="AH302" s="2122"/>
      <c r="AI302" s="2122"/>
      <c r="AJ302" s="2122"/>
      <c r="AK302" s="2122"/>
      <c r="BN302" s="61"/>
    </row>
    <row r="303" spans="2:66" ht="12.75">
      <c r="B303" s="58" t="s">
        <v>496</v>
      </c>
      <c r="C303" s="58"/>
      <c r="D303" s="58"/>
      <c r="E303" s="58"/>
      <c r="F303" s="58"/>
      <c r="H303" s="2095" t="str">
        <f t="shared" si="0"/>
        <v>505 14th Street, Suite 450</v>
      </c>
      <c r="I303" s="2095"/>
      <c r="J303" s="2095"/>
      <c r="K303" s="2095"/>
      <c r="L303" s="2095"/>
      <c r="M303" s="2095"/>
      <c r="N303" s="2095"/>
      <c r="O303" s="2095"/>
      <c r="P303" s="2095"/>
      <c r="Q303" s="2095"/>
      <c r="R303" s="2095"/>
      <c r="T303" s="58" t="s">
        <v>496</v>
      </c>
      <c r="V303" s="58"/>
      <c r="W303" s="58"/>
      <c r="X303" s="58"/>
      <c r="Y303" s="58"/>
      <c r="AA303" s="2095" t="s">
        <v>2643</v>
      </c>
      <c r="AB303" s="2095"/>
      <c r="AC303" s="2095"/>
      <c r="AD303" s="2095"/>
      <c r="AE303" s="2095"/>
      <c r="AF303" s="2095"/>
      <c r="AG303" s="2095"/>
      <c r="AH303" s="2095"/>
      <c r="AI303" s="2095"/>
      <c r="AJ303" s="2095"/>
      <c r="AK303" s="2095"/>
      <c r="BN303" s="61"/>
    </row>
    <row r="304" spans="2:66" ht="12.75">
      <c r="B304" s="58" t="s">
        <v>497</v>
      </c>
      <c r="C304" s="58"/>
      <c r="D304" s="58"/>
      <c r="E304" s="58"/>
      <c r="F304" s="58"/>
      <c r="H304" s="2095" t="str">
        <f t="shared" si="0"/>
        <v>Oakland, CA 94612</v>
      </c>
      <c r="I304" s="2095"/>
      <c r="J304" s="2095"/>
      <c r="K304" s="2095"/>
      <c r="L304" s="2095"/>
      <c r="M304" s="2095"/>
      <c r="N304" s="2095"/>
      <c r="O304" s="2095"/>
      <c r="P304" s="2095"/>
      <c r="Q304" s="2095"/>
      <c r="R304" s="2095"/>
      <c r="T304" s="58" t="s">
        <v>79</v>
      </c>
      <c r="V304" s="58"/>
      <c r="W304" s="58"/>
      <c r="X304" s="58"/>
      <c r="Y304" s="58"/>
      <c r="AA304" s="2095" t="s">
        <v>2644</v>
      </c>
      <c r="AB304" s="2095"/>
      <c r="AC304" s="2095"/>
      <c r="AD304" s="2095"/>
      <c r="AE304" s="2095"/>
      <c r="AF304" s="2095"/>
      <c r="AG304" s="2095"/>
      <c r="AH304" s="2095"/>
      <c r="AI304" s="2095"/>
      <c r="AJ304" s="2095"/>
      <c r="AK304" s="2095"/>
      <c r="BN304" s="61"/>
    </row>
    <row r="305" spans="2:66" ht="12.75">
      <c r="B305" s="58" t="s">
        <v>92</v>
      </c>
      <c r="C305" s="58"/>
      <c r="D305" s="58"/>
      <c r="E305" s="58"/>
      <c r="F305" s="58"/>
      <c r="H305" s="2095" t="str">
        <f t="shared" si="0"/>
        <v>Sarah Perez</v>
      </c>
      <c r="I305" s="2095"/>
      <c r="J305" s="2095"/>
      <c r="K305" s="2095"/>
      <c r="L305" s="2095"/>
      <c r="M305" s="2095"/>
      <c r="N305" s="2095"/>
      <c r="O305" s="2095"/>
      <c r="P305" s="2095"/>
      <c r="Q305" s="2095"/>
      <c r="R305" s="2095"/>
      <c r="T305" s="58" t="s">
        <v>92</v>
      </c>
      <c r="V305" s="58"/>
      <c r="W305" s="58"/>
      <c r="X305" s="58"/>
      <c r="Y305" s="58"/>
      <c r="AA305" s="2095" t="s">
        <v>2645</v>
      </c>
      <c r="AB305" s="2095"/>
      <c r="AC305" s="2095"/>
      <c r="AD305" s="2095"/>
      <c r="AE305" s="2095"/>
      <c r="AF305" s="2095"/>
      <c r="AG305" s="2095"/>
      <c r="AH305" s="2095"/>
      <c r="AI305" s="2095"/>
      <c r="AJ305" s="2095"/>
      <c r="AK305" s="2095"/>
      <c r="BN305" s="61"/>
    </row>
    <row r="306" spans="2:66" ht="12.75">
      <c r="B306" s="58" t="s">
        <v>93</v>
      </c>
      <c r="C306" s="58"/>
      <c r="D306" s="58"/>
      <c r="E306" s="58"/>
      <c r="F306" s="58"/>
      <c r="G306" s="58"/>
      <c r="H306" s="2420" t="str">
        <f t="shared" si="0"/>
        <v>415-781-6600</v>
      </c>
      <c r="I306" s="2420"/>
      <c r="J306" s="2420"/>
      <c r="K306" s="2420"/>
      <c r="L306" s="2420"/>
      <c r="M306" s="2420"/>
      <c r="N306" s="7" t="s">
        <v>211</v>
      </c>
      <c r="O306" s="7"/>
      <c r="P306" s="2418"/>
      <c r="Q306" s="2418"/>
      <c r="R306" s="2418"/>
      <c r="S306" s="58"/>
      <c r="T306" s="58" t="s">
        <v>93</v>
      </c>
      <c r="V306" s="58"/>
      <c r="W306" s="58"/>
      <c r="X306" s="58"/>
      <c r="Y306" s="58"/>
      <c r="AA306" s="2420" t="s">
        <v>2646</v>
      </c>
      <c r="AB306" s="2420"/>
      <c r="AC306" s="2420"/>
      <c r="AD306" s="2420"/>
      <c r="AE306" s="2420"/>
      <c r="AF306" s="2420"/>
      <c r="AG306" s="7" t="s">
        <v>211</v>
      </c>
      <c r="AH306" s="7"/>
      <c r="AI306" s="2418"/>
      <c r="AJ306" s="2418"/>
      <c r="AK306" s="2418"/>
      <c r="BN306" s="61"/>
    </row>
    <row r="307" spans="2:66" ht="12.75">
      <c r="B307" s="58" t="s">
        <v>94</v>
      </c>
      <c r="C307" s="58"/>
      <c r="D307" s="58"/>
      <c r="E307" s="58"/>
      <c r="F307" s="58"/>
      <c r="G307" s="58"/>
      <c r="H307" s="2368" t="str">
        <f t="shared" si="0"/>
        <v>415-781-6967</v>
      </c>
      <c r="I307" s="2368"/>
      <c r="J307" s="2368"/>
      <c r="K307" s="2368"/>
      <c r="L307" s="2368"/>
      <c r="M307" s="2368"/>
      <c r="N307" s="60"/>
      <c r="O307" s="60"/>
      <c r="P307" s="62"/>
      <c r="Q307" s="62"/>
      <c r="R307" s="62"/>
      <c r="S307" s="58"/>
      <c r="T307" s="58" t="s">
        <v>94</v>
      </c>
      <c r="V307" s="58"/>
      <c r="W307" s="58"/>
      <c r="X307" s="58"/>
      <c r="Y307" s="58"/>
      <c r="AA307" s="2380" t="s">
        <v>2647</v>
      </c>
      <c r="AB307" s="2368"/>
      <c r="AC307" s="2368"/>
      <c r="AD307" s="2368"/>
      <c r="AE307" s="2368"/>
      <c r="AF307" s="2368"/>
      <c r="AG307" s="60"/>
      <c r="AH307" s="60"/>
      <c r="AI307" s="62"/>
      <c r="AJ307" s="62"/>
      <c r="AK307" s="62"/>
      <c r="BN307" s="61"/>
    </row>
    <row r="308" spans="2:66" ht="12.75">
      <c r="B308" s="58" t="s">
        <v>80</v>
      </c>
      <c r="C308" s="58"/>
      <c r="D308" s="58"/>
      <c r="E308" s="58"/>
      <c r="F308" s="58"/>
      <c r="G308" s="58"/>
      <c r="H308" s="2095" t="str">
        <f t="shared" si="0"/>
        <v>sperez@gubbandbarshay.com</v>
      </c>
      <c r="I308" s="2095"/>
      <c r="J308" s="2095"/>
      <c r="K308" s="2095"/>
      <c r="L308" s="2095"/>
      <c r="M308" s="2095"/>
      <c r="N308" s="2122"/>
      <c r="O308" s="2122"/>
      <c r="P308" s="2122"/>
      <c r="Q308" s="2122"/>
      <c r="R308" s="2122"/>
      <c r="S308" s="58"/>
      <c r="T308" s="58" t="s">
        <v>80</v>
      </c>
      <c r="V308" s="58"/>
      <c r="W308" s="58"/>
      <c r="X308" s="58"/>
      <c r="Y308" s="58"/>
      <c r="AA308" s="2095" t="s">
        <v>2648</v>
      </c>
      <c r="AB308" s="2095"/>
      <c r="AC308" s="2095"/>
      <c r="AD308" s="2095"/>
      <c r="AE308" s="2095"/>
      <c r="AF308" s="2095"/>
      <c r="AG308" s="2122"/>
      <c r="AH308" s="2122"/>
      <c r="AI308" s="2122"/>
      <c r="AJ308" s="2122"/>
      <c r="AK308" s="212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122" t="s">
        <v>2649</v>
      </c>
      <c r="I310" s="2122"/>
      <c r="J310" s="2122"/>
      <c r="K310" s="2122"/>
      <c r="L310" s="2122"/>
      <c r="M310" s="2122"/>
      <c r="N310" s="2122"/>
      <c r="O310" s="2122"/>
      <c r="P310" s="2122"/>
      <c r="Q310" s="2122"/>
      <c r="R310" s="2122"/>
      <c r="S310" s="58"/>
      <c r="T310" s="58" t="s">
        <v>371</v>
      </c>
      <c r="V310" s="58"/>
      <c r="W310" s="58"/>
      <c r="X310" s="58"/>
      <c r="Y310" s="58"/>
      <c r="AA310" s="2122" t="s">
        <v>2631</v>
      </c>
      <c r="AB310" s="2122"/>
      <c r="AC310" s="2122"/>
      <c r="AD310" s="2122"/>
      <c r="AE310" s="2122"/>
      <c r="AF310" s="2122"/>
      <c r="AG310" s="2122"/>
      <c r="AH310" s="2122"/>
      <c r="AI310" s="2122"/>
      <c r="AJ310" s="2122"/>
      <c r="AK310" s="2122"/>
      <c r="BN310" s="61"/>
    </row>
    <row r="311" spans="2:66" ht="12.75">
      <c r="B311" s="58" t="s">
        <v>496</v>
      </c>
      <c r="C311" s="58"/>
      <c r="D311" s="58"/>
      <c r="E311" s="58"/>
      <c r="F311" s="58"/>
      <c r="H311" s="2095" t="s">
        <v>2650</v>
      </c>
      <c r="I311" s="2095"/>
      <c r="J311" s="2095"/>
      <c r="K311" s="2095"/>
      <c r="L311" s="2095"/>
      <c r="M311" s="2095"/>
      <c r="N311" s="2095"/>
      <c r="O311" s="2095"/>
      <c r="P311" s="2095"/>
      <c r="Q311" s="2095"/>
      <c r="R311" s="2095"/>
      <c r="S311" s="58"/>
      <c r="T311" s="58" t="s">
        <v>496</v>
      </c>
      <c r="V311" s="58"/>
      <c r="W311" s="58"/>
      <c r="X311" s="58"/>
      <c r="Y311" s="58"/>
      <c r="AA311" s="2095"/>
      <c r="AB311" s="2095"/>
      <c r="AC311" s="2095"/>
      <c r="AD311" s="2095"/>
      <c r="AE311" s="2095"/>
      <c r="AF311" s="2095"/>
      <c r="AG311" s="2095"/>
      <c r="AH311" s="2095"/>
      <c r="AI311" s="2095"/>
      <c r="AJ311" s="2095"/>
      <c r="AK311" s="2095"/>
      <c r="BN311" s="61"/>
    </row>
    <row r="312" spans="2:66" ht="12.75" customHeight="1">
      <c r="B312" s="58" t="s">
        <v>497</v>
      </c>
      <c r="C312" s="58"/>
      <c r="D312" s="58"/>
      <c r="E312" s="58"/>
      <c r="F312" s="58"/>
      <c r="H312" s="2095" t="s">
        <v>2651</v>
      </c>
      <c r="I312" s="2095"/>
      <c r="J312" s="2095"/>
      <c r="K312" s="2095"/>
      <c r="L312" s="2095"/>
      <c r="M312" s="2095"/>
      <c r="N312" s="2095"/>
      <c r="O312" s="2095"/>
      <c r="P312" s="2095"/>
      <c r="Q312" s="2095"/>
      <c r="R312" s="2095"/>
      <c r="S312" s="58"/>
      <c r="T312" s="58" t="s">
        <v>79</v>
      </c>
      <c r="V312" s="58"/>
      <c r="W312" s="58"/>
      <c r="X312" s="58"/>
      <c r="Y312" s="58"/>
      <c r="AA312" s="2095"/>
      <c r="AB312" s="2095"/>
      <c r="AC312" s="2095"/>
      <c r="AD312" s="2095"/>
      <c r="AE312" s="2095"/>
      <c r="AF312" s="2095"/>
      <c r="AG312" s="2095"/>
      <c r="AH312" s="2095"/>
      <c r="AI312" s="2095"/>
      <c r="AJ312" s="2095"/>
      <c r="AK312" s="2095"/>
      <c r="BN312" s="61"/>
    </row>
    <row r="313" spans="2:66" ht="12.75">
      <c r="B313" s="58" t="s">
        <v>92</v>
      </c>
      <c r="C313" s="58"/>
      <c r="D313" s="58"/>
      <c r="E313" s="58"/>
      <c r="F313" s="58"/>
      <c r="H313" s="2095" t="s">
        <v>2652</v>
      </c>
      <c r="I313" s="2095"/>
      <c r="J313" s="2095"/>
      <c r="K313" s="2095"/>
      <c r="L313" s="2095"/>
      <c r="M313" s="2095"/>
      <c r="N313" s="2095"/>
      <c r="O313" s="2095"/>
      <c r="P313" s="2095"/>
      <c r="Q313" s="2095"/>
      <c r="R313" s="2095"/>
      <c r="S313" s="58"/>
      <c r="T313" s="58" t="s">
        <v>92</v>
      </c>
      <c r="V313" s="58"/>
      <c r="W313" s="58"/>
      <c r="X313" s="58"/>
      <c r="Y313" s="58"/>
      <c r="AA313" s="2095"/>
      <c r="AB313" s="2095"/>
      <c r="AC313" s="2095"/>
      <c r="AD313" s="2095"/>
      <c r="AE313" s="2095"/>
      <c r="AF313" s="2095"/>
      <c r="AG313" s="2095"/>
      <c r="AH313" s="2095"/>
      <c r="AI313" s="2095"/>
      <c r="AJ313" s="2095"/>
      <c r="AK313" s="2095"/>
      <c r="BN313" s="61"/>
    </row>
    <row r="314" spans="2:66" ht="12.75">
      <c r="B314" s="58" t="s">
        <v>93</v>
      </c>
      <c r="C314" s="58"/>
      <c r="D314" s="58"/>
      <c r="E314" s="58"/>
      <c r="F314" s="58"/>
      <c r="G314" s="58"/>
      <c r="H314" s="2420" t="s">
        <v>2653</v>
      </c>
      <c r="I314" s="2420"/>
      <c r="J314" s="2420"/>
      <c r="K314" s="2420"/>
      <c r="L314" s="2420"/>
      <c r="M314" s="2420"/>
      <c r="N314" s="7" t="s">
        <v>211</v>
      </c>
      <c r="O314" s="7"/>
      <c r="P314" s="2418"/>
      <c r="Q314" s="2418"/>
      <c r="R314" s="2418"/>
      <c r="S314" s="58"/>
      <c r="T314" s="58" t="s">
        <v>93</v>
      </c>
      <c r="V314" s="58"/>
      <c r="W314" s="58"/>
      <c r="X314" s="58"/>
      <c r="Y314" s="58"/>
      <c r="AA314" s="2420"/>
      <c r="AB314" s="2420"/>
      <c r="AC314" s="2420"/>
      <c r="AD314" s="2420"/>
      <c r="AE314" s="2420"/>
      <c r="AF314" s="2420"/>
      <c r="AG314" s="7" t="s">
        <v>211</v>
      </c>
      <c r="AH314" s="7"/>
      <c r="AI314" s="2418"/>
      <c r="AJ314" s="2418"/>
      <c r="AK314" s="2418"/>
      <c r="BN314" s="61"/>
    </row>
    <row r="315" spans="2:66" ht="12.75">
      <c r="B315" s="58" t="s">
        <v>94</v>
      </c>
      <c r="C315" s="58"/>
      <c r="D315" s="58"/>
      <c r="E315" s="58"/>
      <c r="F315" s="58"/>
      <c r="G315" s="58"/>
      <c r="H315" s="2380" t="s">
        <v>2654</v>
      </c>
      <c r="I315" s="2368"/>
      <c r="J315" s="2368"/>
      <c r="K315" s="2368"/>
      <c r="L315" s="2368"/>
      <c r="M315" s="2368"/>
      <c r="N315" s="60"/>
      <c r="O315" s="60"/>
      <c r="P315" s="62"/>
      <c r="Q315" s="62"/>
      <c r="R315" s="62"/>
      <c r="S315" s="58"/>
      <c r="T315" s="58" t="s">
        <v>94</v>
      </c>
      <c r="V315" s="58"/>
      <c r="W315" s="58"/>
      <c r="X315" s="58"/>
      <c r="Y315" s="58"/>
      <c r="AA315" s="2368"/>
      <c r="AB315" s="2368"/>
      <c r="AC315" s="2368"/>
      <c r="AD315" s="2368"/>
      <c r="AE315" s="2368"/>
      <c r="AF315" s="2368"/>
      <c r="AG315" s="60"/>
      <c r="AH315" s="60"/>
      <c r="AI315" s="62"/>
      <c r="AJ315" s="62"/>
      <c r="AK315" s="62"/>
      <c r="BN315" s="61"/>
    </row>
    <row r="316" spans="2:66" ht="12.75">
      <c r="B316" s="58" t="s">
        <v>80</v>
      </c>
      <c r="C316" s="58"/>
      <c r="D316" s="58"/>
      <c r="E316" s="58"/>
      <c r="F316" s="58"/>
      <c r="G316" s="58"/>
      <c r="H316" s="2095" t="s">
        <v>2655</v>
      </c>
      <c r="I316" s="2095"/>
      <c r="J316" s="2095"/>
      <c r="K316" s="2095"/>
      <c r="L316" s="2095"/>
      <c r="M316" s="2095"/>
      <c r="N316" s="2122"/>
      <c r="O316" s="2122"/>
      <c r="P316" s="2122"/>
      <c r="Q316" s="2122"/>
      <c r="R316" s="2122"/>
      <c r="S316" s="58"/>
      <c r="T316" s="58" t="s">
        <v>80</v>
      </c>
      <c r="V316" s="58"/>
      <c r="W316" s="58"/>
      <c r="X316" s="58"/>
      <c r="Y316" s="58"/>
      <c r="AA316" s="2095"/>
      <c r="AB316" s="2095"/>
      <c r="AC316" s="2095"/>
      <c r="AD316" s="2095"/>
      <c r="AE316" s="2095"/>
      <c r="AF316" s="2095"/>
      <c r="AG316" s="2122"/>
      <c r="AH316" s="2122"/>
      <c r="AI316" s="2122"/>
      <c r="AJ316" s="2122"/>
      <c r="AK316" s="2122"/>
      <c r="BN316" s="61"/>
    </row>
    <row r="317" spans="2:66" ht="12.75">
      <c r="BN317" s="61"/>
    </row>
    <row r="318" spans="2:66" ht="12.75">
      <c r="B318" s="7" t="s">
        <v>960</v>
      </c>
      <c r="C318" s="58"/>
      <c r="D318" s="58"/>
      <c r="E318" s="58"/>
      <c r="F318" s="58"/>
      <c r="H318" s="2122" t="s">
        <v>2663</v>
      </c>
      <c r="I318" s="2122"/>
      <c r="J318" s="2122"/>
      <c r="K318" s="2122"/>
      <c r="L318" s="2122"/>
      <c r="M318" s="2122"/>
      <c r="N318" s="2122"/>
      <c r="O318" s="2122"/>
      <c r="P318" s="2122"/>
      <c r="Q318" s="2122"/>
      <c r="R318" s="2122"/>
      <c r="T318" s="58" t="s">
        <v>372</v>
      </c>
      <c r="V318" s="58"/>
      <c r="W318" s="58"/>
      <c r="X318" s="58"/>
      <c r="Y318" s="58"/>
      <c r="AA318" s="2122" t="s">
        <v>2656</v>
      </c>
      <c r="AB318" s="2122"/>
      <c r="AC318" s="2122"/>
      <c r="AD318" s="2122"/>
      <c r="AE318" s="2122"/>
      <c r="AF318" s="2122"/>
      <c r="AG318" s="2122"/>
      <c r="AH318" s="2122"/>
      <c r="AI318" s="2122"/>
      <c r="AJ318" s="2122"/>
      <c r="AK318" s="2122"/>
      <c r="BN318" s="61"/>
    </row>
    <row r="319" spans="2:66" ht="12.75">
      <c r="B319" s="58" t="s">
        <v>496</v>
      </c>
      <c r="C319" s="58"/>
      <c r="D319" s="58"/>
      <c r="E319" s="58"/>
      <c r="F319" s="58"/>
      <c r="H319" s="2095" t="s">
        <v>2664</v>
      </c>
      <c r="I319" s="2095"/>
      <c r="J319" s="2095"/>
      <c r="K319" s="2095"/>
      <c r="L319" s="2095"/>
      <c r="M319" s="2095"/>
      <c r="N319" s="2095"/>
      <c r="O319" s="2095"/>
      <c r="P319" s="2095"/>
      <c r="Q319" s="2095"/>
      <c r="R319" s="2095"/>
      <c r="T319" s="58" t="s">
        <v>496</v>
      </c>
      <c r="V319" s="58"/>
      <c r="W319" s="58"/>
      <c r="X319" s="58"/>
      <c r="Y319" s="58"/>
      <c r="AA319" s="2095" t="s">
        <v>2657</v>
      </c>
      <c r="AB319" s="2095"/>
      <c r="AC319" s="2095"/>
      <c r="AD319" s="2095"/>
      <c r="AE319" s="2095"/>
      <c r="AF319" s="2095"/>
      <c r="AG319" s="2095"/>
      <c r="AH319" s="2095"/>
      <c r="AI319" s="2095"/>
      <c r="AJ319" s="2095"/>
      <c r="AK319" s="2095"/>
      <c r="BN319" s="61"/>
    </row>
    <row r="320" spans="2:66" ht="12.75">
      <c r="B320" s="58" t="s">
        <v>497</v>
      </c>
      <c r="C320" s="58"/>
      <c r="D320" s="58"/>
      <c r="E320" s="58"/>
      <c r="F320" s="58"/>
      <c r="H320" s="2095" t="s">
        <v>2673</v>
      </c>
      <c r="I320" s="2095"/>
      <c r="J320" s="2095"/>
      <c r="K320" s="2095"/>
      <c r="L320" s="2095"/>
      <c r="M320" s="2095"/>
      <c r="N320" s="2095"/>
      <c r="O320" s="2095"/>
      <c r="P320" s="2095"/>
      <c r="Q320" s="2095"/>
      <c r="R320" s="2095"/>
      <c r="T320" s="58" t="s">
        <v>79</v>
      </c>
      <c r="V320" s="58"/>
      <c r="W320" s="58"/>
      <c r="X320" s="58"/>
      <c r="Y320" s="58"/>
      <c r="AA320" s="2095" t="s">
        <v>2658</v>
      </c>
      <c r="AB320" s="2095"/>
      <c r="AC320" s="2095"/>
      <c r="AD320" s="2095"/>
      <c r="AE320" s="2095"/>
      <c r="AF320" s="2095"/>
      <c r="AG320" s="2095"/>
      <c r="AH320" s="2095"/>
      <c r="AI320" s="2095"/>
      <c r="AJ320" s="2095"/>
      <c r="AK320" s="2095"/>
      <c r="BN320" s="61"/>
    </row>
    <row r="321" spans="1:66" ht="12.75" customHeight="1">
      <c r="A321" s="39"/>
      <c r="B321" s="58" t="s">
        <v>92</v>
      </c>
      <c r="C321" s="58"/>
      <c r="D321" s="58"/>
      <c r="E321" s="58"/>
      <c r="F321" s="58"/>
      <c r="H321" s="2095" t="s">
        <v>2674</v>
      </c>
      <c r="I321" s="2095"/>
      <c r="J321" s="2095"/>
      <c r="K321" s="2095"/>
      <c r="L321" s="2095"/>
      <c r="M321" s="2095"/>
      <c r="N321" s="2095"/>
      <c r="O321" s="2095"/>
      <c r="P321" s="2095"/>
      <c r="Q321" s="2095"/>
      <c r="R321" s="2095"/>
      <c r="T321" s="58" t="s">
        <v>92</v>
      </c>
      <c r="V321" s="58"/>
      <c r="W321" s="58"/>
      <c r="X321" s="58"/>
      <c r="Y321" s="58"/>
      <c r="AA321" s="2095" t="s">
        <v>2659</v>
      </c>
      <c r="AB321" s="2095"/>
      <c r="AC321" s="2095"/>
      <c r="AD321" s="2095"/>
      <c r="AE321" s="2095"/>
      <c r="AF321" s="2095"/>
      <c r="AG321" s="2095"/>
      <c r="AH321" s="2095"/>
      <c r="AI321" s="2095"/>
      <c r="AJ321" s="2095"/>
      <c r="AK321" s="2095"/>
      <c r="AL321" s="39"/>
      <c r="BN321" s="61"/>
    </row>
    <row r="322" spans="1:66" ht="12.75">
      <c r="A322" s="39"/>
      <c r="B322" s="58" t="s">
        <v>93</v>
      </c>
      <c r="C322" s="58"/>
      <c r="D322" s="58"/>
      <c r="E322" s="58"/>
      <c r="F322" s="58"/>
      <c r="G322" s="58"/>
      <c r="H322" s="2419" t="s">
        <v>2675</v>
      </c>
      <c r="I322" s="2420"/>
      <c r="J322" s="2420"/>
      <c r="K322" s="2420"/>
      <c r="L322" s="2420"/>
      <c r="M322" s="2420"/>
      <c r="N322" s="7" t="s">
        <v>211</v>
      </c>
      <c r="O322" s="7"/>
      <c r="P322" s="2418"/>
      <c r="Q322" s="2418"/>
      <c r="R322" s="2418"/>
      <c r="S322" s="58"/>
      <c r="T322" s="58" t="s">
        <v>93</v>
      </c>
      <c r="V322" s="58"/>
      <c r="W322" s="58"/>
      <c r="X322" s="58"/>
      <c r="Y322" s="58"/>
      <c r="AA322" s="2420" t="s">
        <v>2660</v>
      </c>
      <c r="AB322" s="2420"/>
      <c r="AC322" s="2420"/>
      <c r="AD322" s="2420"/>
      <c r="AE322" s="2420"/>
      <c r="AF322" s="2420"/>
      <c r="AG322" s="7" t="s">
        <v>211</v>
      </c>
      <c r="AH322" s="7"/>
      <c r="AI322" s="2418"/>
      <c r="AJ322" s="2418"/>
      <c r="AK322" s="2418"/>
      <c r="AL322" s="39"/>
      <c r="BN322" s="61"/>
    </row>
    <row r="323" spans="1:66" ht="12.75" customHeight="1">
      <c r="A323" s="39"/>
      <c r="B323" s="58" t="s">
        <v>94</v>
      </c>
      <c r="C323" s="58"/>
      <c r="D323" s="58"/>
      <c r="E323" s="58"/>
      <c r="F323" s="58"/>
      <c r="G323" s="58"/>
      <c r="H323" s="2368"/>
      <c r="I323" s="2368"/>
      <c r="J323" s="2368"/>
      <c r="K323" s="2368"/>
      <c r="L323" s="2368"/>
      <c r="M323" s="2368"/>
      <c r="N323" s="60"/>
      <c r="O323" s="60"/>
      <c r="P323" s="62"/>
      <c r="Q323" s="62"/>
      <c r="R323" s="62"/>
      <c r="S323" s="58"/>
      <c r="T323" s="58" t="s">
        <v>94</v>
      </c>
      <c r="V323" s="58"/>
      <c r="W323" s="58"/>
      <c r="X323" s="58"/>
      <c r="Y323" s="58"/>
      <c r="AA323" s="2380" t="s">
        <v>2661</v>
      </c>
      <c r="AB323" s="2368"/>
      <c r="AC323" s="2368"/>
      <c r="AD323" s="2368"/>
      <c r="AE323" s="2368"/>
      <c r="AF323" s="2368"/>
      <c r="AG323" s="60"/>
      <c r="AH323" s="60"/>
      <c r="AI323" s="62"/>
      <c r="AJ323" s="62"/>
      <c r="AK323" s="62"/>
      <c r="AL323" s="39"/>
    </row>
    <row r="324" spans="1:66" ht="12.75">
      <c r="A324" s="39"/>
      <c r="B324" s="58" t="s">
        <v>80</v>
      </c>
      <c r="C324" s="58"/>
      <c r="D324" s="58"/>
      <c r="E324" s="58"/>
      <c r="F324" s="58"/>
      <c r="G324" s="58"/>
      <c r="H324" s="2095" t="s">
        <v>2676</v>
      </c>
      <c r="I324" s="2095"/>
      <c r="J324" s="2095"/>
      <c r="K324" s="2095"/>
      <c r="L324" s="2095"/>
      <c r="M324" s="2095"/>
      <c r="N324" s="2122"/>
      <c r="O324" s="2122"/>
      <c r="P324" s="2122"/>
      <c r="Q324" s="2122"/>
      <c r="R324" s="2122"/>
      <c r="S324" s="58"/>
      <c r="T324" s="58" t="s">
        <v>80</v>
      </c>
      <c r="V324" s="58"/>
      <c r="W324" s="58"/>
      <c r="X324" s="58"/>
      <c r="Y324" s="58"/>
      <c r="AA324" s="2095" t="s">
        <v>2662</v>
      </c>
      <c r="AB324" s="2095"/>
      <c r="AC324" s="2095"/>
      <c r="AD324" s="2095"/>
      <c r="AE324" s="2095"/>
      <c r="AF324" s="2095"/>
      <c r="AG324" s="2122"/>
      <c r="AH324" s="2122"/>
      <c r="AI324" s="2122"/>
      <c r="AJ324" s="2122"/>
      <c r="AK324" s="212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122" t="s">
        <v>2678</v>
      </c>
      <c r="I326" s="2122"/>
      <c r="J326" s="2122"/>
      <c r="K326" s="2122"/>
      <c r="L326" s="2122"/>
      <c r="M326" s="2122"/>
      <c r="N326" s="2122"/>
      <c r="O326" s="2122"/>
      <c r="P326" s="2122"/>
      <c r="Q326" s="2122"/>
      <c r="R326" s="2122"/>
      <c r="T326" s="58" t="s">
        <v>374</v>
      </c>
      <c r="V326" s="58"/>
      <c r="W326" s="58"/>
      <c r="X326" s="58"/>
      <c r="Y326" s="58"/>
      <c r="AA326" s="2122" t="s">
        <v>2692</v>
      </c>
      <c r="AB326" s="2122"/>
      <c r="AC326" s="2122"/>
      <c r="AD326" s="2122"/>
      <c r="AE326" s="2122"/>
      <c r="AF326" s="2122"/>
      <c r="AG326" s="2122"/>
      <c r="AH326" s="2122"/>
      <c r="AI326" s="2122"/>
      <c r="AJ326" s="2122"/>
      <c r="AK326" s="2122"/>
      <c r="AL326" s="39"/>
    </row>
    <row r="327" spans="1:66" ht="12.75">
      <c r="A327" s="39"/>
      <c r="B327" s="58" t="s">
        <v>496</v>
      </c>
      <c r="C327" s="58"/>
      <c r="D327" s="58"/>
      <c r="E327" s="58"/>
      <c r="F327" s="58"/>
      <c r="H327" s="2095" t="s">
        <v>2679</v>
      </c>
      <c r="I327" s="2095"/>
      <c r="J327" s="2095"/>
      <c r="K327" s="2095"/>
      <c r="L327" s="2095"/>
      <c r="M327" s="2095"/>
      <c r="N327" s="2095"/>
      <c r="O327" s="2095"/>
      <c r="P327" s="2095"/>
      <c r="Q327" s="2095"/>
      <c r="R327" s="2095"/>
      <c r="T327" s="58" t="s">
        <v>496</v>
      </c>
      <c r="V327" s="58"/>
      <c r="W327" s="58"/>
      <c r="X327" s="58"/>
      <c r="Y327" s="58"/>
      <c r="AA327" s="2095"/>
      <c r="AB327" s="2095"/>
      <c r="AC327" s="2095"/>
      <c r="AD327" s="2095"/>
      <c r="AE327" s="2095"/>
      <c r="AF327" s="2095"/>
      <c r="AG327" s="2095"/>
      <c r="AH327" s="2095"/>
      <c r="AI327" s="2095"/>
      <c r="AJ327" s="2095"/>
      <c r="AK327" s="2095"/>
      <c r="AL327" s="39"/>
    </row>
    <row r="328" spans="1:66" ht="12.75">
      <c r="A328" s="39"/>
      <c r="B328" s="58" t="s">
        <v>497</v>
      </c>
      <c r="C328" s="58"/>
      <c r="D328" s="58"/>
      <c r="E328" s="58"/>
      <c r="F328" s="58"/>
      <c r="H328" s="2095" t="s">
        <v>2680</v>
      </c>
      <c r="I328" s="2095"/>
      <c r="J328" s="2095"/>
      <c r="K328" s="2095"/>
      <c r="L328" s="2095"/>
      <c r="M328" s="2095"/>
      <c r="N328" s="2095"/>
      <c r="O328" s="2095"/>
      <c r="P328" s="2095"/>
      <c r="Q328" s="2095"/>
      <c r="R328" s="2095"/>
      <c r="T328" s="58" t="s">
        <v>79</v>
      </c>
      <c r="V328" s="58"/>
      <c r="W328" s="58"/>
      <c r="X328" s="58"/>
      <c r="Y328" s="58"/>
      <c r="AA328" s="2095"/>
      <c r="AB328" s="2095"/>
      <c r="AC328" s="2095"/>
      <c r="AD328" s="2095"/>
      <c r="AE328" s="2095"/>
      <c r="AF328" s="2095"/>
      <c r="AG328" s="2095"/>
      <c r="AH328" s="2095"/>
      <c r="AI328" s="2095"/>
      <c r="AJ328" s="2095"/>
      <c r="AK328" s="2095"/>
      <c r="AL328" s="39"/>
    </row>
    <row r="329" spans="1:66" ht="12.75">
      <c r="A329" s="39"/>
      <c r="B329" s="58" t="s">
        <v>92</v>
      </c>
      <c r="C329" s="58"/>
      <c r="D329" s="58"/>
      <c r="E329" s="58"/>
      <c r="F329" s="58"/>
      <c r="H329" s="2095" t="s">
        <v>2681</v>
      </c>
      <c r="I329" s="2095"/>
      <c r="J329" s="2095"/>
      <c r="K329" s="2095"/>
      <c r="L329" s="2095"/>
      <c r="M329" s="2095"/>
      <c r="N329" s="2095"/>
      <c r="O329" s="2095"/>
      <c r="P329" s="2095"/>
      <c r="Q329" s="2095"/>
      <c r="R329" s="2095"/>
      <c r="T329" s="58" t="s">
        <v>92</v>
      </c>
      <c r="V329" s="58"/>
      <c r="W329" s="58"/>
      <c r="X329" s="58"/>
      <c r="Y329" s="58"/>
      <c r="AA329" s="2095"/>
      <c r="AB329" s="2095"/>
      <c r="AC329" s="2095"/>
      <c r="AD329" s="2095"/>
      <c r="AE329" s="2095"/>
      <c r="AF329" s="2095"/>
      <c r="AG329" s="2095"/>
      <c r="AH329" s="2095"/>
      <c r="AI329" s="2095"/>
      <c r="AJ329" s="2095"/>
      <c r="AK329" s="2095"/>
      <c r="AL329" s="39"/>
    </row>
    <row r="330" spans="1:66" ht="12.75" customHeight="1">
      <c r="A330" s="39"/>
      <c r="B330" s="58" t="s">
        <v>93</v>
      </c>
      <c r="C330" s="58"/>
      <c r="D330" s="58"/>
      <c r="E330" s="58"/>
      <c r="F330" s="58"/>
      <c r="G330" s="58"/>
      <c r="H330" s="2419" t="s">
        <v>2682</v>
      </c>
      <c r="I330" s="2420"/>
      <c r="J330" s="2420"/>
      <c r="K330" s="2420"/>
      <c r="L330" s="2420"/>
      <c r="M330" s="2420"/>
      <c r="N330" s="7" t="s">
        <v>211</v>
      </c>
      <c r="O330" s="7"/>
      <c r="P330" s="2418">
        <v>1515</v>
      </c>
      <c r="Q330" s="2418"/>
      <c r="R330" s="2418"/>
      <c r="S330" s="58"/>
      <c r="T330" s="58" t="s">
        <v>93</v>
      </c>
      <c r="V330" s="58"/>
      <c r="W330" s="58"/>
      <c r="X330" s="58"/>
      <c r="Y330" s="58"/>
      <c r="AA330" s="2420"/>
      <c r="AB330" s="2420"/>
      <c r="AC330" s="2420"/>
      <c r="AD330" s="2420"/>
      <c r="AE330" s="2420"/>
      <c r="AF330" s="2420"/>
      <c r="AG330" s="7" t="s">
        <v>211</v>
      </c>
      <c r="AH330" s="7"/>
      <c r="AI330" s="2418"/>
      <c r="AJ330" s="2418"/>
      <c r="AK330" s="2418"/>
      <c r="AL330" s="39"/>
    </row>
    <row r="331" spans="1:66" ht="12.75">
      <c r="A331" s="39"/>
      <c r="B331" s="58" t="s">
        <v>94</v>
      </c>
      <c r="C331" s="58"/>
      <c r="D331" s="58"/>
      <c r="E331" s="58"/>
      <c r="F331" s="58"/>
      <c r="G331" s="58"/>
      <c r="H331" s="2368"/>
      <c r="I331" s="2368"/>
      <c r="J331" s="2368"/>
      <c r="K331" s="2368"/>
      <c r="L331" s="2368"/>
      <c r="M331" s="2368"/>
      <c r="N331" s="60"/>
      <c r="O331" s="60"/>
      <c r="P331" s="62"/>
      <c r="Q331" s="62"/>
      <c r="R331" s="62"/>
      <c r="S331" s="58"/>
      <c r="T331" s="58" t="s">
        <v>94</v>
      </c>
      <c r="V331" s="58"/>
      <c r="W331" s="58"/>
      <c r="X331" s="58"/>
      <c r="Y331" s="58"/>
      <c r="AA331" s="2368"/>
      <c r="AB331" s="2368"/>
      <c r="AC331" s="2368"/>
      <c r="AD331" s="2368"/>
      <c r="AE331" s="2368"/>
      <c r="AF331" s="2368"/>
      <c r="AG331" s="60"/>
      <c r="AH331" s="60"/>
      <c r="AI331" s="62"/>
      <c r="AJ331" s="62"/>
      <c r="AK331" s="62"/>
      <c r="AL331" s="39"/>
    </row>
    <row r="332" spans="1:66" ht="12.75">
      <c r="A332" s="39"/>
      <c r="B332" s="58" t="s">
        <v>80</v>
      </c>
      <c r="C332" s="58"/>
      <c r="D332" s="58"/>
      <c r="E332" s="58"/>
      <c r="F332" s="58"/>
      <c r="G332" s="58"/>
      <c r="H332" s="2095" t="s">
        <v>2683</v>
      </c>
      <c r="I332" s="2095"/>
      <c r="J332" s="2095"/>
      <c r="K332" s="2095"/>
      <c r="L332" s="2095"/>
      <c r="M332" s="2095"/>
      <c r="N332" s="2122"/>
      <c r="O332" s="2122"/>
      <c r="P332" s="2122"/>
      <c r="Q332" s="2122"/>
      <c r="R332" s="2122"/>
      <c r="S332" s="58"/>
      <c r="T332" s="58" t="s">
        <v>80</v>
      </c>
      <c r="V332" s="58"/>
      <c r="W332" s="58"/>
      <c r="X332" s="58"/>
      <c r="Y332" s="58"/>
      <c r="AA332" s="2095"/>
      <c r="AB332" s="2095"/>
      <c r="AC332" s="2095"/>
      <c r="AD332" s="2095"/>
      <c r="AE332" s="2095"/>
      <c r="AF332" s="2095"/>
      <c r="AG332" s="2122"/>
      <c r="AH332" s="2122"/>
      <c r="AI332" s="2122"/>
      <c r="AJ332" s="2122"/>
      <c r="AK332" s="212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122" t="s">
        <v>2684</v>
      </c>
      <c r="I334" s="2122"/>
      <c r="J334" s="2122"/>
      <c r="K334" s="2122"/>
      <c r="L334" s="2122"/>
      <c r="M334" s="2122"/>
      <c r="N334" s="2122"/>
      <c r="O334" s="2122"/>
      <c r="P334" s="2122"/>
      <c r="Q334" s="2122"/>
      <c r="R334" s="2122"/>
      <c r="T334" s="402" t="s">
        <v>935</v>
      </c>
      <c r="V334" s="58"/>
      <c r="W334" s="58"/>
      <c r="X334" s="58"/>
      <c r="Y334" s="58"/>
      <c r="AA334" s="2122" t="s">
        <v>2619</v>
      </c>
      <c r="AB334" s="2122"/>
      <c r="AC334" s="2122"/>
      <c r="AD334" s="2122"/>
      <c r="AE334" s="2122"/>
      <c r="AF334" s="2122"/>
      <c r="AG334" s="2122"/>
      <c r="AH334" s="2122"/>
      <c r="AI334" s="2122"/>
      <c r="AJ334" s="2122"/>
      <c r="AK334" s="2122"/>
      <c r="AL334" s="39"/>
    </row>
    <row r="335" spans="1:66" ht="12.75" customHeight="1">
      <c r="B335" s="58" t="s">
        <v>496</v>
      </c>
      <c r="C335" s="240"/>
      <c r="D335" s="240"/>
      <c r="E335" s="240"/>
      <c r="F335" s="240"/>
      <c r="G335" s="3"/>
      <c r="H335" s="2095" t="s">
        <v>2685</v>
      </c>
      <c r="I335" s="2095"/>
      <c r="J335" s="2095"/>
      <c r="K335" s="2095"/>
      <c r="L335" s="2095"/>
      <c r="M335" s="2095"/>
      <c r="N335" s="2095"/>
      <c r="O335" s="2095"/>
      <c r="P335" s="2095"/>
      <c r="Q335" s="2095"/>
      <c r="R335" s="2095"/>
      <c r="T335" s="58" t="s">
        <v>496</v>
      </c>
      <c r="V335" s="58"/>
      <c r="W335" s="58"/>
      <c r="X335" s="58"/>
      <c r="Y335" s="58"/>
      <c r="AA335" s="2095" t="s">
        <v>2613</v>
      </c>
      <c r="AB335" s="2095"/>
      <c r="AC335" s="2095"/>
      <c r="AD335" s="2095"/>
      <c r="AE335" s="2095"/>
      <c r="AF335" s="2095"/>
      <c r="AG335" s="2095"/>
      <c r="AH335" s="2095"/>
      <c r="AI335" s="2095"/>
      <c r="AJ335" s="2095"/>
      <c r="AK335" s="2095"/>
      <c r="AL335" s="39"/>
    </row>
    <row r="336" spans="1:66" ht="12.75" customHeight="1">
      <c r="B336" s="58" t="s">
        <v>79</v>
      </c>
      <c r="C336" s="240"/>
      <c r="D336" s="240"/>
      <c r="E336" s="240"/>
      <c r="F336" s="240"/>
      <c r="G336" s="3"/>
      <c r="H336" s="2095" t="s">
        <v>2686</v>
      </c>
      <c r="I336" s="2095"/>
      <c r="J336" s="2095"/>
      <c r="K336" s="2095"/>
      <c r="L336" s="2095"/>
      <c r="M336" s="2095"/>
      <c r="N336" s="2095"/>
      <c r="O336" s="2095"/>
      <c r="P336" s="2095"/>
      <c r="Q336" s="2095"/>
      <c r="R336" s="2095"/>
      <c r="T336" s="58" t="s">
        <v>79</v>
      </c>
      <c r="V336" s="58"/>
      <c r="W336" s="58"/>
      <c r="X336" s="58"/>
      <c r="Y336" s="58"/>
      <c r="AA336" s="2095" t="s">
        <v>2630</v>
      </c>
      <c r="AB336" s="2095"/>
      <c r="AC336" s="2095"/>
      <c r="AD336" s="2095"/>
      <c r="AE336" s="2095"/>
      <c r="AF336" s="2095"/>
      <c r="AG336" s="2095"/>
      <c r="AH336" s="2095"/>
      <c r="AI336" s="2095"/>
      <c r="AJ336" s="2095"/>
      <c r="AK336" s="2095"/>
      <c r="AL336" s="39"/>
    </row>
    <row r="337" spans="1:66" ht="12.75" customHeight="1">
      <c r="A337" s="39"/>
      <c r="B337" s="58" t="s">
        <v>92</v>
      </c>
      <c r="C337" s="240"/>
      <c r="D337" s="240"/>
      <c r="E337" s="240"/>
      <c r="F337" s="240"/>
      <c r="G337" s="240"/>
      <c r="H337" s="2095" t="s">
        <v>2687</v>
      </c>
      <c r="I337" s="2095"/>
      <c r="J337" s="2095"/>
      <c r="K337" s="2095"/>
      <c r="L337" s="2095"/>
      <c r="M337" s="2095"/>
      <c r="N337" s="2095"/>
      <c r="O337" s="2095"/>
      <c r="P337" s="2095"/>
      <c r="Q337" s="2095"/>
      <c r="R337" s="2095"/>
      <c r="T337" s="58" t="s">
        <v>92</v>
      </c>
      <c r="V337" s="58"/>
      <c r="W337" s="58"/>
      <c r="X337" s="58"/>
      <c r="Y337" s="58"/>
      <c r="AA337" s="2095" t="s">
        <v>2690</v>
      </c>
      <c r="AB337" s="2095"/>
      <c r="AC337" s="2095"/>
      <c r="AD337" s="2095"/>
      <c r="AE337" s="2095"/>
      <c r="AF337" s="2095"/>
      <c r="AG337" s="2095"/>
      <c r="AH337" s="2095"/>
      <c r="AI337" s="2095"/>
      <c r="AJ337" s="2095"/>
      <c r="AK337" s="2095"/>
      <c r="AL337" s="39"/>
    </row>
    <row r="338" spans="1:66" ht="12.75" customHeight="1">
      <c r="A338" s="39"/>
      <c r="B338" s="58" t="s">
        <v>93</v>
      </c>
      <c r="C338" s="240"/>
      <c r="D338" s="240"/>
      <c r="E338" s="240"/>
      <c r="F338" s="240"/>
      <c r="G338" s="240"/>
      <c r="H338" s="2419" t="s">
        <v>2688</v>
      </c>
      <c r="I338" s="2420"/>
      <c r="J338" s="2420"/>
      <c r="K338" s="2420"/>
      <c r="L338" s="2420"/>
      <c r="M338" s="2420"/>
      <c r="N338" s="7" t="s">
        <v>211</v>
      </c>
      <c r="O338" s="7"/>
      <c r="P338" s="2418"/>
      <c r="Q338" s="2418"/>
      <c r="R338" s="2418"/>
      <c r="S338" s="58"/>
      <c r="T338" s="58" t="s">
        <v>93</v>
      </c>
      <c r="V338" s="58"/>
      <c r="W338" s="58"/>
      <c r="X338" s="58"/>
      <c r="Y338" s="58"/>
      <c r="AA338" s="2419" t="s">
        <v>2616</v>
      </c>
      <c r="AB338" s="2420"/>
      <c r="AC338" s="2420"/>
      <c r="AD338" s="2420"/>
      <c r="AE338" s="2420"/>
      <c r="AF338" s="2420"/>
      <c r="AG338" s="7" t="s">
        <v>211</v>
      </c>
      <c r="AH338" s="7"/>
      <c r="AI338" s="2418">
        <v>223</v>
      </c>
      <c r="AJ338" s="2418"/>
      <c r="AK338" s="2418"/>
      <c r="AL338" s="39"/>
    </row>
    <row r="339" spans="1:66" ht="12.75">
      <c r="A339" s="39"/>
      <c r="B339" s="58" t="s">
        <v>94</v>
      </c>
      <c r="C339" s="240"/>
      <c r="D339" s="240"/>
      <c r="E339" s="240"/>
      <c r="F339" s="240"/>
      <c r="G339" s="240"/>
      <c r="H339" s="2368"/>
      <c r="I339" s="2368"/>
      <c r="J339" s="2368"/>
      <c r="K339" s="2368"/>
      <c r="L339" s="2368"/>
      <c r="M339" s="2368"/>
      <c r="N339" s="60"/>
      <c r="O339" s="60"/>
      <c r="P339" s="62"/>
      <c r="Q339" s="62"/>
      <c r="R339" s="62"/>
      <c r="S339" s="58"/>
      <c r="T339" s="58" t="s">
        <v>94</v>
      </c>
      <c r="V339" s="58"/>
      <c r="W339" s="58"/>
      <c r="X339" s="58"/>
      <c r="Y339" s="58"/>
      <c r="AA339" s="2380" t="s">
        <v>2617</v>
      </c>
      <c r="AB339" s="2368"/>
      <c r="AC339" s="2368"/>
      <c r="AD339" s="2368"/>
      <c r="AE339" s="2368"/>
      <c r="AF339" s="2368"/>
      <c r="AG339" s="60"/>
      <c r="AH339" s="60"/>
      <c r="AI339" s="62"/>
      <c r="AJ339" s="62"/>
      <c r="AK339" s="62"/>
      <c r="AL339" s="39"/>
    </row>
    <row r="340" spans="1:66" ht="12.75">
      <c r="A340" s="39"/>
      <c r="B340" s="58" t="s">
        <v>80</v>
      </c>
      <c r="C340" s="237"/>
      <c r="D340" s="237"/>
      <c r="E340" s="237"/>
      <c r="F340" s="237"/>
      <c r="G340" s="237"/>
      <c r="H340" s="2095" t="s">
        <v>2689</v>
      </c>
      <c r="I340" s="2095"/>
      <c r="J340" s="2095"/>
      <c r="K340" s="2095"/>
      <c r="L340" s="2095"/>
      <c r="M340" s="2095"/>
      <c r="N340" s="2122"/>
      <c r="O340" s="2122"/>
      <c r="P340" s="2122"/>
      <c r="Q340" s="2122"/>
      <c r="R340" s="2122"/>
      <c r="S340" s="58"/>
      <c r="T340" s="58" t="s">
        <v>80</v>
      </c>
      <c r="V340" s="58"/>
      <c r="W340" s="58"/>
      <c r="X340" s="58"/>
      <c r="Y340" s="58"/>
      <c r="AA340" s="2095" t="s">
        <v>2691</v>
      </c>
      <c r="AB340" s="2095"/>
      <c r="AC340" s="2095"/>
      <c r="AD340" s="2095"/>
      <c r="AE340" s="2095"/>
      <c r="AF340" s="2095"/>
      <c r="AG340" s="2122"/>
      <c r="AH340" s="2122"/>
      <c r="AI340" s="2122"/>
      <c r="AJ340" s="2122"/>
      <c r="AK340" s="212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122" t="s">
        <v>2692</v>
      </c>
      <c r="Q342" s="2122"/>
      <c r="R342" s="2122"/>
      <c r="S342" s="2122"/>
      <c r="T342" s="2122"/>
      <c r="U342" s="2122"/>
      <c r="V342" s="2122"/>
      <c r="W342" s="2122"/>
      <c r="X342" s="2122"/>
      <c r="Y342" s="2122"/>
      <c r="Z342" s="2122"/>
      <c r="AA342" s="2122"/>
      <c r="AB342" s="2122"/>
      <c r="AC342" s="2122"/>
      <c r="AD342" s="2122"/>
      <c r="AE342" s="2122"/>
      <c r="AF342" s="88"/>
      <c r="AG342" s="88"/>
      <c r="AH342" s="88"/>
      <c r="AI342" s="88"/>
      <c r="AJ342" s="88"/>
      <c r="AK342" s="88"/>
      <c r="AL342" s="39"/>
      <c r="BN342" s="12" t="s">
        <v>617</v>
      </c>
    </row>
    <row r="343" spans="1:66" ht="12.75">
      <c r="A343" s="3"/>
      <c r="B343" s="60"/>
      <c r="C343" s="60"/>
      <c r="D343" s="60"/>
      <c r="E343" s="60"/>
      <c r="F343" s="60"/>
      <c r="G343" s="3"/>
      <c r="H343" s="88"/>
      <c r="I343" s="7" t="s">
        <v>496</v>
      </c>
      <c r="P343" s="2095"/>
      <c r="Q343" s="2095"/>
      <c r="R343" s="2095"/>
      <c r="S343" s="2095"/>
      <c r="T343" s="2095"/>
      <c r="U343" s="2095"/>
      <c r="V343" s="2095"/>
      <c r="W343" s="2095"/>
      <c r="X343" s="2095"/>
      <c r="Y343" s="2095"/>
      <c r="Z343" s="2095"/>
      <c r="AA343" s="2095"/>
      <c r="AB343" s="2095"/>
      <c r="AC343" s="2095"/>
      <c r="AD343" s="2095"/>
      <c r="AE343" s="2095"/>
      <c r="AF343" s="88"/>
      <c r="AG343" s="88"/>
      <c r="AH343" s="88"/>
      <c r="AI343" s="88"/>
      <c r="AJ343" s="88"/>
      <c r="AK343" s="88"/>
      <c r="AL343" s="39"/>
      <c r="BN343" s="12" t="s">
        <v>695</v>
      </c>
    </row>
    <row r="344" spans="1:66" ht="12.75">
      <c r="A344" s="3"/>
      <c r="B344" s="60"/>
      <c r="C344" s="60"/>
      <c r="D344" s="60"/>
      <c r="E344" s="60"/>
      <c r="F344" s="60"/>
      <c r="G344" s="3"/>
      <c r="H344" s="88"/>
      <c r="I344" s="7" t="s">
        <v>79</v>
      </c>
      <c r="P344" s="2095"/>
      <c r="Q344" s="2095"/>
      <c r="R344" s="2095"/>
      <c r="S344" s="2095"/>
      <c r="T344" s="2095"/>
      <c r="U344" s="2095"/>
      <c r="V344" s="2095"/>
      <c r="W344" s="2095"/>
      <c r="X344" s="2095"/>
      <c r="Y344" s="2095"/>
      <c r="Z344" s="2095"/>
      <c r="AA344" s="2095"/>
      <c r="AB344" s="2095"/>
      <c r="AC344" s="2095"/>
      <c r="AD344" s="2095"/>
      <c r="AE344" s="2095"/>
      <c r="AF344" s="88"/>
      <c r="AG344" s="88"/>
      <c r="AH344" s="88"/>
      <c r="AI344" s="88"/>
      <c r="AJ344" s="88"/>
      <c r="AK344" s="88"/>
      <c r="AL344" s="39"/>
      <c r="BN344" s="12" t="s">
        <v>570</v>
      </c>
    </row>
    <row r="345" spans="1:66" ht="12.75">
      <c r="A345" s="3"/>
      <c r="B345" s="60"/>
      <c r="C345" s="60"/>
      <c r="D345" s="60"/>
      <c r="E345" s="60"/>
      <c r="F345" s="60"/>
      <c r="G345" s="60"/>
      <c r="H345" s="88"/>
      <c r="I345" s="7" t="s">
        <v>92</v>
      </c>
      <c r="P345" s="2095"/>
      <c r="Q345" s="2095"/>
      <c r="R345" s="2095"/>
      <c r="S345" s="2095"/>
      <c r="T345" s="2095"/>
      <c r="U345" s="2095"/>
      <c r="V345" s="2095"/>
      <c r="W345" s="2095"/>
      <c r="X345" s="2095"/>
      <c r="Y345" s="2095"/>
      <c r="Z345" s="2095"/>
      <c r="AA345" s="2095"/>
      <c r="AB345" s="2095"/>
      <c r="AC345" s="2095"/>
      <c r="AD345" s="2095"/>
      <c r="AE345" s="2095"/>
      <c r="AF345" s="88"/>
      <c r="AG345" s="88"/>
      <c r="AH345" s="88"/>
      <c r="AI345" s="88"/>
      <c r="AJ345" s="88"/>
      <c r="AK345" s="88"/>
      <c r="AL345" s="39"/>
    </row>
    <row r="346" spans="1:66" ht="12.75">
      <c r="A346" s="3"/>
      <c r="B346" s="60"/>
      <c r="C346" s="60"/>
      <c r="D346" s="60"/>
      <c r="E346" s="60"/>
      <c r="F346" s="60"/>
      <c r="G346" s="60"/>
      <c r="H346" s="462"/>
      <c r="I346" s="7" t="s">
        <v>93</v>
      </c>
      <c r="P346" s="2368"/>
      <c r="Q346" s="2368"/>
      <c r="R346" s="2368"/>
      <c r="S346" s="2368"/>
      <c r="T346" s="2368"/>
      <c r="U346" s="2368"/>
      <c r="V346" s="2368"/>
      <c r="W346" s="2368"/>
      <c r="X346" s="2368"/>
      <c r="Y346" s="2368"/>
      <c r="Z346" s="2368"/>
      <c r="AA346" s="7" t="s">
        <v>211</v>
      </c>
      <c r="AB346" s="7"/>
      <c r="AC346" s="2094"/>
      <c r="AD346" s="2094"/>
      <c r="AE346" s="2094"/>
      <c r="AF346" s="462"/>
      <c r="AG346" s="60"/>
      <c r="AH346" s="60"/>
      <c r="AI346" s="403"/>
      <c r="AJ346" s="403"/>
      <c r="AK346" s="403"/>
      <c r="AL346" s="39"/>
    </row>
    <row r="347" spans="1:66" ht="12.75" customHeight="1">
      <c r="A347" s="3"/>
      <c r="B347" s="60"/>
      <c r="C347" s="60"/>
      <c r="D347" s="60"/>
      <c r="E347" s="60"/>
      <c r="F347" s="60"/>
      <c r="G347" s="60"/>
      <c r="H347" s="462"/>
      <c r="I347" s="7" t="s">
        <v>94</v>
      </c>
      <c r="P347" s="2368"/>
      <c r="Q347" s="2368"/>
      <c r="R347" s="2368"/>
      <c r="S347" s="2368"/>
      <c r="T347" s="2368"/>
      <c r="U347" s="2368"/>
      <c r="V347" s="2368"/>
      <c r="W347" s="2368"/>
      <c r="X347" s="2368"/>
      <c r="Y347" s="2368"/>
      <c r="Z347" s="2368"/>
      <c r="AF347" s="462"/>
      <c r="AG347" s="60"/>
      <c r="AH347" s="60"/>
      <c r="AI347" s="62"/>
      <c r="AJ347" s="62"/>
      <c r="AK347" s="62"/>
      <c r="AL347" s="39"/>
    </row>
    <row r="348" spans="1:66" ht="12.75">
      <c r="A348" s="3"/>
      <c r="B348" s="60"/>
      <c r="C348" s="403"/>
      <c r="D348" s="403"/>
      <c r="E348" s="403"/>
      <c r="F348" s="403"/>
      <c r="G348" s="403"/>
      <c r="H348" s="88"/>
      <c r="I348" s="7" t="s">
        <v>80</v>
      </c>
      <c r="P348" s="2122"/>
      <c r="Q348" s="2122"/>
      <c r="R348" s="2122"/>
      <c r="S348" s="2122"/>
      <c r="T348" s="2122"/>
      <c r="U348" s="2122"/>
      <c r="V348" s="2122"/>
      <c r="W348" s="2122"/>
      <c r="X348" s="2122"/>
      <c r="Y348" s="2122"/>
      <c r="Z348" s="2122"/>
      <c r="AA348" s="2122"/>
      <c r="AB348" s="2122"/>
      <c r="AC348" s="2122"/>
      <c r="AD348" s="2122"/>
      <c r="AE348" s="212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7" t="s">
        <v>567</v>
      </c>
      <c r="B350" s="2357"/>
      <c r="C350" s="2357"/>
      <c r="D350" s="2357"/>
      <c r="E350" s="2357"/>
      <c r="F350" s="2357"/>
      <c r="G350" s="2357"/>
      <c r="H350" s="2357"/>
      <c r="I350" s="2357"/>
      <c r="J350" s="2357"/>
      <c r="K350" s="2357"/>
      <c r="L350" s="2357"/>
      <c r="M350" s="2357"/>
      <c r="N350" s="2357"/>
      <c r="O350" s="2357"/>
      <c r="P350" s="2357"/>
      <c r="Q350" s="2357"/>
      <c r="R350" s="2357"/>
      <c r="S350" s="2357"/>
      <c r="T350" s="2357"/>
      <c r="U350" s="2357"/>
      <c r="V350" s="2357"/>
      <c r="W350" s="2357"/>
      <c r="X350" s="2357"/>
      <c r="Y350" s="2357"/>
      <c r="Z350" s="2357"/>
      <c r="AA350" s="2357"/>
      <c r="AB350" s="2357"/>
      <c r="AC350" s="2357"/>
      <c r="AD350" s="2357"/>
      <c r="AE350" s="2357"/>
      <c r="AF350" s="2357"/>
      <c r="AG350" s="2357"/>
      <c r="AH350" s="2357"/>
      <c r="AI350" s="2357"/>
      <c r="AJ350" s="2357"/>
      <c r="AK350" s="2357"/>
      <c r="AL350" s="2357"/>
      <c r="AM350" s="144"/>
      <c r="AN350" s="144"/>
      <c r="AO350" s="144"/>
      <c r="AP350" s="144"/>
      <c r="AQ350" s="144"/>
      <c r="AR350" s="144"/>
      <c r="AS350" s="144"/>
      <c r="AT350" s="144"/>
      <c r="AU350" s="144"/>
      <c r="AV350" s="144"/>
      <c r="AW350" s="144"/>
      <c r="AX350" s="144"/>
      <c r="AY350" s="144"/>
    </row>
    <row r="351" spans="1:66" ht="13.5" thickBot="1">
      <c r="A351" s="2358"/>
      <c r="B351" s="2358"/>
      <c r="C351" s="2358"/>
      <c r="D351" s="2358"/>
      <c r="E351" s="2358"/>
      <c r="F351" s="2358"/>
      <c r="G351" s="2358"/>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2358"/>
      <c r="AL351" s="235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99" t="s">
        <v>570</v>
      </c>
      <c r="N354" s="2099"/>
      <c r="P354" s="12" t="s">
        <v>1858</v>
      </c>
      <c r="AJ354" s="2099" t="s">
        <v>617</v>
      </c>
      <c r="AK354" s="2099"/>
    </row>
    <row r="355" spans="1:37" ht="12.75" customHeight="1">
      <c r="D355" s="58" t="s">
        <v>1847</v>
      </c>
      <c r="M355" s="2099" t="s">
        <v>617</v>
      </c>
      <c r="N355" s="2099"/>
      <c r="P355" s="58" t="s">
        <v>2034</v>
      </c>
      <c r="AJ355" s="2133"/>
      <c r="AK355" s="2133"/>
    </row>
    <row r="356" spans="1:37" ht="12.75" customHeight="1">
      <c r="D356" s="12" t="s">
        <v>734</v>
      </c>
      <c r="M356" s="2099" t="s">
        <v>617</v>
      </c>
      <c r="N356" s="2099"/>
      <c r="P356" s="711" t="s">
        <v>1857</v>
      </c>
      <c r="AJ356" s="2099" t="s">
        <v>617</v>
      </c>
      <c r="AK356" s="2099"/>
    </row>
    <row r="357" spans="1:37" ht="12.75" customHeight="1">
      <c r="D357" s="12" t="s">
        <v>735</v>
      </c>
      <c r="M357" s="2099" t="s">
        <v>617</v>
      </c>
      <c r="N357" s="2099"/>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99" t="s">
        <v>617</v>
      </c>
      <c r="O362" s="2099"/>
      <c r="P362" s="69"/>
      <c r="Q362" s="69"/>
      <c r="R362" s="69"/>
      <c r="S362" s="69"/>
      <c r="T362" s="69"/>
      <c r="U362" s="69"/>
      <c r="V362" s="69"/>
      <c r="W362" s="69"/>
      <c r="X362" s="69"/>
      <c r="Y362" s="70"/>
      <c r="Z362" s="70"/>
      <c r="AC362" s="69"/>
      <c r="AD362" s="69"/>
      <c r="AE362" s="69"/>
    </row>
    <row r="363" spans="1:37" ht="12.75" customHeight="1">
      <c r="E363" s="12" t="s">
        <v>377</v>
      </c>
      <c r="Y363" s="2099" t="s">
        <v>617</v>
      </c>
      <c r="Z363" s="2099"/>
    </row>
    <row r="364" spans="1:37" ht="12.75" customHeight="1">
      <c r="D364" s="7" t="s">
        <v>1037</v>
      </c>
      <c r="Q364" s="2122"/>
      <c r="R364" s="2122"/>
      <c r="S364" s="2122"/>
      <c r="T364" s="2122"/>
      <c r="U364" s="2122"/>
      <c r="V364" s="2122"/>
      <c r="W364" s="2122"/>
      <c r="X364" s="2122"/>
      <c r="Y364" s="2122"/>
      <c r="Z364" s="2122"/>
      <c r="AA364" s="2122"/>
      <c r="AB364" s="2122"/>
      <c r="AC364" s="2122"/>
      <c r="AD364" s="2122"/>
      <c r="AE364" s="2122"/>
      <c r="AF364" s="2122"/>
      <c r="AG364" s="212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99" t="s">
        <v>617</v>
      </c>
      <c r="K366" s="2099"/>
      <c r="L366" s="69"/>
      <c r="M366" s="69"/>
      <c r="N366" s="69"/>
      <c r="O366" s="69"/>
      <c r="P366" s="69"/>
      <c r="Q366" s="69"/>
      <c r="R366" s="69"/>
      <c r="S366" s="69"/>
      <c r="T366" s="69"/>
      <c r="U366" s="69"/>
      <c r="V366" s="69"/>
      <c r="W366" s="69"/>
      <c r="X366" s="69"/>
      <c r="Y366" s="69"/>
      <c r="Z366" s="69"/>
      <c r="AC366" s="69"/>
      <c r="AD366" s="69"/>
      <c r="AE366" s="69"/>
    </row>
    <row r="367" spans="1:37" ht="12.75" customHeight="1">
      <c r="E367" s="2434" t="s">
        <v>736</v>
      </c>
      <c r="F367" s="2434"/>
      <c r="G367" s="2434"/>
      <c r="H367" s="2434"/>
      <c r="I367" s="2434"/>
      <c r="J367" s="2434"/>
      <c r="K367" s="2434"/>
      <c r="L367" s="2434"/>
      <c r="M367" s="2434"/>
      <c r="N367" s="2434"/>
      <c r="O367" s="2434"/>
      <c r="P367" s="2434"/>
      <c r="Q367" s="2434"/>
      <c r="R367" s="2434"/>
      <c r="S367" s="2434"/>
      <c r="T367" s="2434"/>
      <c r="U367" s="2434"/>
      <c r="V367" s="2434"/>
      <c r="W367" s="2434"/>
      <c r="X367" s="2434"/>
      <c r="Y367" s="2434"/>
      <c r="Z367" s="2434"/>
      <c r="AA367" s="2434"/>
      <c r="AB367" s="2434"/>
      <c r="AC367" s="2434"/>
      <c r="AD367" s="2434"/>
      <c r="AE367" s="2434"/>
      <c r="AF367" s="2434"/>
      <c r="AG367" s="2434"/>
      <c r="AH367" s="2434"/>
    </row>
    <row r="368" spans="1:37" ht="12.75" customHeight="1">
      <c r="E368" s="2434"/>
      <c r="F368" s="2434"/>
      <c r="G368" s="2434"/>
      <c r="H368" s="2434"/>
      <c r="I368" s="2434"/>
      <c r="J368" s="2434"/>
      <c r="K368" s="2434"/>
      <c r="L368" s="2434"/>
      <c r="M368" s="2434"/>
      <c r="N368" s="2434"/>
      <c r="O368" s="2434"/>
      <c r="P368" s="2434"/>
      <c r="Q368" s="2434"/>
      <c r="R368" s="2434"/>
      <c r="S368" s="2434"/>
      <c r="T368" s="2434"/>
      <c r="U368" s="2434"/>
      <c r="V368" s="2434"/>
      <c r="W368" s="2434"/>
      <c r="X368" s="2434"/>
      <c r="Y368" s="2434"/>
      <c r="Z368" s="2434"/>
      <c r="AA368" s="2434"/>
      <c r="AB368" s="2434"/>
      <c r="AC368" s="2434"/>
      <c r="AD368" s="2434"/>
      <c r="AE368" s="2434"/>
      <c r="AF368" s="2434"/>
      <c r="AG368" s="2434"/>
      <c r="AH368" s="2434"/>
    </row>
    <row r="369" spans="1:36" ht="12.75" customHeight="1">
      <c r="E369" s="7" t="s">
        <v>472</v>
      </c>
      <c r="F369" s="7"/>
      <c r="G369" s="7"/>
      <c r="H369" s="7"/>
      <c r="I369" s="7"/>
      <c r="J369" s="7"/>
      <c r="K369" s="7"/>
      <c r="L369" s="7"/>
      <c r="N369" s="2432"/>
      <c r="O369" s="2432"/>
      <c r="P369" s="2432"/>
      <c r="Q369" s="2432"/>
      <c r="R369" s="7"/>
      <c r="U369" s="7" t="s">
        <v>473</v>
      </c>
      <c r="V369" s="7"/>
      <c r="W369" s="7"/>
      <c r="X369" s="7"/>
      <c r="Y369" s="7"/>
      <c r="Z369" s="7"/>
      <c r="AA369" s="7"/>
      <c r="AB369" s="7"/>
      <c r="AC369" s="2432"/>
      <c r="AD369" s="2432"/>
      <c r="AE369" s="2432"/>
      <c r="AF369" s="2432"/>
    </row>
    <row r="370" spans="1:36" ht="12.75" customHeight="1">
      <c r="E370" s="7" t="s">
        <v>474</v>
      </c>
      <c r="F370" s="7"/>
      <c r="G370" s="7"/>
      <c r="H370" s="7"/>
      <c r="I370" s="7"/>
      <c r="J370" s="7"/>
      <c r="K370" s="7"/>
      <c r="L370" s="7"/>
      <c r="N370" s="2432"/>
      <c r="O370" s="2432"/>
      <c r="P370" s="2432"/>
      <c r="Q370" s="2432"/>
      <c r="R370" s="7"/>
      <c r="U370" s="7" t="s">
        <v>0</v>
      </c>
      <c r="V370" s="7"/>
      <c r="W370" s="7"/>
      <c r="X370" s="7"/>
      <c r="Y370" s="7"/>
      <c r="Z370" s="7"/>
      <c r="AA370" s="7"/>
      <c r="AB370" s="7"/>
      <c r="AC370" s="2432"/>
      <c r="AD370" s="2432"/>
      <c r="AE370" s="2432"/>
      <c r="AF370" s="2432"/>
    </row>
    <row r="371" spans="1:36" ht="12.75" customHeight="1">
      <c r="E371" s="7" t="s">
        <v>1</v>
      </c>
      <c r="F371" s="7"/>
      <c r="G371" s="7"/>
      <c r="H371" s="7"/>
      <c r="I371" s="7"/>
      <c r="J371" s="7"/>
      <c r="K371" s="7"/>
      <c r="L371" s="7"/>
      <c r="N371" s="2432"/>
      <c r="O371" s="2432"/>
      <c r="P371" s="2432"/>
      <c r="Q371" s="2432"/>
      <c r="R371" s="7"/>
      <c r="V371" s="7"/>
      <c r="W371" s="7"/>
      <c r="X371" s="7"/>
      <c r="Y371" s="7"/>
      <c r="Z371" s="7"/>
      <c r="AA371" s="7"/>
      <c r="AB371" s="7"/>
    </row>
    <row r="372" spans="1:36" ht="12.75" customHeight="1">
      <c r="E372" s="7" t="s">
        <v>2</v>
      </c>
      <c r="F372" s="7"/>
      <c r="G372" s="7"/>
      <c r="H372" s="7"/>
      <c r="I372" s="7"/>
      <c r="J372" s="7"/>
      <c r="K372" s="7"/>
      <c r="L372" s="7"/>
      <c r="N372" s="2622"/>
      <c r="O372" s="2622"/>
      <c r="P372" s="2622"/>
      <c r="Q372" s="2622"/>
      <c r="R372" s="2622"/>
      <c r="S372" s="2622"/>
      <c r="T372" s="2622"/>
      <c r="U372" s="2622"/>
      <c r="V372" s="2622"/>
      <c r="W372" s="2622"/>
      <c r="X372" s="2622"/>
      <c r="Y372" s="2622"/>
      <c r="Z372" s="2622"/>
      <c r="AA372" s="2622"/>
      <c r="AB372" s="2622"/>
      <c r="AC372" s="2622"/>
      <c r="AD372" s="2622"/>
      <c r="AE372" s="2622"/>
      <c r="AF372" s="2622"/>
    </row>
    <row r="373" spans="1:36" ht="12.75" customHeight="1">
      <c r="E373" s="7"/>
      <c r="F373" s="7"/>
      <c r="G373" s="7"/>
      <c r="H373" s="7"/>
      <c r="I373" s="7"/>
      <c r="J373" s="7"/>
      <c r="K373" s="7"/>
      <c r="L373" s="7"/>
      <c r="N373" s="2623"/>
      <c r="O373" s="2623"/>
      <c r="P373" s="2623"/>
      <c r="Q373" s="2623"/>
      <c r="R373" s="2623"/>
      <c r="S373" s="2623"/>
      <c r="T373" s="2623"/>
      <c r="U373" s="2623"/>
      <c r="V373" s="2623"/>
      <c r="W373" s="2623"/>
      <c r="X373" s="2623"/>
      <c r="Y373" s="2623"/>
      <c r="Z373" s="2623"/>
      <c r="AA373" s="2623"/>
      <c r="AB373" s="2623"/>
      <c r="AC373" s="2623"/>
      <c r="AD373" s="2623"/>
      <c r="AE373" s="2623"/>
      <c r="AF373" s="2623"/>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310</v>
      </c>
      <c r="S376" s="2430"/>
      <c r="T376" s="2430"/>
      <c r="U376" s="4" t="s">
        <v>311</v>
      </c>
      <c r="V376" s="2430"/>
      <c r="W376" s="2430"/>
      <c r="Y376" s="25" t="s">
        <v>2576</v>
      </c>
      <c r="AA376" s="25"/>
      <c r="AB376" s="25" t="s">
        <v>310</v>
      </c>
      <c r="AD376" s="2430"/>
      <c r="AE376" s="2430"/>
      <c r="AF376" s="4" t="s">
        <v>311</v>
      </c>
      <c r="AG376" s="2430"/>
      <c r="AH376" s="2430"/>
    </row>
    <row r="377" spans="1:36" ht="12.75" customHeight="1">
      <c r="E377" s="7" t="s">
        <v>1063</v>
      </c>
      <c r="F377" s="7"/>
      <c r="G377" s="7"/>
      <c r="H377" s="7"/>
      <c r="I377" s="7"/>
      <c r="J377" s="7"/>
      <c r="K377" s="7"/>
      <c r="L377" s="7"/>
      <c r="N377" s="2430"/>
      <c r="O377" s="2430"/>
      <c r="P377" s="2430"/>
    </row>
    <row r="378" spans="1:36" ht="12.75" customHeight="1">
      <c r="E378" s="379" t="s">
        <v>2583</v>
      </c>
      <c r="F378" s="7"/>
      <c r="G378" s="7"/>
      <c r="H378" s="7"/>
      <c r="I378" s="7"/>
      <c r="J378" s="7"/>
      <c r="K378" s="7"/>
      <c r="L378" s="7"/>
      <c r="AG378" s="2421" t="s">
        <v>617</v>
      </c>
      <c r="AH378" s="2421"/>
    </row>
    <row r="379" spans="1:36" ht="12.75" customHeight="1">
      <c r="E379" s="7"/>
      <c r="F379" s="7"/>
      <c r="G379" s="7" t="s">
        <v>2584</v>
      </c>
      <c r="H379" s="7"/>
      <c r="I379" s="7"/>
      <c r="J379" s="7"/>
      <c r="K379" s="7"/>
      <c r="L379" s="7"/>
      <c r="AG379" s="2421" t="s">
        <v>617</v>
      </c>
      <c r="AH379" s="2421"/>
    </row>
    <row r="380" spans="1:36" ht="12.75" customHeight="1">
      <c r="E380" s="7"/>
      <c r="F380" s="7"/>
      <c r="G380" s="502" t="s">
        <v>1064</v>
      </c>
      <c r="H380" s="7"/>
      <c r="I380" s="7"/>
      <c r="J380" s="7"/>
      <c r="K380" s="7"/>
      <c r="L380" s="7"/>
      <c r="V380" s="2099" t="s">
        <v>617</v>
      </c>
      <c r="W380" s="2099"/>
      <c r="Y380" s="35" t="s">
        <v>1039</v>
      </c>
    </row>
    <row r="381" spans="1:36" ht="12.75" customHeight="1">
      <c r="E381" s="7" t="s">
        <v>1040</v>
      </c>
      <c r="F381" s="7"/>
      <c r="G381" s="7"/>
      <c r="H381" s="7"/>
      <c r="I381" s="7"/>
      <c r="J381" s="7"/>
      <c r="K381" s="7"/>
      <c r="L381" s="7"/>
      <c r="V381" s="2099" t="s">
        <v>617</v>
      </c>
      <c r="W381" s="2099"/>
      <c r="Y381" s="7" t="s">
        <v>1041</v>
      </c>
    </row>
    <row r="382" spans="1:36" ht="12.75" customHeight="1"/>
    <row r="383" spans="1:36" ht="12.75" customHeight="1">
      <c r="A383" s="50" t="s">
        <v>82</v>
      </c>
      <c r="B383" s="50"/>
    </row>
    <row r="384" spans="1:36" ht="12.75" customHeight="1">
      <c r="D384" s="12" t="s">
        <v>444</v>
      </c>
      <c r="J384" s="2122" t="s">
        <v>2693</v>
      </c>
      <c r="K384" s="2122"/>
      <c r="L384" s="2122"/>
      <c r="M384" s="2122"/>
      <c r="N384" s="2122"/>
      <c r="O384" s="2122"/>
      <c r="P384" s="2122"/>
      <c r="Q384" s="2122"/>
      <c r="R384" s="2122"/>
      <c r="S384" s="2122"/>
      <c r="T384" s="2122"/>
      <c r="U384" s="2122"/>
      <c r="V384" s="14" t="s">
        <v>88</v>
      </c>
      <c r="W384" s="14"/>
      <c r="X384" s="14"/>
      <c r="Y384" s="14"/>
      <c r="Z384" s="14"/>
      <c r="AA384" s="14"/>
      <c r="AB384" s="14"/>
      <c r="AC384" s="2122" t="s">
        <v>2725</v>
      </c>
      <c r="AD384" s="2122"/>
      <c r="AE384" s="2122"/>
      <c r="AF384" s="2122"/>
      <c r="AG384" s="2122"/>
      <c r="AH384" s="2122"/>
      <c r="AI384" s="2122"/>
      <c r="AJ384" s="2122"/>
    </row>
    <row r="385" spans="1:96" ht="12.75" customHeight="1">
      <c r="A385" s="711"/>
      <c r="B385" s="711"/>
      <c r="C385" s="711"/>
      <c r="D385" s="58" t="s">
        <v>1346</v>
      </c>
      <c r="E385" s="711"/>
      <c r="F385" s="711"/>
      <c r="G385" s="711"/>
      <c r="H385" s="711"/>
      <c r="I385" s="711"/>
      <c r="J385" s="2095" t="s">
        <v>2725</v>
      </c>
      <c r="K385" s="2095"/>
      <c r="L385" s="2095"/>
      <c r="M385" s="2095"/>
      <c r="N385" s="2095"/>
      <c r="O385" s="2095"/>
      <c r="P385" s="2095"/>
      <c r="Q385" s="2095"/>
      <c r="R385" s="2095"/>
      <c r="S385" s="2095"/>
      <c r="T385" s="2095"/>
      <c r="U385" s="2095"/>
      <c r="V385" s="58" t="s">
        <v>1346</v>
      </c>
      <c r="W385" s="14"/>
      <c r="X385" s="14"/>
      <c r="Y385" s="14"/>
      <c r="Z385" s="14"/>
      <c r="AA385" s="14"/>
      <c r="AB385" s="14"/>
      <c r="AC385" s="2122"/>
      <c r="AD385" s="2122"/>
      <c r="AE385" s="2122"/>
      <c r="AF385" s="2122"/>
      <c r="AG385" s="2122"/>
      <c r="AH385" s="2122"/>
      <c r="AI385" s="2122"/>
      <c r="AJ385" s="2122"/>
      <c r="AK385" s="711"/>
      <c r="AL385" s="711"/>
    </row>
    <row r="386" spans="1:96" ht="12.75" customHeight="1">
      <c r="A386" s="711"/>
      <c r="B386" s="711"/>
      <c r="C386" s="711"/>
      <c r="D386" s="58" t="s">
        <v>459</v>
      </c>
      <c r="E386" s="711"/>
      <c r="F386" s="711"/>
      <c r="G386" s="711"/>
      <c r="H386" s="711"/>
      <c r="I386" s="711"/>
      <c r="J386" s="2095" t="s">
        <v>2726</v>
      </c>
      <c r="K386" s="2095"/>
      <c r="L386" s="2095"/>
      <c r="M386" s="2095"/>
      <c r="N386" s="2095"/>
      <c r="O386" s="2095"/>
      <c r="P386" s="2095"/>
      <c r="Q386" s="2095"/>
      <c r="R386" s="2095"/>
      <c r="S386" s="2095"/>
      <c r="T386" s="2095"/>
      <c r="U386" s="2095"/>
      <c r="V386" s="58" t="s">
        <v>459</v>
      </c>
      <c r="W386" s="14"/>
      <c r="X386" s="14"/>
      <c r="Y386" s="14"/>
      <c r="Z386" s="14"/>
      <c r="AA386" s="14"/>
      <c r="AB386" s="14"/>
      <c r="AC386" s="2122"/>
      <c r="AD386" s="2122"/>
      <c r="AE386" s="2122"/>
      <c r="AF386" s="2122"/>
      <c r="AG386" s="2122"/>
      <c r="AH386" s="2122"/>
      <c r="AI386" s="2122"/>
      <c r="AJ386" s="2122"/>
      <c r="AK386" s="711"/>
      <c r="AL386" s="711"/>
    </row>
    <row r="387" spans="1:96" ht="12.75" customHeight="1">
      <c r="A387" s="711"/>
      <c r="B387" s="711"/>
      <c r="C387" s="711"/>
      <c r="D387" s="474" t="s">
        <v>1342</v>
      </c>
      <c r="E387" s="711"/>
      <c r="F387" s="711"/>
      <c r="G387" s="711"/>
      <c r="H387" s="711"/>
      <c r="I387" s="88"/>
      <c r="J387" s="2079" t="s">
        <v>2727</v>
      </c>
      <c r="K387" s="2079"/>
      <c r="L387" s="2079"/>
      <c r="M387" s="2079"/>
      <c r="N387" s="2079"/>
      <c r="O387" s="2079"/>
      <c r="P387" s="2079"/>
      <c r="Q387" s="2079"/>
      <c r="R387" s="2079"/>
      <c r="S387" s="2079"/>
      <c r="T387" s="2079"/>
      <c r="U387" s="2079"/>
      <c r="V387" s="2122"/>
      <c r="W387" s="2122"/>
      <c r="X387" s="2122"/>
      <c r="Y387" s="2122"/>
      <c r="Z387" s="2122"/>
      <c r="AA387" s="2122"/>
      <c r="AB387" s="2122"/>
      <c r="AC387" s="2122"/>
      <c r="AD387" s="2122"/>
      <c r="AE387" s="2122"/>
      <c r="AF387" s="2122"/>
      <c r="AG387" s="2122"/>
      <c r="AH387" s="2122"/>
      <c r="AI387" s="2122"/>
      <c r="AJ387" s="2122"/>
      <c r="AK387" s="711"/>
      <c r="AL387" s="711"/>
    </row>
    <row r="388" spans="1:96" ht="12.75" customHeight="1">
      <c r="D388" s="12" t="s">
        <v>4</v>
      </c>
      <c r="Q388" s="2426">
        <v>41780</v>
      </c>
      <c r="R388" s="2426"/>
      <c r="S388" s="2426"/>
      <c r="T388" s="2426"/>
      <c r="U388" s="2426"/>
      <c r="V388" s="12" t="s">
        <v>314</v>
      </c>
      <c r="AI388" s="2099" t="s">
        <v>695</v>
      </c>
      <c r="AJ388" s="2099"/>
    </row>
    <row r="389" spans="1:96" ht="12.75" customHeight="1">
      <c r="D389" s="12" t="s">
        <v>5</v>
      </c>
      <c r="Q389" s="2282" t="s">
        <v>2635</v>
      </c>
      <c r="R389" s="2433"/>
      <c r="S389" s="2433"/>
      <c r="T389" s="2433"/>
      <c r="U389" s="2433"/>
      <c r="W389" s="33" t="s">
        <v>78</v>
      </c>
      <c r="AG389" s="2427" t="s">
        <v>695</v>
      </c>
      <c r="AH389" s="2428"/>
      <c r="AI389" s="2428"/>
      <c r="AJ389" s="2428"/>
    </row>
    <row r="390" spans="1:96" ht="12.75" customHeight="1">
      <c r="D390" s="12" t="s">
        <v>443</v>
      </c>
      <c r="Q390" s="2429">
        <v>2000000</v>
      </c>
      <c r="R390" s="2429"/>
      <c r="S390" s="2429"/>
      <c r="T390" s="2429"/>
      <c r="U390" s="2429"/>
      <c r="V390" s="58" t="s">
        <v>1345</v>
      </c>
      <c r="AG390" s="2609">
        <v>42236</v>
      </c>
      <c r="AH390" s="2609"/>
      <c r="AI390" s="2609"/>
      <c r="AJ390" s="2609"/>
    </row>
    <row r="391" spans="1:96" ht="12.75" customHeight="1">
      <c r="D391" s="12" t="s">
        <v>93</v>
      </c>
      <c r="I391" s="2420"/>
      <c r="J391" s="2420"/>
      <c r="K391" s="2420"/>
      <c r="L391" s="2420"/>
      <c r="M391" s="2420"/>
      <c r="N391" s="2420"/>
      <c r="Q391" s="57" t="s">
        <v>211</v>
      </c>
      <c r="S391" s="2512"/>
      <c r="T391" s="2512"/>
      <c r="U391" s="2512"/>
      <c r="V391" s="12" t="s">
        <v>77</v>
      </c>
      <c r="AI391" s="2099" t="s">
        <v>695</v>
      </c>
      <c r="AJ391" s="2099"/>
    </row>
    <row r="392" spans="1:96" ht="12.75" customHeight="1">
      <c r="D392" s="12" t="s">
        <v>315</v>
      </c>
      <c r="Q392" s="2267">
        <v>8015</v>
      </c>
      <c r="R392" s="2267"/>
      <c r="S392" s="2267"/>
      <c r="T392" s="2267"/>
      <c r="U392" s="2267"/>
      <c r="V392" s="12" t="s">
        <v>316</v>
      </c>
      <c r="AG392" s="2428">
        <v>769497</v>
      </c>
      <c r="AH392" s="2428"/>
      <c r="AI392" s="2428"/>
      <c r="AJ392" s="2428"/>
    </row>
    <row r="393" spans="1:96" ht="12.75" customHeight="1">
      <c r="D393" s="12" t="s">
        <v>317</v>
      </c>
      <c r="Q393" s="2604"/>
      <c r="R393" s="2604"/>
      <c r="S393" s="2604"/>
      <c r="T393" s="2604"/>
      <c r="U393" s="2604"/>
      <c r="V393" s="711" t="s">
        <v>1326</v>
      </c>
      <c r="AG393" s="2428">
        <v>145314</v>
      </c>
      <c r="AH393" s="2428"/>
      <c r="AI393" s="2428"/>
      <c r="AJ393" s="2428"/>
    </row>
    <row r="394" spans="1:96" ht="12.75">
      <c r="D394" s="711" t="s">
        <v>1325</v>
      </c>
      <c r="V394" s="711"/>
      <c r="AG394" s="2428">
        <v>145314</v>
      </c>
      <c r="AH394" s="2428"/>
      <c r="AI394" s="2428"/>
      <c r="AJ394" s="242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99" t="s">
        <v>695</v>
      </c>
      <c r="AJ396" s="2099"/>
      <c r="AM396" s="39"/>
      <c r="AN396" s="39"/>
      <c r="AO396" s="39"/>
      <c r="AP396" s="39"/>
      <c r="AQ396" s="39"/>
      <c r="AR396" s="39"/>
      <c r="AS396" s="39"/>
      <c r="AT396" s="39"/>
      <c r="AU396" s="39"/>
      <c r="AV396" s="39"/>
      <c r="AW396" s="39"/>
      <c r="AX396" s="39"/>
      <c r="AY396" s="39"/>
      <c r="CR396" s="25"/>
    </row>
    <row r="397" spans="1:96" s="711" customFormat="1" ht="12.75">
      <c r="D397" s="58" t="s">
        <v>1877</v>
      </c>
      <c r="T397" s="2561"/>
      <c r="U397" s="2561"/>
      <c r="V397" s="2561"/>
      <c r="W397" s="2561"/>
      <c r="X397" s="2561"/>
      <c r="Y397" s="2561"/>
      <c r="Z397" s="2561"/>
      <c r="AA397" s="2561"/>
      <c r="AB397" s="2561"/>
      <c r="AC397" s="2561"/>
      <c r="AD397" s="2561"/>
      <c r="AE397" s="2561"/>
      <c r="AF397" s="2561"/>
      <c r="AG397" s="2561"/>
      <c r="AH397" s="2561"/>
      <c r="AI397" s="2561"/>
      <c r="AJ397" s="2561"/>
      <c r="AM397" s="39"/>
      <c r="AN397" s="39"/>
      <c r="AO397" s="39"/>
      <c r="AP397" s="39"/>
      <c r="AQ397" s="39"/>
      <c r="AR397" s="39"/>
      <c r="AS397" s="39"/>
      <c r="AT397" s="39"/>
      <c r="AU397" s="39"/>
      <c r="AV397" s="39"/>
      <c r="AW397" s="39"/>
      <c r="AX397" s="39"/>
      <c r="AY397" s="39"/>
      <c r="CR397" s="25"/>
    </row>
    <row r="398" spans="1:96" s="711" customFormat="1" ht="12.75">
      <c r="D398" s="58" t="s">
        <v>1876</v>
      </c>
      <c r="T398" s="2561"/>
      <c r="U398" s="2561"/>
      <c r="V398" s="2561"/>
      <c r="W398" s="2561"/>
      <c r="X398" s="2561"/>
      <c r="Y398" s="2561"/>
      <c r="Z398" s="2561"/>
      <c r="AA398" s="2561"/>
      <c r="AB398" s="2561"/>
      <c r="AC398" s="2561"/>
      <c r="AD398" s="2561"/>
      <c r="AE398" s="2561"/>
      <c r="AF398" s="2561"/>
      <c r="AG398" s="2561"/>
      <c r="AH398" s="2561"/>
      <c r="AI398" s="2561"/>
      <c r="AJ398" s="2561"/>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61" t="s">
        <v>695</v>
      </c>
      <c r="T400" s="2561"/>
      <c r="U400" s="2561"/>
      <c r="V400" s="474" t="s">
        <v>1870</v>
      </c>
      <c r="W400" s="711"/>
      <c r="X400" s="711"/>
      <c r="Y400" s="711"/>
      <c r="Z400" s="711"/>
      <c r="AA400" s="711"/>
      <c r="AB400" s="39"/>
      <c r="AC400" s="39"/>
      <c r="AD400" s="39"/>
      <c r="AE400" s="39"/>
      <c r="AF400" s="39"/>
      <c r="AG400" s="2552"/>
      <c r="AH400" s="2552"/>
      <c r="AI400" s="2552"/>
      <c r="AJ400" s="2552"/>
      <c r="AK400" s="39"/>
      <c r="AL400" s="711"/>
    </row>
    <row r="401" spans="1:96" s="711" customFormat="1" ht="12.75">
      <c r="D401" s="58" t="s">
        <v>1867</v>
      </c>
      <c r="S401" s="2561" t="s">
        <v>617</v>
      </c>
      <c r="T401" s="2561"/>
      <c r="U401" s="2561"/>
      <c r="V401" s="474" t="s">
        <v>1872</v>
      </c>
      <c r="AB401" s="39"/>
      <c r="AC401" s="39"/>
      <c r="AD401" s="39"/>
      <c r="AE401" s="2553"/>
      <c r="AF401" s="2553"/>
      <c r="AG401" s="2553"/>
      <c r="AH401" s="2553"/>
      <c r="AI401" s="2553"/>
      <c r="AJ401" s="2553"/>
      <c r="AK401" s="39"/>
      <c r="AM401" s="39"/>
      <c r="AN401" s="39"/>
      <c r="AO401" s="39"/>
      <c r="AP401" s="39"/>
      <c r="AQ401" s="39"/>
      <c r="AR401" s="39"/>
      <c r="AS401" s="39"/>
      <c r="AT401" s="39"/>
      <c r="AU401" s="39"/>
      <c r="AV401" s="39"/>
      <c r="AW401" s="39"/>
      <c r="AX401" s="39"/>
      <c r="AY401" s="39"/>
      <c r="CR401" s="25"/>
    </row>
    <row r="402" spans="1:96" s="711" customFormat="1" ht="12.75">
      <c r="D402" s="58" t="s">
        <v>1868</v>
      </c>
      <c r="K402" s="2554"/>
      <c r="L402" s="2554"/>
      <c r="M402" s="2554"/>
      <c r="N402" s="2554"/>
      <c r="O402" s="2554"/>
      <c r="P402" s="2554"/>
      <c r="Q402" s="2554"/>
      <c r="R402" s="2554"/>
      <c r="S402" s="2554"/>
      <c r="T402" s="2554"/>
      <c r="U402" s="2554"/>
      <c r="V402" s="2554"/>
      <c r="W402" s="2554"/>
      <c r="X402" s="2554"/>
      <c r="Y402" s="2554"/>
      <c r="Z402" s="2554"/>
      <c r="AA402" s="2554"/>
      <c r="AB402" s="2554"/>
      <c r="AC402" s="2554"/>
      <c r="AD402" s="2554"/>
      <c r="AE402" s="2554"/>
      <c r="AF402" s="2554"/>
      <c r="AG402" s="2554"/>
      <c r="AH402" s="2554"/>
      <c r="AI402" s="2554"/>
      <c r="AJ402" s="2554"/>
      <c r="AK402" s="39"/>
      <c r="AM402" s="39"/>
      <c r="AN402" s="39"/>
      <c r="AO402" s="39"/>
      <c r="AP402" s="39"/>
      <c r="AQ402" s="39"/>
      <c r="AR402" s="39"/>
      <c r="AS402" s="39"/>
      <c r="AT402" s="39"/>
      <c r="AU402" s="39"/>
      <c r="AV402" s="39"/>
      <c r="AW402" s="39"/>
      <c r="AX402" s="39"/>
      <c r="AY402" s="39"/>
      <c r="CR402" s="25"/>
    </row>
    <row r="403" spans="1:96" s="711" customFormat="1" ht="12.75">
      <c r="D403" s="58" t="s">
        <v>1871</v>
      </c>
      <c r="K403" s="2554"/>
      <c r="L403" s="2554"/>
      <c r="M403" s="2554"/>
      <c r="N403" s="2554"/>
      <c r="O403" s="2554"/>
      <c r="P403" s="2554"/>
      <c r="Q403" s="2554"/>
      <c r="R403" s="2554"/>
      <c r="S403" s="2554"/>
      <c r="T403" s="2554"/>
      <c r="U403" s="2554"/>
      <c r="V403" s="2554"/>
      <c r="W403" s="2554"/>
      <c r="X403" s="2554"/>
      <c r="Y403" s="2554"/>
      <c r="Z403" s="2554"/>
      <c r="AA403" s="2554"/>
      <c r="AB403" s="2554"/>
      <c r="AC403" s="2554"/>
      <c r="AD403" s="2554"/>
      <c r="AE403" s="2554"/>
      <c r="AF403" s="2554"/>
      <c r="AG403" s="2554"/>
      <c r="AH403" s="2554"/>
      <c r="AI403" s="2554"/>
      <c r="AJ403" s="255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5" t="s">
        <v>1348</v>
      </c>
      <c r="T404" s="2595"/>
      <c r="U404" s="2595"/>
      <c r="V404" s="2595"/>
      <c r="W404" s="2595"/>
      <c r="X404" s="2595"/>
      <c r="Y404" s="2595"/>
      <c r="Z404" s="2595"/>
      <c r="AA404" s="2595"/>
      <c r="AB404" s="2595"/>
      <c r="AC404" s="2595"/>
      <c r="AD404" s="2595"/>
      <c r="AE404" s="2595"/>
      <c r="AF404" s="2595"/>
      <c r="AG404" s="2595"/>
      <c r="AH404" s="2595"/>
      <c r="AI404" s="2595"/>
      <c r="AJ404" s="2595"/>
      <c r="AK404" s="39"/>
      <c r="AL404" s="39"/>
      <c r="AM404" s="39"/>
      <c r="AN404" s="39"/>
      <c r="AO404" s="39"/>
      <c r="AP404" s="39"/>
      <c r="AQ404" s="39"/>
      <c r="AR404" s="39"/>
      <c r="AS404" s="39"/>
      <c r="AT404" s="39"/>
      <c r="AU404" s="39"/>
      <c r="AV404" s="39"/>
      <c r="AW404" s="39"/>
      <c r="AX404" s="39"/>
      <c r="AY404" s="39"/>
      <c r="CR404" s="25"/>
    </row>
    <row r="405" spans="1:96" s="711" customFormat="1" ht="12.75">
      <c r="D405" s="2555" t="s">
        <v>1873</v>
      </c>
      <c r="E405" s="2555"/>
      <c r="F405" s="2555"/>
      <c r="G405" s="2555"/>
      <c r="H405" s="2555"/>
      <c r="I405" s="2555"/>
      <c r="J405" s="2555"/>
      <c r="K405" s="2555"/>
      <c r="L405" s="2555"/>
      <c r="M405" s="2555"/>
      <c r="N405" s="2555"/>
      <c r="O405" s="2555"/>
      <c r="P405" s="2555"/>
      <c r="Q405" s="2555"/>
      <c r="R405" s="2555"/>
      <c r="S405" s="2555"/>
      <c r="T405" s="2555"/>
      <c r="U405" s="2555"/>
      <c r="V405" s="2555"/>
      <c r="W405" s="2555"/>
      <c r="X405" s="2555"/>
      <c r="Y405" s="2555"/>
      <c r="Z405" s="2555"/>
      <c r="AA405" s="2555"/>
      <c r="AB405" s="2555"/>
      <c r="AC405" s="2555"/>
      <c r="AD405" s="2555"/>
      <c r="AE405" s="2555"/>
      <c r="AF405" s="2555"/>
      <c r="AG405" s="2555"/>
      <c r="AH405" s="2555"/>
      <c r="AI405" s="2555"/>
      <c r="AJ405" s="2555"/>
      <c r="AK405" s="39"/>
      <c r="AL405" s="39"/>
      <c r="AM405" s="39"/>
      <c r="AN405" s="39"/>
      <c r="AO405" s="39"/>
      <c r="AP405" s="39"/>
      <c r="AQ405" s="39"/>
      <c r="AR405" s="39"/>
      <c r="AS405" s="39"/>
      <c r="AT405" s="39"/>
      <c r="AU405" s="39"/>
      <c r="AV405" s="39"/>
      <c r="AW405" s="39"/>
      <c r="AX405" s="39"/>
      <c r="AY405" s="39"/>
      <c r="CR405" s="25"/>
    </row>
    <row r="406" spans="1:96" s="711" customFormat="1" ht="12.75">
      <c r="D406" s="2555"/>
      <c r="E406" s="2555"/>
      <c r="F406" s="2555"/>
      <c r="G406" s="2555"/>
      <c r="H406" s="2555"/>
      <c r="I406" s="2555"/>
      <c r="J406" s="2555"/>
      <c r="K406" s="2555"/>
      <c r="L406" s="2555"/>
      <c r="M406" s="2555"/>
      <c r="N406" s="2555"/>
      <c r="O406" s="2555"/>
      <c r="P406" s="2555"/>
      <c r="Q406" s="2555"/>
      <c r="R406" s="2555"/>
      <c r="S406" s="2555"/>
      <c r="T406" s="2555"/>
      <c r="U406" s="2555"/>
      <c r="V406" s="2555"/>
      <c r="W406" s="2555"/>
      <c r="X406" s="2555"/>
      <c r="Y406" s="2555"/>
      <c r="Z406" s="2555"/>
      <c r="AA406" s="2555"/>
      <c r="AB406" s="2555"/>
      <c r="AC406" s="2555"/>
      <c r="AD406" s="2555"/>
      <c r="AE406" s="2555"/>
      <c r="AF406" s="2555"/>
      <c r="AG406" s="2555"/>
      <c r="AH406" s="2555"/>
      <c r="AI406" s="2555"/>
      <c r="AJ406" s="2555"/>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66" t="s">
        <v>2756</v>
      </c>
      <c r="J409" s="2366"/>
      <c r="K409" s="2366"/>
      <c r="L409" s="2366"/>
      <c r="M409" s="2366"/>
      <c r="N409" s="2366"/>
      <c r="O409" s="2366"/>
      <c r="P409" s="2366"/>
      <c r="Q409" s="2366"/>
      <c r="R409" s="2366"/>
      <c r="S409" s="2366"/>
      <c r="T409" s="2366"/>
      <c r="U409" s="2366"/>
      <c r="V409" s="2366"/>
      <c r="W409" s="2366"/>
      <c r="X409" s="2366"/>
      <c r="Y409" s="2366"/>
      <c r="Z409" s="2366"/>
      <c r="AA409" s="2366"/>
      <c r="AB409" s="2366"/>
      <c r="AC409" s="2366"/>
      <c r="AD409" s="2366"/>
      <c r="AE409" s="2366"/>
    </row>
    <row r="410" spans="1:96" ht="12.75" customHeight="1">
      <c r="C410" s="25"/>
      <c r="D410" s="25"/>
      <c r="E410" s="12" t="s">
        <v>111</v>
      </c>
      <c r="F410" s="25"/>
      <c r="G410" s="25"/>
      <c r="H410" s="25"/>
      <c r="I410" s="25"/>
      <c r="J410" s="25"/>
      <c r="K410" s="25"/>
      <c r="L410" s="25"/>
      <c r="M410" s="25"/>
      <c r="N410" s="25"/>
      <c r="O410" s="25"/>
      <c r="P410" s="711"/>
      <c r="Q410" s="711"/>
      <c r="R410" s="2099" t="s">
        <v>570</v>
      </c>
      <c r="S410" s="2099"/>
      <c r="T410" s="12" t="s">
        <v>595</v>
      </c>
      <c r="U410" s="711"/>
      <c r="V410" s="711"/>
      <c r="W410" s="711"/>
      <c r="X410" s="711"/>
      <c r="Y410" s="711"/>
      <c r="Z410" s="711"/>
      <c r="AA410" s="711"/>
      <c r="AB410" s="711"/>
      <c r="AC410" s="711"/>
      <c r="AD410" s="2432">
        <v>4</v>
      </c>
      <c r="AE410" s="2432"/>
      <c r="AF410" s="711"/>
    </row>
    <row r="411" spans="1:96" ht="12.75">
      <c r="C411" s="25"/>
      <c r="E411" s="12" t="s">
        <v>112</v>
      </c>
      <c r="F411" s="711"/>
      <c r="G411" s="711"/>
      <c r="H411" s="711"/>
      <c r="I411" s="711"/>
      <c r="J411" s="711"/>
      <c r="K411" s="711"/>
      <c r="L411" s="711"/>
      <c r="M411" s="711"/>
      <c r="N411" s="25"/>
      <c r="O411" s="25"/>
      <c r="P411" s="711"/>
      <c r="Q411" s="711"/>
      <c r="R411" s="2099" t="s">
        <v>617</v>
      </c>
      <c r="S411" s="2099"/>
      <c r="T411" s="12" t="s">
        <v>595</v>
      </c>
      <c r="U411" s="711"/>
      <c r="V411" s="711"/>
      <c r="W411" s="711"/>
      <c r="X411" s="711"/>
      <c r="Y411" s="711"/>
      <c r="Z411" s="711"/>
      <c r="AA411" s="711"/>
      <c r="AB411" s="711"/>
      <c r="AC411" s="711"/>
      <c r="AD411" s="2432">
        <v>0</v>
      </c>
      <c r="AE411" s="2432"/>
      <c r="AF411" s="711"/>
    </row>
    <row r="412" spans="1:96" ht="12.75" customHeight="1">
      <c r="C412" s="25"/>
      <c r="E412" s="12" t="s">
        <v>113</v>
      </c>
      <c r="F412" s="711"/>
      <c r="G412" s="711"/>
      <c r="H412" s="711"/>
      <c r="I412" s="711"/>
      <c r="J412" s="711"/>
      <c r="K412" s="711"/>
      <c r="L412" s="711"/>
      <c r="M412" s="711"/>
      <c r="N412" s="25"/>
      <c r="O412" s="25"/>
      <c r="P412" s="711"/>
      <c r="Q412" s="711"/>
      <c r="R412" s="711"/>
      <c r="S412" s="2099" t="s">
        <v>617</v>
      </c>
      <c r="T412" s="2099"/>
      <c r="U412" s="711"/>
      <c r="V412" s="711"/>
      <c r="W412" s="711"/>
      <c r="X412" s="711"/>
      <c r="Y412" s="711"/>
      <c r="Z412" s="711"/>
      <c r="AA412" s="711"/>
      <c r="AB412" s="711"/>
      <c r="AC412" s="711"/>
      <c r="AD412" s="711"/>
      <c r="AE412" s="711"/>
      <c r="AF412" s="711"/>
    </row>
    <row r="413" spans="1:96" ht="12.75" customHeight="1">
      <c r="E413" s="12" t="s">
        <v>174</v>
      </c>
      <c r="F413" s="711"/>
      <c r="G413" s="711"/>
      <c r="H413" s="2602" t="s">
        <v>339</v>
      </c>
      <c r="I413" s="2602"/>
      <c r="J413" s="2602"/>
      <c r="K413" s="2602"/>
      <c r="L413" s="2602"/>
      <c r="M413" s="2602"/>
      <c r="N413" s="2602"/>
      <c r="O413" s="2602"/>
      <c r="P413" s="2602"/>
      <c r="Q413" s="2602"/>
      <c r="R413" s="2602"/>
      <c r="S413" s="2602"/>
      <c r="T413" s="2602"/>
      <c r="U413" s="2602"/>
      <c r="V413" s="2602"/>
      <c r="W413" s="2602"/>
      <c r="X413" s="2602"/>
      <c r="Y413" s="2602"/>
      <c r="Z413" s="2602"/>
      <c r="AA413" s="2602"/>
      <c r="AB413" s="2602"/>
      <c r="AC413" s="2602"/>
      <c r="AD413" s="2602"/>
      <c r="AE413" s="2602"/>
      <c r="AF413" s="711"/>
    </row>
    <row r="414" spans="1:96" ht="12.75" customHeight="1">
      <c r="E414" s="25"/>
      <c r="F414" s="711"/>
      <c r="G414" s="711"/>
      <c r="H414" s="2603"/>
      <c r="I414" s="2603"/>
      <c r="J414" s="2603"/>
      <c r="K414" s="2603"/>
      <c r="L414" s="2603"/>
      <c r="M414" s="2603"/>
      <c r="N414" s="2603"/>
      <c r="O414" s="2603"/>
      <c r="P414" s="2603"/>
      <c r="Q414" s="2603"/>
      <c r="R414" s="2603"/>
      <c r="S414" s="2603"/>
      <c r="T414" s="2603"/>
      <c r="U414" s="2603"/>
      <c r="V414" s="2603"/>
      <c r="W414" s="2603"/>
      <c r="X414" s="2603"/>
      <c r="Y414" s="2603"/>
      <c r="Z414" s="2603"/>
      <c r="AA414" s="2603"/>
      <c r="AB414" s="2603"/>
      <c r="AC414" s="2603"/>
      <c r="AD414" s="2603"/>
      <c r="AE414" s="2603"/>
      <c r="AF414" s="711"/>
    </row>
    <row r="415" spans="1:96" ht="12.75" customHeight="1"/>
    <row r="416" spans="1:96" ht="12.75" customHeight="1">
      <c r="A416" s="50" t="s">
        <v>616</v>
      </c>
      <c r="B416" s="50"/>
      <c r="C416" s="50"/>
      <c r="D416" s="50" t="s">
        <v>119</v>
      </c>
      <c r="AF416" s="50" t="s">
        <v>1016</v>
      </c>
    </row>
    <row r="417" spans="1:96" ht="12.75" customHeight="1">
      <c r="E417" s="2430"/>
      <c r="F417" s="2430"/>
      <c r="G417" s="2430"/>
      <c r="H417" s="23" t="s">
        <v>120</v>
      </c>
      <c r="I417" s="2430"/>
      <c r="J417" s="2430"/>
      <c r="K417" s="2430"/>
      <c r="L417" s="12" t="s">
        <v>121</v>
      </c>
      <c r="N417" s="141" t="s">
        <v>601</v>
      </c>
      <c r="P417" s="2511">
        <v>0.49</v>
      </c>
      <c r="Q417" s="2511"/>
      <c r="R417" s="2511"/>
      <c r="S417" s="12" t="s">
        <v>122</v>
      </c>
      <c r="W417" s="2605">
        <f>IF(E417&gt;0,(E417*I417),(P417*43560))</f>
        <v>21344.399999999998</v>
      </c>
      <c r="X417" s="2605"/>
      <c r="Y417" s="2605"/>
      <c r="Z417" s="12" t="s">
        <v>123</v>
      </c>
      <c r="AF417" s="2551">
        <f>IF(P417&gt;0,(AG436/P417),(AG436/(W417/43560)))</f>
        <v>97.959183673469383</v>
      </c>
      <c r="AG417" s="2551"/>
      <c r="AH417" s="2551"/>
      <c r="AM417" s="239"/>
    </row>
    <row r="418" spans="1:96" ht="12.75">
      <c r="E418" s="12" t="s">
        <v>54</v>
      </c>
    </row>
    <row r="419" spans="1:96" ht="12.75" customHeight="1">
      <c r="E419" s="2562"/>
      <c r="F419" s="2562"/>
      <c r="G419" s="2562"/>
      <c r="H419" s="2562"/>
      <c r="I419" s="2562"/>
      <c r="J419" s="2562"/>
      <c r="K419" s="2562"/>
      <c r="L419" s="2562"/>
      <c r="M419" s="2562"/>
      <c r="N419" s="2562"/>
      <c r="O419" s="2562"/>
      <c r="P419" s="2562"/>
      <c r="Q419" s="2562"/>
      <c r="R419" s="2562"/>
      <c r="S419" s="2562"/>
      <c r="T419" s="2562"/>
      <c r="U419" s="2562"/>
      <c r="V419" s="2562"/>
      <c r="W419" s="2562"/>
      <c r="X419" s="2562"/>
      <c r="Y419" s="2562"/>
      <c r="Z419" s="2562"/>
      <c r="AA419" s="2562"/>
      <c r="AB419" s="2562"/>
      <c r="AC419" s="2562"/>
      <c r="AD419" s="2562"/>
      <c r="AE419" s="2562"/>
      <c r="AF419" s="2562"/>
      <c r="AG419" s="2562"/>
      <c r="AH419" s="2562"/>
      <c r="AI419" s="2562"/>
      <c r="AJ419" s="2562"/>
    </row>
    <row r="420" spans="1:96" s="39" customFormat="1" ht="12.75" customHeight="1">
      <c r="E420" s="254" t="s">
        <v>2051</v>
      </c>
      <c r="F420" s="1651"/>
      <c r="G420" s="1651"/>
      <c r="H420" s="1651"/>
      <c r="I420" s="2425">
        <v>0.49</v>
      </c>
      <c r="J420" s="2425"/>
      <c r="K420" s="2425"/>
      <c r="L420" s="1651"/>
      <c r="M420" s="254"/>
      <c r="N420" s="1651"/>
      <c r="O420" s="1651"/>
      <c r="P420" s="2378">
        <f>(CS637+CS645+CS661)/I420</f>
        <v>100</v>
      </c>
      <c r="Q420" s="2378"/>
      <c r="R420" s="2378"/>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99">
        <v>1</v>
      </c>
      <c r="Q423" s="2099"/>
      <c r="S423" s="12" t="s">
        <v>194</v>
      </c>
      <c r="AE423" s="2099">
        <v>1</v>
      </c>
      <c r="AF423" s="2099"/>
    </row>
    <row r="424" spans="1:96" ht="12.75">
      <c r="E424" s="12" t="s">
        <v>195</v>
      </c>
      <c r="P424" s="2099">
        <v>0</v>
      </c>
      <c r="Q424" s="2099"/>
      <c r="S424" s="12" t="s">
        <v>136</v>
      </c>
      <c r="AE424" s="2099" t="s">
        <v>617</v>
      </c>
      <c r="AF424" s="2099"/>
    </row>
    <row r="425" spans="1:96" ht="12.75">
      <c r="F425" s="67" t="s">
        <v>137</v>
      </c>
    </row>
    <row r="426" spans="1:96" ht="12.75">
      <c r="F426" s="2540"/>
      <c r="G426" s="2540"/>
      <c r="H426" s="2540"/>
      <c r="I426" s="2540"/>
      <c r="J426" s="2540"/>
      <c r="K426" s="2540"/>
      <c r="L426" s="2540"/>
      <c r="M426" s="2540"/>
      <c r="N426" s="2540"/>
      <c r="O426" s="2540"/>
      <c r="P426" s="2540"/>
      <c r="Q426" s="2540"/>
      <c r="R426" s="2540"/>
      <c r="S426" s="2540"/>
      <c r="T426" s="2540"/>
      <c r="U426" s="2540"/>
      <c r="V426" s="2540"/>
      <c r="W426" s="2540"/>
      <c r="X426" s="2540"/>
      <c r="Y426" s="2540"/>
      <c r="Z426" s="2540"/>
      <c r="AA426" s="2540"/>
      <c r="AB426" s="2540"/>
      <c r="AC426" s="2540"/>
      <c r="AD426" s="2540"/>
      <c r="AE426" s="2540"/>
      <c r="AF426" s="2540"/>
      <c r="AG426" s="2540"/>
      <c r="AH426" s="2540"/>
    </row>
    <row r="427" spans="1:96" ht="12.75" customHeight="1">
      <c r="F427" s="2541"/>
      <c r="G427" s="2541"/>
      <c r="H427" s="2541"/>
      <c r="I427" s="2541"/>
      <c r="J427" s="2541"/>
      <c r="K427" s="2541"/>
      <c r="L427" s="2541"/>
      <c r="M427" s="2541"/>
      <c r="N427" s="2541"/>
      <c r="O427" s="2541"/>
      <c r="P427" s="2541"/>
      <c r="Q427" s="2541"/>
      <c r="R427" s="2541"/>
      <c r="S427" s="2541"/>
      <c r="T427" s="2541"/>
      <c r="U427" s="2541"/>
      <c r="V427" s="2541"/>
      <c r="W427" s="2541"/>
      <c r="X427" s="2541"/>
      <c r="Y427" s="2541"/>
      <c r="Z427" s="2541"/>
      <c r="AA427" s="2541"/>
      <c r="AB427" s="2541"/>
      <c r="AC427" s="2541"/>
      <c r="AD427" s="2541"/>
      <c r="AE427" s="2541"/>
      <c r="AF427" s="2541"/>
      <c r="AG427" s="2541"/>
      <c r="AH427" s="2541"/>
    </row>
    <row r="428" spans="1:96" ht="12.75" customHeight="1">
      <c r="E428" s="12" t="s">
        <v>634</v>
      </c>
      <c r="N428" s="39"/>
      <c r="O428" s="39"/>
      <c r="P428" s="235"/>
      <c r="Q428" s="2099" t="s">
        <v>695</v>
      </c>
      <c r="R428" s="2099"/>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99" t="s">
        <v>617</v>
      </c>
      <c r="AG429" s="2610"/>
    </row>
    <row r="430" spans="1:96" ht="12.75" customHeight="1">
      <c r="S430" s="25"/>
      <c r="T430" s="25"/>
    </row>
    <row r="431" spans="1:96" ht="12.75" customHeight="1">
      <c r="A431" s="50"/>
      <c r="B431" s="50"/>
      <c r="C431" s="50"/>
      <c r="E431" s="7" t="s">
        <v>313</v>
      </c>
      <c r="Z431" s="2099" t="s">
        <v>695</v>
      </c>
      <c r="AA431" s="20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99" t="s">
        <v>617</v>
      </c>
      <c r="AA433" s="2099"/>
    </row>
    <row r="434" spans="1:110" ht="12.75" customHeight="1"/>
    <row r="435" spans="1:110" ht="12.75" customHeight="1">
      <c r="A435" s="50" t="s">
        <v>492</v>
      </c>
      <c r="B435" s="50"/>
      <c r="C435" s="50"/>
      <c r="D435" s="50" t="s">
        <v>806</v>
      </c>
      <c r="AF435" s="80"/>
    </row>
    <row r="436" spans="1:110" ht="12.75" customHeight="1">
      <c r="D436" s="2349" t="s">
        <v>46</v>
      </c>
      <c r="E436" s="2350"/>
      <c r="F436" s="2350"/>
      <c r="G436" s="2350"/>
      <c r="H436" s="2350"/>
      <c r="I436" s="2350"/>
      <c r="J436" s="2350"/>
      <c r="K436" s="2350"/>
      <c r="L436" s="2350"/>
      <c r="M436" s="2350"/>
      <c r="N436" s="2350"/>
      <c r="O436" s="2350"/>
      <c r="P436" s="2350"/>
      <c r="Q436" s="2350"/>
      <c r="R436" s="2350"/>
      <c r="S436" s="2350"/>
      <c r="T436" s="2350"/>
      <c r="U436" s="2350"/>
      <c r="V436" s="2350"/>
      <c r="W436" s="2350"/>
      <c r="X436" s="2350"/>
      <c r="Y436" s="2350"/>
      <c r="Z436" s="2350"/>
      <c r="AA436" s="2350"/>
      <c r="AB436" s="2350"/>
      <c r="AC436" s="2350"/>
      <c r="AD436" s="2350"/>
      <c r="AE436" s="2350"/>
      <c r="AF436" s="2591"/>
      <c r="AG436" s="2053">
        <v>48</v>
      </c>
      <c r="AH436" s="2054"/>
      <c r="AI436" s="2054"/>
      <c r="AJ436" s="2055"/>
    </row>
    <row r="437" spans="1:110" ht="12.75" customHeight="1">
      <c r="D437" s="2056" t="s">
        <v>1391</v>
      </c>
      <c r="E437" s="2057"/>
      <c r="F437" s="2057"/>
      <c r="G437" s="2057"/>
      <c r="H437" s="2057"/>
      <c r="I437" s="2057"/>
      <c r="J437" s="2057"/>
      <c r="K437" s="2057"/>
      <c r="L437" s="2057"/>
      <c r="M437" s="2057"/>
      <c r="N437" s="2057"/>
      <c r="O437" s="2057"/>
      <c r="P437" s="2057"/>
      <c r="Q437" s="2057"/>
      <c r="R437" s="2057"/>
      <c r="S437" s="2057"/>
      <c r="T437" s="2057"/>
      <c r="U437" s="2057"/>
      <c r="V437" s="2057"/>
      <c r="W437" s="2057"/>
      <c r="X437" s="2057"/>
      <c r="Y437" s="2057"/>
      <c r="Z437" s="2057"/>
      <c r="AA437" s="2057"/>
      <c r="AB437" s="2057"/>
      <c r="AC437" s="2057"/>
      <c r="AD437" s="2057"/>
      <c r="AE437" s="2057"/>
      <c r="AF437" s="2058"/>
      <c r="AG437" s="2422"/>
      <c r="AH437" s="2423"/>
      <c r="AI437" s="2423"/>
      <c r="AJ437" s="2424"/>
    </row>
    <row r="438" spans="1:110" ht="12.75" customHeight="1">
      <c r="D438" s="2056" t="s">
        <v>1113</v>
      </c>
      <c r="E438" s="205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2057"/>
      <c r="AA438" s="2057"/>
      <c r="AB438" s="2057"/>
      <c r="AC438" s="2057"/>
      <c r="AD438" s="2057"/>
      <c r="AE438" s="2057"/>
      <c r="AF438" s="2058"/>
      <c r="AG438" s="2053">
        <v>47</v>
      </c>
      <c r="AH438" s="2054"/>
      <c r="AI438" s="2054"/>
      <c r="AJ438" s="2055"/>
    </row>
    <row r="439" spans="1:110" ht="12.75" customHeight="1">
      <c r="D439" s="2056" t="s">
        <v>1114</v>
      </c>
      <c r="E439" s="2057"/>
      <c r="F439" s="2057"/>
      <c r="G439" s="2057"/>
      <c r="H439" s="2057"/>
      <c r="I439" s="2057"/>
      <c r="J439" s="2057"/>
      <c r="K439" s="2057"/>
      <c r="L439" s="2057"/>
      <c r="M439" s="2057"/>
      <c r="N439" s="2057"/>
      <c r="O439" s="2057"/>
      <c r="P439" s="2057"/>
      <c r="Q439" s="2057"/>
      <c r="R439" s="2057"/>
      <c r="S439" s="2057"/>
      <c r="T439" s="2057"/>
      <c r="U439" s="2057"/>
      <c r="V439" s="2057"/>
      <c r="W439" s="2057"/>
      <c r="X439" s="2057"/>
      <c r="Y439" s="2057"/>
      <c r="Z439" s="2057"/>
      <c r="AA439" s="2057"/>
      <c r="AB439" s="2057"/>
      <c r="AC439" s="2057"/>
      <c r="AD439" s="2057"/>
      <c r="AE439" s="2057"/>
      <c r="AF439" s="2058"/>
      <c r="AG439" s="2053">
        <v>47</v>
      </c>
      <c r="AH439" s="2054"/>
      <c r="AI439" s="2054"/>
      <c r="AJ439" s="2055"/>
    </row>
    <row r="440" spans="1:110" ht="12.75" customHeight="1">
      <c r="D440" s="2056" t="s">
        <v>1116</v>
      </c>
      <c r="E440" s="2057"/>
      <c r="F440" s="2057"/>
      <c r="G440" s="2057"/>
      <c r="H440" s="2057"/>
      <c r="I440" s="2057"/>
      <c r="J440" s="2057"/>
      <c r="K440" s="2057"/>
      <c r="L440" s="2057"/>
      <c r="M440" s="2057"/>
      <c r="N440" s="2057"/>
      <c r="O440" s="2057"/>
      <c r="P440" s="2057"/>
      <c r="Q440" s="2057"/>
      <c r="R440" s="2057"/>
      <c r="S440" s="2057"/>
      <c r="T440" s="2057"/>
      <c r="U440" s="2057"/>
      <c r="V440" s="2057"/>
      <c r="W440" s="2057"/>
      <c r="X440" s="2057"/>
      <c r="Y440" s="2057"/>
      <c r="Z440" s="2057"/>
      <c r="AA440" s="2057"/>
      <c r="AB440" s="2057"/>
      <c r="AC440" s="2057"/>
      <c r="AD440" s="2057"/>
      <c r="AE440" s="2057"/>
      <c r="AF440" s="2058"/>
      <c r="AG440" s="2077">
        <f>IF(ISERROR(AG439/AG438),"",AG439/AG438)</f>
        <v>1</v>
      </c>
      <c r="AH440" s="2077"/>
      <c r="AI440" s="2077"/>
      <c r="AJ440" s="2077"/>
    </row>
    <row r="441" spans="1:110" ht="12.75" customHeight="1">
      <c r="D441" s="2056" t="s">
        <v>1115</v>
      </c>
      <c r="E441" s="2057"/>
      <c r="F441" s="2057"/>
      <c r="G441" s="2057"/>
      <c r="H441" s="2057"/>
      <c r="I441" s="2057"/>
      <c r="J441" s="2057"/>
      <c r="K441" s="2057"/>
      <c r="L441" s="2057"/>
      <c r="M441" s="2057"/>
      <c r="N441" s="2057"/>
      <c r="O441" s="2057"/>
      <c r="P441" s="2057"/>
      <c r="Q441" s="2057"/>
      <c r="R441" s="2057"/>
      <c r="S441" s="2057"/>
      <c r="T441" s="2057"/>
      <c r="U441" s="2057"/>
      <c r="V441" s="2057"/>
      <c r="W441" s="2057"/>
      <c r="X441" s="2057"/>
      <c r="Y441" s="2057"/>
      <c r="Z441" s="2057"/>
      <c r="AA441" s="2057"/>
      <c r="AB441" s="2057"/>
      <c r="AC441" s="2057"/>
      <c r="AD441" s="2057"/>
      <c r="AE441" s="2057"/>
      <c r="AF441" s="2058"/>
      <c r="AG441" s="2076">
        <v>23571</v>
      </c>
      <c r="AH441" s="2076"/>
      <c r="AI441" s="2076"/>
      <c r="AJ441" s="2076"/>
    </row>
    <row r="442" spans="1:110" ht="12.75" customHeight="1">
      <c r="D442" s="2056" t="s">
        <v>1117</v>
      </c>
      <c r="E442" s="2057"/>
      <c r="F442" s="2057"/>
      <c r="G442" s="2057"/>
      <c r="H442" s="2057"/>
      <c r="I442" s="2057"/>
      <c r="J442" s="2057"/>
      <c r="K442" s="2057"/>
      <c r="L442" s="2057"/>
      <c r="M442" s="2057"/>
      <c r="N442" s="2057"/>
      <c r="O442" s="2057"/>
      <c r="P442" s="2057"/>
      <c r="Q442" s="2057"/>
      <c r="R442" s="2057"/>
      <c r="S442" s="2057"/>
      <c r="T442" s="2057"/>
      <c r="U442" s="2057"/>
      <c r="V442" s="2057"/>
      <c r="W442" s="2057"/>
      <c r="X442" s="2057"/>
      <c r="Y442" s="2057"/>
      <c r="Z442" s="2057"/>
      <c r="AA442" s="2057"/>
      <c r="AB442" s="2057"/>
      <c r="AC442" s="2057"/>
      <c r="AD442" s="2057"/>
      <c r="AE442" s="2057"/>
      <c r="AF442" s="2058"/>
      <c r="AG442" s="2076">
        <v>23571</v>
      </c>
      <c r="AH442" s="2076"/>
      <c r="AI442" s="2076"/>
      <c r="AJ442" s="2076"/>
    </row>
    <row r="443" spans="1:110" ht="12.75" customHeight="1">
      <c r="D443" s="2056" t="s">
        <v>1118</v>
      </c>
      <c r="E443" s="2057"/>
      <c r="F443" s="2057"/>
      <c r="G443" s="2057"/>
      <c r="H443" s="2057"/>
      <c r="I443" s="2057"/>
      <c r="J443" s="2057"/>
      <c r="K443" s="2057"/>
      <c r="L443" s="2057"/>
      <c r="M443" s="2057"/>
      <c r="N443" s="2057"/>
      <c r="O443" s="2057"/>
      <c r="P443" s="2057"/>
      <c r="Q443" s="2057"/>
      <c r="R443" s="2057"/>
      <c r="S443" s="2057"/>
      <c r="T443" s="2057"/>
      <c r="U443" s="2057"/>
      <c r="V443" s="2057"/>
      <c r="W443" s="2057"/>
      <c r="X443" s="2057"/>
      <c r="Y443" s="2057"/>
      <c r="Z443" s="2057"/>
      <c r="AA443" s="2057"/>
      <c r="AB443" s="2057"/>
      <c r="AC443" s="2057"/>
      <c r="AD443" s="2057"/>
      <c r="AE443" s="2057"/>
      <c r="AF443" s="2058"/>
      <c r="AG443" s="2077">
        <f>IF(ISERROR(AG442/AG441),"",AG442/AG441)</f>
        <v>1</v>
      </c>
      <c r="AH443" s="2077"/>
      <c r="AI443" s="2077"/>
      <c r="AJ443" s="2077"/>
    </row>
    <row r="444" spans="1:110" ht="12.75" customHeight="1">
      <c r="D444" s="2056" t="s">
        <v>1119</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8"/>
      <c r="AG444" s="2077">
        <f>MIN(IF(AG440&gt;AG443,AG443,AG440),1)</f>
        <v>1</v>
      </c>
      <c r="AH444" s="2077"/>
      <c r="AI444" s="2077"/>
      <c r="AJ444" s="2077"/>
    </row>
    <row r="445" spans="1:110" ht="12.75" customHeight="1">
      <c r="D445" s="2056" t="s">
        <v>2585</v>
      </c>
      <c r="E445" s="2350"/>
      <c r="F445" s="2350"/>
      <c r="G445" s="2350"/>
      <c r="H445" s="2350"/>
      <c r="I445" s="2350"/>
      <c r="J445" s="2350"/>
      <c r="K445" s="2350"/>
      <c r="L445" s="2350"/>
      <c r="M445" s="2350"/>
      <c r="N445" s="2350"/>
      <c r="O445" s="2350"/>
      <c r="P445" s="2350"/>
      <c r="Q445" s="2350"/>
      <c r="R445" s="2350"/>
      <c r="S445" s="2350"/>
      <c r="T445" s="2350"/>
      <c r="U445" s="2350"/>
      <c r="V445" s="2350"/>
      <c r="W445" s="2350"/>
      <c r="X445" s="2350"/>
      <c r="Y445" s="2350"/>
      <c r="Z445" s="2350"/>
      <c r="AA445" s="2350"/>
      <c r="AB445" s="2350"/>
      <c r="AC445" s="2350"/>
      <c r="AD445" s="2350"/>
      <c r="AE445" s="2350"/>
      <c r="AF445" s="2591"/>
      <c r="AG445" s="2076">
        <v>1736</v>
      </c>
      <c r="AH445" s="2076"/>
      <c r="AI445" s="2076"/>
      <c r="AJ445" s="2076"/>
    </row>
    <row r="446" spans="1:110" ht="12.75" customHeight="1">
      <c r="D446" s="2349" t="s">
        <v>594</v>
      </c>
      <c r="E446" s="2350"/>
      <c r="F446" s="2350"/>
      <c r="G446" s="2350"/>
      <c r="H446" s="2350"/>
      <c r="I446" s="2350"/>
      <c r="J446" s="2350"/>
      <c r="K446" s="2350"/>
      <c r="L446" s="2350"/>
      <c r="M446" s="2350"/>
      <c r="N446" s="2350"/>
      <c r="O446" s="2350"/>
      <c r="P446" s="2350"/>
      <c r="Q446" s="2350"/>
      <c r="R446" s="2350"/>
      <c r="S446" s="2350"/>
      <c r="T446" s="2350"/>
      <c r="U446" s="2350"/>
      <c r="V446" s="2350"/>
      <c r="W446" s="2350"/>
      <c r="X446" s="2350"/>
      <c r="Y446" s="2350"/>
      <c r="Z446" s="2350"/>
      <c r="AA446" s="2350"/>
      <c r="AB446" s="2350"/>
      <c r="AC446" s="2350"/>
      <c r="AD446" s="2350"/>
      <c r="AE446" s="2350"/>
      <c r="AF446" s="2591"/>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6" t="s">
        <v>1369</v>
      </c>
      <c r="E447" s="2350"/>
      <c r="F447" s="2350"/>
      <c r="G447" s="2350"/>
      <c r="H447" s="2350"/>
      <c r="I447" s="2350"/>
      <c r="J447" s="2350"/>
      <c r="K447" s="2350"/>
      <c r="L447" s="2350"/>
      <c r="M447" s="2350"/>
      <c r="N447" s="2350"/>
      <c r="O447" s="2350"/>
      <c r="P447" s="2350"/>
      <c r="Q447" s="2350"/>
      <c r="R447" s="2350"/>
      <c r="S447" s="2350"/>
      <c r="T447" s="2350"/>
      <c r="U447" s="2350"/>
      <c r="V447" s="2350"/>
      <c r="W447" s="2350"/>
      <c r="X447" s="2350"/>
      <c r="Y447" s="2350"/>
      <c r="Z447" s="2350"/>
      <c r="AA447" s="2350"/>
      <c r="AB447" s="2350"/>
      <c r="AC447" s="2350"/>
      <c r="AD447" s="2350"/>
      <c r="AE447" s="2350"/>
      <c r="AF447" s="2591"/>
      <c r="AG447" s="2076">
        <v>10264</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6" t="s">
        <v>1120</v>
      </c>
      <c r="E448" s="2350"/>
      <c r="F448" s="2350"/>
      <c r="G448" s="2350"/>
      <c r="H448" s="2350"/>
      <c r="I448" s="2350"/>
      <c r="J448" s="2350"/>
      <c r="K448" s="2350"/>
      <c r="L448" s="2350"/>
      <c r="M448" s="2350"/>
      <c r="N448" s="2350"/>
      <c r="O448" s="2350"/>
      <c r="P448" s="2350"/>
      <c r="Q448" s="2350"/>
      <c r="R448" s="2350"/>
      <c r="S448" s="2350"/>
      <c r="T448" s="2350"/>
      <c r="U448" s="2350"/>
      <c r="V448" s="2350"/>
      <c r="W448" s="2350"/>
      <c r="X448" s="2350"/>
      <c r="Y448" s="2350"/>
      <c r="Z448" s="2350"/>
      <c r="AA448" s="2350"/>
      <c r="AB448" s="2350"/>
      <c r="AC448" s="2350"/>
      <c r="AD448" s="2350"/>
      <c r="AE448" s="2350"/>
      <c r="AF448" s="2591"/>
      <c r="AG448" s="2076">
        <v>15275</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56" t="s">
        <v>1121</v>
      </c>
      <c r="E449" s="2557"/>
      <c r="F449" s="2557"/>
      <c r="G449" s="2557"/>
      <c r="H449" s="2557"/>
      <c r="I449" s="2557"/>
      <c r="J449" s="2557"/>
      <c r="K449" s="2557"/>
      <c r="L449" s="2557"/>
      <c r="M449" s="2557"/>
      <c r="N449" s="2557"/>
      <c r="O449" s="2557"/>
      <c r="P449" s="2557"/>
      <c r="Q449" s="2557"/>
      <c r="R449" s="2557"/>
      <c r="S449" s="2557"/>
      <c r="T449" s="2557"/>
      <c r="U449" s="2557"/>
      <c r="V449" s="2557"/>
      <c r="W449" s="2557"/>
      <c r="X449" s="2557"/>
      <c r="Y449" s="2557"/>
      <c r="Z449" s="2557"/>
      <c r="AA449" s="2557"/>
      <c r="AB449" s="2557"/>
      <c r="AC449" s="2557"/>
      <c r="AD449" s="2557"/>
      <c r="AE449" s="2557"/>
      <c r="AF449" s="2558"/>
      <c r="AG449" s="2601">
        <f>AG441+AG445+AG447+AG448</f>
        <v>50846</v>
      </c>
      <c r="AH449" s="2601"/>
      <c r="AI449" s="2601"/>
      <c r="AJ449" s="26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9" t="s">
        <v>1370</v>
      </c>
      <c r="E450" s="2559"/>
      <c r="F450" s="2559"/>
      <c r="G450" s="2559"/>
      <c r="H450" s="2559"/>
      <c r="I450" s="2559"/>
      <c r="J450" s="2559"/>
      <c r="K450" s="2559"/>
      <c r="L450" s="2559"/>
      <c r="M450" s="2559"/>
      <c r="N450" s="2559"/>
      <c r="O450" s="2559"/>
      <c r="P450" s="2559"/>
      <c r="Q450" s="2559"/>
      <c r="R450" s="2559"/>
      <c r="S450" s="2559"/>
      <c r="T450" s="2559"/>
      <c r="U450" s="2559"/>
      <c r="V450" s="2559"/>
      <c r="W450" s="2559"/>
      <c r="X450" s="2559"/>
      <c r="Y450" s="2559"/>
      <c r="Z450" s="2559"/>
      <c r="AA450" s="2559"/>
      <c r="AB450" s="2559"/>
      <c r="AC450" s="2559"/>
      <c r="AD450" s="2559"/>
      <c r="AE450" s="2559"/>
      <c r="AF450" s="2559"/>
      <c r="AG450" s="2559"/>
      <c r="AH450" s="2559"/>
      <c r="AI450" s="2559"/>
      <c r="AJ450" s="255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60"/>
      <c r="E451" s="2560"/>
      <c r="F451" s="2560"/>
      <c r="G451" s="2560"/>
      <c r="H451" s="2560"/>
      <c r="I451" s="2560"/>
      <c r="J451" s="2560"/>
      <c r="K451" s="2560"/>
      <c r="L451" s="2560"/>
      <c r="M451" s="2560"/>
      <c r="N451" s="2560"/>
      <c r="O451" s="2560"/>
      <c r="P451" s="2560"/>
      <c r="Q451" s="2560"/>
      <c r="R451" s="2560"/>
      <c r="S451" s="2560"/>
      <c r="T451" s="2560"/>
      <c r="U451" s="2560"/>
      <c r="V451" s="2560"/>
      <c r="W451" s="2560"/>
      <c r="X451" s="2560"/>
      <c r="Y451" s="2560"/>
      <c r="Z451" s="2560"/>
      <c r="AA451" s="2560"/>
      <c r="AB451" s="2560"/>
      <c r="AC451" s="2560"/>
      <c r="AD451" s="2560"/>
      <c r="AE451" s="2560"/>
      <c r="AF451" s="2560"/>
      <c r="AG451" s="2560"/>
      <c r="AH451" s="2560"/>
      <c r="AI451" s="2560"/>
      <c r="AJ451" s="256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8">
        <f>'Sources and Uses Budget'!B105/Application!AG436</f>
        <v>726542.52083333337</v>
      </c>
      <c r="AD453" s="2078"/>
      <c r="AE453" s="2078"/>
      <c r="AF453" s="207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8">
        <f>'Sources and Uses Budget'!C105/Application!AG436</f>
        <v>726542.52083333337</v>
      </c>
      <c r="AD454" s="2078"/>
      <c r="AE454" s="2078"/>
      <c r="AF454" s="207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8">
        <f>('Sources and Uses Budget'!$S$107+'Sources and Uses Budget'!$T$107)/Application!AG436</f>
        <v>611652.47916666663</v>
      </c>
      <c r="AD455" s="2078"/>
      <c r="AE455" s="2078"/>
      <c r="AF455" s="207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8" t="s">
        <v>720</v>
      </c>
      <c r="E464" s="2069"/>
      <c r="F464" s="2069"/>
      <c r="G464" s="2069"/>
      <c r="H464" s="2069"/>
      <c r="I464" s="2069"/>
      <c r="J464" s="2069"/>
      <c r="K464" s="2069"/>
      <c r="L464" s="2069"/>
      <c r="M464" s="2069"/>
      <c r="N464" s="2069"/>
      <c r="O464" s="2069"/>
      <c r="P464" s="2069"/>
      <c r="Q464" s="2069"/>
      <c r="R464" s="2069"/>
      <c r="S464" s="2069"/>
      <c r="T464" s="2069"/>
      <c r="U464" s="2069"/>
      <c r="V464" s="2070"/>
      <c r="W464" s="2515">
        <v>35</v>
      </c>
      <c r="X464" s="2072"/>
      <c r="Y464" s="207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8" t="s">
        <v>721</v>
      </c>
      <c r="E465" s="2069"/>
      <c r="F465" s="2069"/>
      <c r="G465" s="2069"/>
      <c r="H465" s="2069"/>
      <c r="I465" s="2069"/>
      <c r="J465" s="2069"/>
      <c r="K465" s="2069"/>
      <c r="L465" s="2069"/>
      <c r="M465" s="2069"/>
      <c r="N465" s="2069"/>
      <c r="O465" s="2069"/>
      <c r="P465" s="2069"/>
      <c r="Q465" s="2069"/>
      <c r="R465" s="2069"/>
      <c r="S465" s="2069"/>
      <c r="T465" s="2069"/>
      <c r="U465" s="2069"/>
      <c r="V465" s="2070"/>
      <c r="W465" s="2071" t="s">
        <v>2635</v>
      </c>
      <c r="X465" s="2072"/>
      <c r="Y465" s="207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8" t="s">
        <v>722</v>
      </c>
      <c r="E466" s="2069"/>
      <c r="F466" s="2069"/>
      <c r="G466" s="2069"/>
      <c r="H466" s="2069"/>
      <c r="I466" s="2069"/>
      <c r="J466" s="2069"/>
      <c r="K466" s="2069"/>
      <c r="L466" s="2069"/>
      <c r="M466" s="2069"/>
      <c r="N466" s="2069"/>
      <c r="O466" s="2069"/>
      <c r="P466" s="2069"/>
      <c r="Q466" s="2069"/>
      <c r="R466" s="2069"/>
      <c r="S466" s="2069"/>
      <c r="T466" s="2069"/>
      <c r="U466" s="2069"/>
      <c r="V466" s="2070"/>
      <c r="W466" s="2515">
        <v>20</v>
      </c>
      <c r="X466" s="2072"/>
      <c r="Y466" s="207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8" t="s">
        <v>723</v>
      </c>
      <c r="E467" s="2069"/>
      <c r="F467" s="2069"/>
      <c r="G467" s="2069"/>
      <c r="H467" s="2069"/>
      <c r="I467" s="2069"/>
      <c r="J467" s="2069"/>
      <c r="K467" s="2069"/>
      <c r="L467" s="2069"/>
      <c r="M467" s="2069"/>
      <c r="N467" s="2069"/>
      <c r="O467" s="2069"/>
      <c r="P467" s="2069"/>
      <c r="Q467" s="2069"/>
      <c r="R467" s="2069"/>
      <c r="S467" s="2069"/>
      <c r="T467" s="2069"/>
      <c r="U467" s="2069"/>
      <c r="V467" s="2070"/>
      <c r="W467" s="2071" t="s">
        <v>2635</v>
      </c>
      <c r="X467" s="2072"/>
      <c r="Y467" s="207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8" t="s">
        <v>929</v>
      </c>
      <c r="E468" s="2069"/>
      <c r="F468" s="2069"/>
      <c r="G468" s="2069"/>
      <c r="H468" s="2069"/>
      <c r="I468" s="2069"/>
      <c r="J468" s="2069"/>
      <c r="K468" s="2069"/>
      <c r="L468" s="2069"/>
      <c r="M468" s="2069"/>
      <c r="N468" s="2069"/>
      <c r="O468" s="2069"/>
      <c r="P468" s="2069"/>
      <c r="Q468" s="2069"/>
      <c r="R468" s="2069"/>
      <c r="S468" s="2069"/>
      <c r="T468" s="2069"/>
      <c r="U468" s="2069"/>
      <c r="V468" s="2070"/>
      <c r="W468" s="2071" t="s">
        <v>2635</v>
      </c>
      <c r="X468" s="2072"/>
      <c r="Y468" s="207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8" t="s">
        <v>724</v>
      </c>
      <c r="E469" s="2069"/>
      <c r="F469" s="2069"/>
      <c r="G469" s="2069"/>
      <c r="H469" s="2069"/>
      <c r="I469" s="2069"/>
      <c r="J469" s="2069"/>
      <c r="K469" s="2069"/>
      <c r="L469" s="2069"/>
      <c r="M469" s="2069"/>
      <c r="N469" s="2069"/>
      <c r="O469" s="2069"/>
      <c r="P469" s="2069"/>
      <c r="Q469" s="2069"/>
      <c r="R469" s="2069"/>
      <c r="S469" s="2069"/>
      <c r="T469" s="2069"/>
      <c r="U469" s="2069"/>
      <c r="V469" s="2070"/>
      <c r="W469" s="2071" t="s">
        <v>2635</v>
      </c>
      <c r="X469" s="2072"/>
      <c r="Y469" s="207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8" t="s">
        <v>1089</v>
      </c>
      <c r="E470" s="2069"/>
      <c r="F470" s="2069"/>
      <c r="G470" s="2069"/>
      <c r="H470" s="2069"/>
      <c r="I470" s="2069"/>
      <c r="J470" s="2069"/>
      <c r="K470" s="2069"/>
      <c r="L470" s="2069"/>
      <c r="M470" s="2069"/>
      <c r="N470" s="2069"/>
      <c r="O470" s="2069"/>
      <c r="P470" s="2069"/>
      <c r="Q470" s="2069"/>
      <c r="R470" s="2069"/>
      <c r="S470" s="2069"/>
      <c r="T470" s="2069"/>
      <c r="U470" s="2069"/>
      <c r="V470" s="2070"/>
      <c r="W470" s="2071" t="s">
        <v>2635</v>
      </c>
      <c r="X470" s="2072"/>
      <c r="Y470" s="207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0" t="s">
        <v>1862</v>
      </c>
      <c r="E471" s="2069"/>
      <c r="F471" s="2069"/>
      <c r="G471" s="2069"/>
      <c r="H471" s="2069"/>
      <c r="I471" s="2069"/>
      <c r="J471" s="2069"/>
      <c r="K471" s="2069"/>
      <c r="L471" s="2069"/>
      <c r="M471" s="2069"/>
      <c r="N471" s="2069"/>
      <c r="O471" s="2069"/>
      <c r="P471" s="2069"/>
      <c r="Q471" s="2069"/>
      <c r="R471" s="2069"/>
      <c r="S471" s="2069"/>
      <c r="T471" s="2069"/>
      <c r="U471" s="2069"/>
      <c r="V471" s="2070"/>
      <c r="W471" s="2515">
        <v>0</v>
      </c>
      <c r="X471" s="2072"/>
      <c r="Y471" s="207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597" t="s">
        <v>2694</v>
      </c>
      <c r="H472" s="2598"/>
      <c r="I472" s="2598"/>
      <c r="J472" s="2598"/>
      <c r="K472" s="2598"/>
      <c r="L472" s="2598"/>
      <c r="M472" s="2598"/>
      <c r="N472" s="2598"/>
      <c r="O472" s="2598"/>
      <c r="P472" s="2598"/>
      <c r="Q472" s="2598"/>
      <c r="R472" s="2598"/>
      <c r="S472" s="2598"/>
      <c r="T472" s="2598"/>
      <c r="U472" s="2598"/>
      <c r="V472" s="2599"/>
      <c r="W472" s="2515">
        <v>35</v>
      </c>
      <c r="X472" s="2072"/>
      <c r="Y472" s="207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t="s">
        <v>2695</v>
      </c>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t="s">
        <v>2696</v>
      </c>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t="s">
        <v>2697</v>
      </c>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7" t="s">
        <v>853</v>
      </c>
      <c r="B478" s="2357"/>
      <c r="C478" s="2357"/>
      <c r="D478" s="2357"/>
      <c r="E478" s="2357"/>
      <c r="F478" s="2357"/>
      <c r="G478" s="2357"/>
      <c r="H478" s="2357"/>
      <c r="I478" s="2357"/>
      <c r="J478" s="2357"/>
      <c r="K478" s="2357"/>
      <c r="L478" s="2357"/>
      <c r="M478" s="2357"/>
      <c r="N478" s="2357"/>
      <c r="O478" s="2357"/>
      <c r="P478" s="2357"/>
      <c r="Q478" s="2357"/>
      <c r="R478" s="2357"/>
      <c r="S478" s="2357"/>
      <c r="T478" s="2357"/>
      <c r="U478" s="2357"/>
      <c r="V478" s="2357"/>
      <c r="W478" s="2357"/>
      <c r="X478" s="2357"/>
      <c r="Y478" s="2357"/>
      <c r="Z478" s="2357"/>
      <c r="AA478" s="2357"/>
      <c r="AB478" s="2357"/>
      <c r="AC478" s="2357"/>
      <c r="AD478" s="2357"/>
      <c r="AE478" s="2357"/>
      <c r="AF478" s="2357"/>
      <c r="AG478" s="2357"/>
      <c r="AH478" s="2357"/>
      <c r="AI478" s="2357"/>
      <c r="AJ478" s="2357"/>
      <c r="AK478" s="2357"/>
      <c r="AL478" s="235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8"/>
      <c r="B479" s="2358"/>
      <c r="C479" s="2358"/>
      <c r="D479" s="2358"/>
      <c r="E479" s="2358"/>
      <c r="F479" s="2358"/>
      <c r="G479" s="2358"/>
      <c r="H479" s="2358"/>
      <c r="I479" s="2358"/>
      <c r="J479" s="2358"/>
      <c r="K479" s="2358"/>
      <c r="L479" s="2358"/>
      <c r="M479" s="2358"/>
      <c r="N479" s="2358"/>
      <c r="O479" s="2358"/>
      <c r="P479" s="2358"/>
      <c r="Q479" s="2358"/>
      <c r="R479" s="2358"/>
      <c r="S479" s="2358"/>
      <c r="T479" s="2358"/>
      <c r="U479" s="2358"/>
      <c r="V479" s="2358"/>
      <c r="W479" s="2358"/>
      <c r="X479" s="2358"/>
      <c r="Y479" s="2358"/>
      <c r="Z479" s="2358"/>
      <c r="AA479" s="2358"/>
      <c r="AB479" s="2358"/>
      <c r="AC479" s="2358"/>
      <c r="AD479" s="2358"/>
      <c r="AE479" s="2358"/>
      <c r="AF479" s="2358"/>
      <c r="AG479" s="2358"/>
      <c r="AH479" s="2358"/>
      <c r="AI479" s="2358"/>
      <c r="AJ479" s="2358"/>
      <c r="AK479" s="2358"/>
      <c r="AL479" s="235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513" t="s">
        <v>854</v>
      </c>
      <c r="U483" s="2514"/>
      <c r="V483" s="2514"/>
      <c r="W483" s="2514"/>
      <c r="X483" s="2514"/>
      <c r="Y483" s="2514"/>
      <c r="Z483" s="2514"/>
      <c r="AA483" s="2514"/>
      <c r="AB483" s="2514"/>
      <c r="AC483" s="2514"/>
      <c r="AD483" s="2514"/>
      <c r="AE483" s="2514"/>
      <c r="AF483" s="2514"/>
      <c r="AG483" s="2514"/>
      <c r="AH483" s="259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074" t="s">
        <v>36</v>
      </c>
      <c r="U484" s="2074"/>
      <c r="V484" s="2074"/>
      <c r="W484" s="2074"/>
      <c r="X484" s="2074"/>
      <c r="Y484" s="2074" t="s">
        <v>37</v>
      </c>
      <c r="Z484" s="2074"/>
      <c r="AA484" s="2074"/>
      <c r="AB484" s="2074"/>
      <c r="AC484" s="2074"/>
      <c r="AD484" s="2074" t="s">
        <v>344</v>
      </c>
      <c r="AE484" s="2074"/>
      <c r="AF484" s="2074"/>
      <c r="AG484" s="2074"/>
      <c r="AH484" s="207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074"/>
      <c r="U485" s="2074"/>
      <c r="V485" s="2074"/>
      <c r="W485" s="2074"/>
      <c r="X485" s="2074"/>
      <c r="Y485" s="2074"/>
      <c r="Z485" s="2074"/>
      <c r="AA485" s="2074"/>
      <c r="AB485" s="2074"/>
      <c r="AC485" s="2074"/>
      <c r="AD485" s="2074"/>
      <c r="AE485" s="2074"/>
      <c r="AF485" s="2074"/>
      <c r="AG485" s="2074"/>
      <c r="AH485" s="207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081" t="s">
        <v>617</v>
      </c>
      <c r="U486" s="2081"/>
      <c r="V486" s="2081"/>
      <c r="W486" s="2081"/>
      <c r="X486" s="2081"/>
      <c r="Y486" s="2081">
        <v>0</v>
      </c>
      <c r="Z486" s="2081"/>
      <c r="AA486" s="2081"/>
      <c r="AB486" s="2081"/>
      <c r="AC486" s="2081"/>
      <c r="AD486" s="2081">
        <v>0</v>
      </c>
      <c r="AE486" s="2081"/>
      <c r="AF486" s="2081"/>
      <c r="AG486" s="2081"/>
      <c r="AH486" s="208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081" t="s">
        <v>617</v>
      </c>
      <c r="U487" s="2081"/>
      <c r="V487" s="2081"/>
      <c r="W487" s="2081"/>
      <c r="X487" s="2081"/>
      <c r="Y487" s="2081">
        <v>0</v>
      </c>
      <c r="Z487" s="2081"/>
      <c r="AA487" s="2081"/>
      <c r="AB487" s="2081"/>
      <c r="AC487" s="2081"/>
      <c r="AD487" s="2081">
        <v>0</v>
      </c>
      <c r="AE487" s="2081"/>
      <c r="AF487" s="2081"/>
      <c r="AG487" s="2081"/>
      <c r="AH487" s="208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081" t="s">
        <v>617</v>
      </c>
      <c r="U488" s="2081"/>
      <c r="V488" s="2081"/>
      <c r="W488" s="2081"/>
      <c r="X488" s="2081"/>
      <c r="Y488" s="2081">
        <v>0</v>
      </c>
      <c r="Z488" s="2081"/>
      <c r="AA488" s="2081"/>
      <c r="AB488" s="2081"/>
      <c r="AC488" s="2081"/>
      <c r="AD488" s="2081">
        <v>0</v>
      </c>
      <c r="AE488" s="2081"/>
      <c r="AF488" s="2081"/>
      <c r="AG488" s="2081"/>
      <c r="AH488" s="208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081" t="s">
        <v>617</v>
      </c>
      <c r="U489" s="2081"/>
      <c r="V489" s="2081"/>
      <c r="W489" s="2081"/>
      <c r="X489" s="2081"/>
      <c r="Y489" s="2081">
        <v>0</v>
      </c>
      <c r="Z489" s="2081"/>
      <c r="AA489" s="2081"/>
      <c r="AB489" s="2081"/>
      <c r="AC489" s="2081"/>
      <c r="AD489" s="2081">
        <v>0</v>
      </c>
      <c r="AE489" s="2081"/>
      <c r="AF489" s="2081"/>
      <c r="AG489" s="2081"/>
      <c r="AH489" s="208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081" t="s">
        <v>617</v>
      </c>
      <c r="U490" s="2081"/>
      <c r="V490" s="2081"/>
      <c r="W490" s="2081"/>
      <c r="X490" s="2081"/>
      <c r="Y490" s="2081">
        <v>0</v>
      </c>
      <c r="Z490" s="2081"/>
      <c r="AA490" s="2081"/>
      <c r="AB490" s="2081"/>
      <c r="AC490" s="2081"/>
      <c r="AD490" s="2081">
        <v>0</v>
      </c>
      <c r="AE490" s="2081"/>
      <c r="AF490" s="2081"/>
      <c r="AG490" s="2081"/>
      <c r="AH490" s="20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081" t="s">
        <v>617</v>
      </c>
      <c r="U491" s="2081"/>
      <c r="V491" s="2081"/>
      <c r="W491" s="2081"/>
      <c r="X491" s="2081"/>
      <c r="Y491" s="2081">
        <v>0</v>
      </c>
      <c r="Z491" s="2081"/>
      <c r="AA491" s="2081"/>
      <c r="AB491" s="2081"/>
      <c r="AC491" s="2081"/>
      <c r="AD491" s="2081">
        <v>0</v>
      </c>
      <c r="AE491" s="2081"/>
      <c r="AF491" s="2081"/>
      <c r="AG491" s="2081"/>
      <c r="AH491" s="208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081">
        <v>44348</v>
      </c>
      <c r="U492" s="2081"/>
      <c r="V492" s="2081"/>
      <c r="W492" s="2081"/>
      <c r="X492" s="2081"/>
      <c r="Y492" s="2081">
        <v>44391</v>
      </c>
      <c r="Z492" s="2081"/>
      <c r="AA492" s="2081"/>
      <c r="AB492" s="2081"/>
      <c r="AC492" s="2081"/>
      <c r="AD492" s="2081">
        <v>44391</v>
      </c>
      <c r="AE492" s="2081"/>
      <c r="AF492" s="2081"/>
      <c r="AG492" s="2081"/>
      <c r="AH492" s="208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081" t="s">
        <v>617</v>
      </c>
      <c r="U493" s="2081"/>
      <c r="V493" s="2081"/>
      <c r="W493" s="2081"/>
      <c r="X493" s="2081"/>
      <c r="Y493" s="2081">
        <v>0</v>
      </c>
      <c r="Z493" s="2081"/>
      <c r="AA493" s="2081"/>
      <c r="AB493" s="2081"/>
      <c r="AC493" s="2081"/>
      <c r="AD493" s="2081">
        <v>0</v>
      </c>
      <c r="AE493" s="2081"/>
      <c r="AF493" s="2081"/>
      <c r="AG493" s="2081"/>
      <c r="AH493" s="208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081" t="s">
        <v>617</v>
      </c>
      <c r="U494" s="2081"/>
      <c r="V494" s="2081"/>
      <c r="W494" s="2081"/>
      <c r="X494" s="2081"/>
      <c r="Y494" s="2081">
        <v>0</v>
      </c>
      <c r="Z494" s="2081"/>
      <c r="AA494" s="2081"/>
      <c r="AB494" s="2081"/>
      <c r="AC494" s="2081"/>
      <c r="AD494" s="2081">
        <v>0</v>
      </c>
      <c r="AE494" s="2081"/>
      <c r="AF494" s="2081"/>
      <c r="AG494" s="2081"/>
      <c r="AH494" s="208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081">
        <v>44348</v>
      </c>
      <c r="U495" s="2081"/>
      <c r="V495" s="2081"/>
      <c r="W495" s="2081"/>
      <c r="X495" s="2081"/>
      <c r="Y495" s="2081">
        <v>44391</v>
      </c>
      <c r="Z495" s="2081"/>
      <c r="AA495" s="2081"/>
      <c r="AB495" s="2081"/>
      <c r="AC495" s="2081"/>
      <c r="AD495" s="2081">
        <v>44391</v>
      </c>
      <c r="AE495" s="2081"/>
      <c r="AF495" s="2081"/>
      <c r="AG495" s="2081"/>
      <c r="AH495" s="208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63" t="s">
        <v>409</v>
      </c>
      <c r="R497" s="2564"/>
      <c r="S497" s="2564"/>
      <c r="T497" s="2564"/>
      <c r="U497" s="2564"/>
      <c r="V497" s="2564"/>
      <c r="W497" s="2564"/>
      <c r="X497" s="2564"/>
      <c r="Y497" s="2564"/>
      <c r="Z497" s="2564"/>
      <c r="AA497" s="2564"/>
      <c r="AB497" s="2564"/>
      <c r="AC497" s="2564"/>
      <c r="AD497" s="2564"/>
      <c r="AE497" s="2564"/>
      <c r="AF497" s="2564"/>
      <c r="AG497" s="2564"/>
      <c r="AH497" s="2564"/>
      <c r="AI497" s="2564"/>
      <c r="AJ497" s="2564"/>
      <c r="AK497" s="256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457" t="s">
        <v>2698</v>
      </c>
      <c r="R498" s="2095"/>
      <c r="S498" s="2095"/>
      <c r="T498" s="2095"/>
      <c r="U498" s="2095"/>
      <c r="V498" s="2095"/>
      <c r="W498" s="2095"/>
      <c r="X498" s="2095"/>
      <c r="Y498" s="2095"/>
      <c r="Z498" s="2095"/>
      <c r="AA498" s="2095"/>
      <c r="AB498" s="2095"/>
      <c r="AC498" s="2095"/>
      <c r="AD498" s="2095"/>
      <c r="AE498" s="2095"/>
      <c r="AF498" s="2095"/>
      <c r="AG498" s="2095"/>
      <c r="AH498" s="2095"/>
      <c r="AI498" s="2095"/>
      <c r="AJ498" s="2095"/>
      <c r="AK498" s="24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457" t="s">
        <v>2699</v>
      </c>
      <c r="R499" s="2095"/>
      <c r="S499" s="2095"/>
      <c r="T499" s="2095"/>
      <c r="U499" s="2095"/>
      <c r="V499" s="2095"/>
      <c r="W499" s="2095"/>
      <c r="X499" s="2095"/>
      <c r="Y499" s="2095"/>
      <c r="Z499" s="2095"/>
      <c r="AA499" s="2095"/>
      <c r="AB499" s="2095"/>
      <c r="AC499" s="2095"/>
      <c r="AD499" s="2095"/>
      <c r="AE499" s="2095"/>
      <c r="AF499" s="2095"/>
      <c r="AG499" s="2095"/>
      <c r="AH499" s="2095"/>
      <c r="AI499" s="2095"/>
      <c r="AJ499" s="2095"/>
      <c r="AK499" s="245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457" t="s">
        <v>2700</v>
      </c>
      <c r="R500" s="2095"/>
      <c r="S500" s="2095"/>
      <c r="T500" s="2095"/>
      <c r="U500" s="2095"/>
      <c r="V500" s="2095"/>
      <c r="W500" s="2095"/>
      <c r="X500" s="2095"/>
      <c r="Y500" s="2095"/>
      <c r="Z500" s="2095"/>
      <c r="AA500" s="2095"/>
      <c r="AB500" s="2095"/>
      <c r="AC500" s="2095"/>
      <c r="AD500" s="2095"/>
      <c r="AE500" s="2095"/>
      <c r="AF500" s="2095"/>
      <c r="AG500" s="2095"/>
      <c r="AH500" s="2095"/>
      <c r="AI500" s="2095"/>
      <c r="AJ500" s="2095"/>
      <c r="AK500" s="245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66" t="s">
        <v>413</v>
      </c>
      <c r="C501" s="2567"/>
      <c r="D501" s="2567"/>
      <c r="E501" s="2567"/>
      <c r="F501" s="2567"/>
      <c r="G501" s="2567"/>
      <c r="H501" s="2567"/>
      <c r="I501" s="2567"/>
      <c r="J501" s="2567"/>
      <c r="K501" s="2567"/>
      <c r="L501" s="2567"/>
      <c r="M501" s="2567"/>
      <c r="N501" s="2567"/>
      <c r="O501" s="2567"/>
      <c r="P501" s="2568"/>
      <c r="Q501" s="2572" t="s">
        <v>570</v>
      </c>
      <c r="R501" s="2573"/>
      <c r="S501" s="2360" t="s">
        <v>2701</v>
      </c>
      <c r="T501" s="2361"/>
      <c r="U501" s="2361"/>
      <c r="V501" s="2361"/>
      <c r="W501" s="2361"/>
      <c r="X501" s="2361"/>
      <c r="Y501" s="2361"/>
      <c r="Z501" s="2361"/>
      <c r="AA501" s="2361"/>
      <c r="AB501" s="2361"/>
      <c r="AC501" s="2361"/>
      <c r="AD501" s="2361"/>
      <c r="AE501" s="2361"/>
      <c r="AF501" s="2361"/>
      <c r="AG501" s="2361"/>
      <c r="AH501" s="2361"/>
      <c r="AI501" s="2361"/>
      <c r="AJ501" s="2361"/>
      <c r="AK501" s="23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69"/>
      <c r="C502" s="2570"/>
      <c r="D502" s="2570"/>
      <c r="E502" s="2570"/>
      <c r="F502" s="2570"/>
      <c r="G502" s="2570"/>
      <c r="H502" s="2570"/>
      <c r="I502" s="2570"/>
      <c r="J502" s="2570"/>
      <c r="K502" s="2570"/>
      <c r="L502" s="2570"/>
      <c r="M502" s="2570"/>
      <c r="N502" s="2570"/>
      <c r="O502" s="2570"/>
      <c r="P502" s="2571"/>
      <c r="Q502" s="2574"/>
      <c r="R502" s="2575"/>
      <c r="S502" s="2363"/>
      <c r="T502" s="2364"/>
      <c r="U502" s="2364"/>
      <c r="V502" s="2364"/>
      <c r="W502" s="2364"/>
      <c r="X502" s="2364"/>
      <c r="Y502" s="2364"/>
      <c r="Z502" s="2364"/>
      <c r="AA502" s="2364"/>
      <c r="AB502" s="2364"/>
      <c r="AC502" s="2364"/>
      <c r="AD502" s="2364"/>
      <c r="AE502" s="2364"/>
      <c r="AF502" s="2364"/>
      <c r="AG502" s="2364"/>
      <c r="AH502" s="2364"/>
      <c r="AI502" s="2364"/>
      <c r="AJ502" s="2364"/>
      <c r="AK502" s="23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606" t="s">
        <v>695</v>
      </c>
      <c r="R503" s="2607"/>
      <c r="S503" s="2607"/>
      <c r="T503" s="2607"/>
      <c r="U503" s="2607"/>
      <c r="V503" s="2607"/>
      <c r="W503" s="2607"/>
      <c r="X503" s="2607"/>
      <c r="Y503" s="2607"/>
      <c r="Z503" s="2607"/>
      <c r="AA503" s="2607"/>
      <c r="AB503" s="2607"/>
      <c r="AC503" s="2607"/>
      <c r="AD503" s="2607"/>
      <c r="AE503" s="2607"/>
      <c r="AF503" s="2607"/>
      <c r="AG503" s="2607"/>
      <c r="AH503" s="2607"/>
      <c r="AI503" s="2607"/>
      <c r="AJ503" s="2607"/>
      <c r="AK503" s="260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457" t="s">
        <v>2702</v>
      </c>
      <c r="R504" s="2095"/>
      <c r="S504" s="2095"/>
      <c r="T504" s="2095"/>
      <c r="U504" s="2095"/>
      <c r="V504" s="2095"/>
      <c r="W504" s="2095"/>
      <c r="X504" s="2095"/>
      <c r="Y504" s="2095"/>
      <c r="Z504" s="2095"/>
      <c r="AA504" s="2095"/>
      <c r="AB504" s="2095"/>
      <c r="AC504" s="2095"/>
      <c r="AD504" s="2095"/>
      <c r="AE504" s="2095"/>
      <c r="AF504" s="2095"/>
      <c r="AG504" s="2095"/>
      <c r="AH504" s="2095"/>
      <c r="AI504" s="2095"/>
      <c r="AJ504" s="2095"/>
      <c r="AK504" s="24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457" t="s">
        <v>2703</v>
      </c>
      <c r="R505" s="2095"/>
      <c r="S505" s="2095"/>
      <c r="T505" s="2095"/>
      <c r="U505" s="2095"/>
      <c r="V505" s="2095"/>
      <c r="W505" s="2095"/>
      <c r="X505" s="2095"/>
      <c r="Y505" s="2095"/>
      <c r="Z505" s="2095"/>
      <c r="AA505" s="2095"/>
      <c r="AB505" s="2095"/>
      <c r="AC505" s="2095"/>
      <c r="AD505" s="2095"/>
      <c r="AE505" s="2095"/>
      <c r="AF505" s="2095"/>
      <c r="AG505" s="2095"/>
      <c r="AH505" s="2095"/>
      <c r="AI505" s="2095"/>
      <c r="AJ505" s="2095"/>
      <c r="AK505" s="24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57">
        <v>49</v>
      </c>
      <c r="R506" s="2095"/>
      <c r="S506" s="2095"/>
      <c r="T506" s="2095"/>
      <c r="U506" s="2095"/>
      <c r="V506" s="2095"/>
      <c r="W506" s="2095"/>
      <c r="X506" s="2095"/>
      <c r="Y506" s="2095"/>
      <c r="Z506" s="2095"/>
      <c r="AA506" s="2095"/>
      <c r="AB506" s="2095"/>
      <c r="AC506" s="2095"/>
      <c r="AD506" s="2095"/>
      <c r="AE506" s="2095"/>
      <c r="AF506" s="2095"/>
      <c r="AG506" s="2095"/>
      <c r="AH506" s="2095"/>
      <c r="AI506" s="2095"/>
      <c r="AJ506" s="2095"/>
      <c r="AK506" s="24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32">
        <v>49</v>
      </c>
      <c r="N507" s="2133"/>
      <c r="O507" s="2133"/>
      <c r="P507" s="2134"/>
      <c r="Q507" s="1419" t="s">
        <v>1880</v>
      </c>
      <c r="R507" s="1420"/>
      <c r="S507" s="1420"/>
      <c r="T507" s="1420"/>
      <c r="U507" s="1420"/>
      <c r="V507" s="1420"/>
      <c r="W507" s="1420"/>
      <c r="X507" s="1420"/>
      <c r="Y507" s="1420"/>
      <c r="Z507" s="1420"/>
      <c r="AA507" s="1420"/>
      <c r="AB507" s="1420"/>
      <c r="AC507" s="1420"/>
      <c r="AD507" s="1420"/>
      <c r="AE507" s="1420"/>
      <c r="AF507" s="1420"/>
      <c r="AG507" s="1420"/>
      <c r="AH507" s="2132"/>
      <c r="AI507" s="2133"/>
      <c r="AJ507" s="2133"/>
      <c r="AK507" s="21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3" t="s">
        <v>417</v>
      </c>
      <c r="AD511" s="2564"/>
      <c r="AE511" s="2564"/>
      <c r="AF511" s="2564"/>
      <c r="AG511" s="2564"/>
      <c r="AH511" s="2564"/>
      <c r="AI511" s="2564"/>
      <c r="AJ511" s="2564"/>
      <c r="AK511" s="256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13" t="s">
        <v>418</v>
      </c>
      <c r="AD512" s="2514"/>
      <c r="AE512" s="2514"/>
      <c r="AF512" s="2514"/>
      <c r="AG512" s="82" t="s">
        <v>419</v>
      </c>
      <c r="AH512" s="2514" t="s">
        <v>420</v>
      </c>
      <c r="AI512" s="2514"/>
      <c r="AJ512" s="2514"/>
      <c r="AK512" s="259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59" t="s">
        <v>421</v>
      </c>
      <c r="C513" s="2060"/>
      <c r="D513" s="2060"/>
      <c r="E513" s="2060"/>
      <c r="F513" s="2060"/>
      <c r="G513" s="2060"/>
      <c r="H513" s="2061"/>
      <c r="I513" s="72" t="s">
        <v>422</v>
      </c>
      <c r="J513" s="72"/>
      <c r="K513" s="72"/>
      <c r="L513" s="72"/>
      <c r="M513" s="72"/>
      <c r="N513" s="72"/>
      <c r="O513" s="72"/>
      <c r="P513" s="72"/>
      <c r="Q513" s="72"/>
      <c r="R513" s="72"/>
      <c r="S513" s="72"/>
      <c r="T513" s="72"/>
      <c r="U513" s="72"/>
      <c r="V513" s="72"/>
      <c r="W513" s="72"/>
      <c r="X513" s="25"/>
      <c r="Y513" s="25"/>
      <c r="AC513" s="2576">
        <v>7</v>
      </c>
      <c r="AD513" s="2432"/>
      <c r="AE513" s="2432"/>
      <c r="AF513" s="2432"/>
      <c r="AG513" s="75" t="s">
        <v>419</v>
      </c>
      <c r="AH513" s="2079">
        <v>2021</v>
      </c>
      <c r="AI513" s="2079"/>
      <c r="AJ513" s="2079"/>
      <c r="AK513" s="208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2"/>
      <c r="C514" s="2063"/>
      <c r="D514" s="2063"/>
      <c r="E514" s="2063"/>
      <c r="F514" s="2063"/>
      <c r="G514" s="2063"/>
      <c r="H514" s="2064"/>
      <c r="I514" s="80" t="s">
        <v>423</v>
      </c>
      <c r="J514" s="80"/>
      <c r="K514" s="80"/>
      <c r="L514" s="80"/>
      <c r="M514" s="80"/>
      <c r="N514" s="80"/>
      <c r="O514" s="80"/>
      <c r="P514" s="80"/>
      <c r="Q514" s="80"/>
      <c r="R514" s="80"/>
      <c r="S514" s="80"/>
      <c r="T514" s="80"/>
      <c r="U514" s="80"/>
      <c r="V514" s="80"/>
      <c r="W514" s="80"/>
      <c r="X514" s="80"/>
      <c r="Y514" s="80"/>
      <c r="Z514" s="80"/>
      <c r="AA514" s="80"/>
      <c r="AB514" s="80"/>
      <c r="AC514" s="2576">
        <v>7</v>
      </c>
      <c r="AD514" s="2432"/>
      <c r="AE514" s="2432"/>
      <c r="AF514" s="2432"/>
      <c r="AG514" s="65" t="s">
        <v>419</v>
      </c>
      <c r="AH514" s="2079">
        <v>2015</v>
      </c>
      <c r="AI514" s="2079"/>
      <c r="AJ514" s="2079"/>
      <c r="AK514" s="208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59" t="s">
        <v>424</v>
      </c>
      <c r="C515" s="2060"/>
      <c r="D515" s="2060"/>
      <c r="E515" s="2060"/>
      <c r="F515" s="2060"/>
      <c r="G515" s="2060"/>
      <c r="H515" s="2061"/>
      <c r="I515" s="72" t="s">
        <v>425</v>
      </c>
      <c r="J515" s="72"/>
      <c r="K515" s="72"/>
      <c r="L515" s="72"/>
      <c r="M515" s="72"/>
      <c r="N515" s="72"/>
      <c r="O515" s="72"/>
      <c r="P515" s="72"/>
      <c r="Q515" s="72"/>
      <c r="R515" s="72"/>
      <c r="S515" s="72"/>
      <c r="T515" s="72"/>
      <c r="U515" s="72"/>
      <c r="V515" s="72"/>
      <c r="W515" s="72"/>
      <c r="X515" s="25"/>
      <c r="Y515" s="25"/>
      <c r="AC515" s="2075" t="s">
        <v>617</v>
      </c>
      <c r="AD515" s="2054"/>
      <c r="AE515" s="2054"/>
      <c r="AF515" s="2054"/>
      <c r="AG515" s="75" t="s">
        <v>419</v>
      </c>
      <c r="AH515" s="2079"/>
      <c r="AI515" s="2079"/>
      <c r="AJ515" s="2079"/>
      <c r="AK515" s="208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2"/>
      <c r="C516" s="2063"/>
      <c r="D516" s="2063"/>
      <c r="E516" s="2063"/>
      <c r="F516" s="2063"/>
      <c r="G516" s="2063"/>
      <c r="H516" s="2064"/>
      <c r="I516" s="25" t="s">
        <v>426</v>
      </c>
      <c r="J516" s="25"/>
      <c r="K516" s="25"/>
      <c r="L516" s="25"/>
      <c r="M516" s="25"/>
      <c r="N516" s="25"/>
      <c r="O516" s="25"/>
      <c r="P516" s="25"/>
      <c r="Q516" s="25"/>
      <c r="R516" s="25"/>
      <c r="S516" s="25"/>
      <c r="T516" s="25"/>
      <c r="U516" s="25"/>
      <c r="V516" s="25"/>
      <c r="W516" s="25"/>
      <c r="X516" s="25"/>
      <c r="Y516" s="25"/>
      <c r="AC516" s="2075" t="s">
        <v>617</v>
      </c>
      <c r="AD516" s="2054"/>
      <c r="AE516" s="2054"/>
      <c r="AF516" s="2054"/>
      <c r="AG516" s="75" t="s">
        <v>419</v>
      </c>
      <c r="AH516" s="2079"/>
      <c r="AI516" s="2079"/>
      <c r="AJ516" s="2079"/>
      <c r="AK516" s="208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2"/>
      <c r="C517" s="2063"/>
      <c r="D517" s="2063"/>
      <c r="E517" s="2063"/>
      <c r="F517" s="2063"/>
      <c r="G517" s="2063"/>
      <c r="H517" s="2064"/>
      <c r="I517" s="25" t="s">
        <v>427</v>
      </c>
      <c r="J517" s="25"/>
      <c r="K517" s="25"/>
      <c r="L517" s="25"/>
      <c r="M517" s="25"/>
      <c r="N517" s="25"/>
      <c r="O517" s="25"/>
      <c r="P517" s="25"/>
      <c r="Q517" s="25"/>
      <c r="R517" s="25"/>
      <c r="S517" s="25"/>
      <c r="T517" s="25"/>
      <c r="U517" s="25"/>
      <c r="V517" s="25"/>
      <c r="W517" s="25"/>
      <c r="X517" s="25"/>
      <c r="Y517" s="25"/>
      <c r="AC517" s="2053">
        <v>7</v>
      </c>
      <c r="AD517" s="2054"/>
      <c r="AE517" s="2054"/>
      <c r="AF517" s="2054"/>
      <c r="AG517" s="75" t="s">
        <v>419</v>
      </c>
      <c r="AH517" s="2079">
        <v>2021</v>
      </c>
      <c r="AI517" s="2079"/>
      <c r="AJ517" s="2079"/>
      <c r="AK517" s="208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2"/>
      <c r="C518" s="2063"/>
      <c r="D518" s="2063"/>
      <c r="E518" s="2063"/>
      <c r="F518" s="2063"/>
      <c r="G518" s="2063"/>
      <c r="H518" s="2064"/>
      <c r="I518" s="25" t="s">
        <v>428</v>
      </c>
      <c r="J518" s="25"/>
      <c r="K518" s="25"/>
      <c r="L518" s="25"/>
      <c r="M518" s="25"/>
      <c r="N518" s="25"/>
      <c r="O518" s="25"/>
      <c r="P518" s="25"/>
      <c r="Q518" s="25"/>
      <c r="R518" s="25"/>
      <c r="S518" s="25"/>
      <c r="T518" s="25"/>
      <c r="U518" s="25"/>
      <c r="V518" s="25"/>
      <c r="W518" s="25"/>
      <c r="X518" s="25"/>
      <c r="Y518" s="25"/>
      <c r="AC518" s="2053">
        <v>3</v>
      </c>
      <c r="AD518" s="2054"/>
      <c r="AE518" s="2054"/>
      <c r="AF518" s="2054"/>
      <c r="AG518" s="75" t="s">
        <v>419</v>
      </c>
      <c r="AH518" s="2079">
        <v>2023</v>
      </c>
      <c r="AI518" s="2079"/>
      <c r="AJ518" s="2079"/>
      <c r="AK518" s="208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2"/>
      <c r="C519" s="2063"/>
      <c r="D519" s="2063"/>
      <c r="E519" s="2063"/>
      <c r="F519" s="2063"/>
      <c r="G519" s="2063"/>
      <c r="H519" s="2064"/>
      <c r="I519" s="177" t="s">
        <v>429</v>
      </c>
      <c r="J519" s="25"/>
      <c r="K519" s="25"/>
      <c r="L519" s="25"/>
      <c r="M519" s="25"/>
      <c r="N519" s="25"/>
      <c r="O519" s="25"/>
      <c r="P519" s="25"/>
      <c r="Q519" s="25"/>
      <c r="R519" s="25"/>
      <c r="S519" s="25"/>
      <c r="T519" s="25"/>
      <c r="U519" s="25"/>
      <c r="V519" s="25"/>
      <c r="W519" s="25"/>
      <c r="X519" s="25"/>
      <c r="Y519" s="25"/>
      <c r="AC519" s="2053">
        <v>3</v>
      </c>
      <c r="AD519" s="2054"/>
      <c r="AE519" s="2054"/>
      <c r="AF519" s="2054"/>
      <c r="AG519" s="75" t="s">
        <v>419</v>
      </c>
      <c r="AH519" s="2079">
        <v>2023</v>
      </c>
      <c r="AI519" s="2079"/>
      <c r="AJ519" s="2079"/>
      <c r="AK519" s="208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2"/>
      <c r="C520" s="2063"/>
      <c r="D520" s="2063"/>
      <c r="E520" s="2063"/>
      <c r="F520" s="2063"/>
      <c r="G520" s="2063"/>
      <c r="H520" s="2064"/>
      <c r="I520" s="1422" t="s">
        <v>174</v>
      </c>
      <c r="J520" s="80"/>
      <c r="K520" s="80"/>
      <c r="L520" s="2611" t="s">
        <v>339</v>
      </c>
      <c r="M520" s="2561"/>
      <c r="N520" s="2561"/>
      <c r="O520" s="2561"/>
      <c r="P520" s="2561"/>
      <c r="Q520" s="2561"/>
      <c r="R520" s="2561"/>
      <c r="S520" s="2561"/>
      <c r="T520" s="2561"/>
      <c r="U520" s="2561"/>
      <c r="V520" s="2561"/>
      <c r="W520" s="2561"/>
      <c r="X520" s="2561"/>
      <c r="Y520" s="2561"/>
      <c r="Z520" s="2561"/>
      <c r="AA520" s="2561"/>
      <c r="AB520" s="2612"/>
      <c r="AC520" s="2075" t="s">
        <v>617</v>
      </c>
      <c r="AD520" s="2054"/>
      <c r="AE520" s="2054"/>
      <c r="AF520" s="2054"/>
      <c r="AG520" s="1394" t="s">
        <v>419</v>
      </c>
      <c r="AH520" s="2079"/>
      <c r="AI520" s="2079"/>
      <c r="AJ520" s="2079"/>
      <c r="AK520" s="208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620" t="s">
        <v>695</v>
      </c>
      <c r="AD521" s="2621"/>
      <c r="AE521" s="2621"/>
      <c r="AF521" s="2621"/>
      <c r="AG521" s="1631"/>
      <c r="AH521" s="2613"/>
      <c r="AI521" s="2613"/>
      <c r="AJ521" s="2613"/>
      <c r="AK521" s="261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53"/>
      <c r="AD522" s="2054"/>
      <c r="AE522" s="2054"/>
      <c r="AF522" s="2055"/>
      <c r="AG522" s="1631"/>
      <c r="AH522" s="2613"/>
      <c r="AI522" s="2613"/>
      <c r="AJ522" s="2613"/>
      <c r="AK522" s="261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15">
        <v>0.5</v>
      </c>
      <c r="AD524" s="2616"/>
      <c r="AE524" s="2616"/>
      <c r="AF524" s="2617"/>
      <c r="AG524" s="1632"/>
      <c r="AH524" s="2618"/>
      <c r="AI524" s="2618"/>
      <c r="AJ524" s="2618"/>
      <c r="AK524" s="261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92" t="s">
        <v>418</v>
      </c>
      <c r="AD525" s="2593"/>
      <c r="AE525" s="2593"/>
      <c r="AF525" s="2593"/>
      <c r="AG525" s="1632" t="s">
        <v>419</v>
      </c>
      <c r="AH525" s="2593" t="s">
        <v>420</v>
      </c>
      <c r="AI525" s="2593"/>
      <c r="AJ525" s="2593"/>
      <c r="AK525" s="259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9" t="s">
        <v>430</v>
      </c>
      <c r="C526" s="2060"/>
      <c r="D526" s="2060"/>
      <c r="E526" s="2060"/>
      <c r="F526" s="2060"/>
      <c r="G526" s="2060"/>
      <c r="H526" s="2061"/>
      <c r="I526" s="72" t="s">
        <v>431</v>
      </c>
      <c r="J526" s="72"/>
      <c r="K526" s="72"/>
      <c r="L526" s="72"/>
      <c r="M526" s="72"/>
      <c r="N526" s="72"/>
      <c r="O526" s="72"/>
      <c r="P526" s="72"/>
      <c r="Q526" s="72"/>
      <c r="R526" s="72"/>
      <c r="S526" s="72"/>
      <c r="T526" s="72"/>
      <c r="U526" s="72"/>
      <c r="V526" s="72"/>
      <c r="W526" s="72"/>
      <c r="X526" s="25"/>
      <c r="Y526" s="25"/>
      <c r="AC526" s="2053">
        <v>7</v>
      </c>
      <c r="AD526" s="2054"/>
      <c r="AE526" s="2054"/>
      <c r="AF526" s="2054"/>
      <c r="AG526" s="75" t="s">
        <v>419</v>
      </c>
      <c r="AH526" s="2079">
        <v>2022</v>
      </c>
      <c r="AI526" s="2079"/>
      <c r="AJ526" s="2079"/>
      <c r="AK526" s="208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2"/>
      <c r="C527" s="2063"/>
      <c r="D527" s="2063"/>
      <c r="E527" s="2063"/>
      <c r="F527" s="2063"/>
      <c r="G527" s="2063"/>
      <c r="H527" s="2064"/>
      <c r="I527" s="25" t="s">
        <v>432</v>
      </c>
      <c r="J527" s="25"/>
      <c r="K527" s="25"/>
      <c r="L527" s="25"/>
      <c r="M527" s="25"/>
      <c r="N527" s="25"/>
      <c r="O527" s="25"/>
      <c r="P527" s="25"/>
      <c r="Q527" s="25"/>
      <c r="R527" s="25"/>
      <c r="S527" s="25"/>
      <c r="T527" s="25"/>
      <c r="U527" s="25"/>
      <c r="V527" s="25"/>
      <c r="W527" s="25"/>
      <c r="X527" s="25"/>
      <c r="Y527" s="25"/>
      <c r="AC527" s="2053">
        <v>7</v>
      </c>
      <c r="AD527" s="2054"/>
      <c r="AE527" s="2054"/>
      <c r="AF527" s="2054"/>
      <c r="AG527" s="75" t="s">
        <v>419</v>
      </c>
      <c r="AH527" s="2079">
        <v>2022</v>
      </c>
      <c r="AI527" s="2079"/>
      <c r="AJ527" s="2079"/>
      <c r="AK527" s="208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2"/>
      <c r="C528" s="2063"/>
      <c r="D528" s="2063"/>
      <c r="E528" s="2063"/>
      <c r="F528" s="2063"/>
      <c r="G528" s="2063"/>
      <c r="H528" s="2064"/>
      <c r="I528" s="80" t="s">
        <v>433</v>
      </c>
      <c r="J528" s="80"/>
      <c r="K528" s="80"/>
      <c r="L528" s="80"/>
      <c r="M528" s="80"/>
      <c r="N528" s="80"/>
      <c r="O528" s="80"/>
      <c r="P528" s="80"/>
      <c r="Q528" s="80"/>
      <c r="R528" s="80"/>
      <c r="S528" s="80"/>
      <c r="T528" s="80"/>
      <c r="U528" s="80"/>
      <c r="V528" s="80"/>
      <c r="W528" s="80"/>
      <c r="X528" s="80"/>
      <c r="Y528" s="80"/>
      <c r="Z528" s="80"/>
      <c r="AA528" s="80"/>
      <c r="AB528" s="80"/>
      <c r="AC528" s="2053">
        <v>3</v>
      </c>
      <c r="AD528" s="2054"/>
      <c r="AE528" s="2054"/>
      <c r="AF528" s="2054"/>
      <c r="AG528" s="65" t="s">
        <v>419</v>
      </c>
      <c r="AH528" s="2079">
        <v>2022</v>
      </c>
      <c r="AI528" s="2079"/>
      <c r="AJ528" s="2079"/>
      <c r="AK528" s="208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59" t="s">
        <v>434</v>
      </c>
      <c r="C529" s="2060"/>
      <c r="D529" s="2060"/>
      <c r="E529" s="2060"/>
      <c r="F529" s="2060"/>
      <c r="G529" s="2060"/>
      <c r="H529" s="2061"/>
      <c r="I529" s="72" t="s">
        <v>431</v>
      </c>
      <c r="J529" s="72"/>
      <c r="K529" s="72"/>
      <c r="L529" s="72"/>
      <c r="M529" s="72"/>
      <c r="N529" s="72"/>
      <c r="O529" s="72"/>
      <c r="P529" s="72"/>
      <c r="Q529" s="72"/>
      <c r="R529" s="72"/>
      <c r="S529" s="72"/>
      <c r="T529" s="72"/>
      <c r="U529" s="72"/>
      <c r="V529" s="72"/>
      <c r="W529" s="72"/>
      <c r="X529" s="72"/>
      <c r="Y529" s="72"/>
      <c r="Z529" s="72"/>
      <c r="AA529" s="72"/>
      <c r="AB529" s="72"/>
      <c r="AC529" s="2053">
        <v>6</v>
      </c>
      <c r="AD529" s="2054"/>
      <c r="AE529" s="2054"/>
      <c r="AF529" s="2054"/>
      <c r="AG529" s="196" t="s">
        <v>419</v>
      </c>
      <c r="AH529" s="2079">
        <v>2022</v>
      </c>
      <c r="AI529" s="2079"/>
      <c r="AJ529" s="2079"/>
      <c r="AK529" s="208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2"/>
      <c r="C530" s="2063"/>
      <c r="D530" s="2063"/>
      <c r="E530" s="2063"/>
      <c r="F530" s="2063"/>
      <c r="G530" s="2063"/>
      <c r="H530" s="2064"/>
      <c r="I530" s="25" t="s">
        <v>432</v>
      </c>
      <c r="J530" s="25"/>
      <c r="K530" s="25"/>
      <c r="L530" s="25"/>
      <c r="M530" s="25"/>
      <c r="N530" s="25"/>
      <c r="O530" s="25"/>
      <c r="P530" s="25"/>
      <c r="Q530" s="25"/>
      <c r="R530" s="25"/>
      <c r="S530" s="25"/>
      <c r="T530" s="25"/>
      <c r="U530" s="25"/>
      <c r="V530" s="25"/>
      <c r="W530" s="25"/>
      <c r="X530" s="25"/>
      <c r="Y530" s="25"/>
      <c r="Z530" s="25"/>
      <c r="AA530" s="25"/>
      <c r="AB530" s="25"/>
      <c r="AC530" s="2053">
        <v>7</v>
      </c>
      <c r="AD530" s="2054"/>
      <c r="AE530" s="2054"/>
      <c r="AF530" s="2054"/>
      <c r="AG530" s="75" t="s">
        <v>419</v>
      </c>
      <c r="AH530" s="2079">
        <v>2022</v>
      </c>
      <c r="AI530" s="2079"/>
      <c r="AJ530" s="2079"/>
      <c r="AK530" s="208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065"/>
      <c r="C531" s="2066"/>
      <c r="D531" s="2066"/>
      <c r="E531" s="2066"/>
      <c r="F531" s="2066"/>
      <c r="G531" s="2066"/>
      <c r="H531" s="2067"/>
      <c r="I531" s="80" t="s">
        <v>433</v>
      </c>
      <c r="J531" s="80"/>
      <c r="K531" s="80"/>
      <c r="L531" s="80"/>
      <c r="M531" s="80"/>
      <c r="N531" s="80"/>
      <c r="O531" s="80"/>
      <c r="P531" s="80"/>
      <c r="Q531" s="80"/>
      <c r="R531" s="80"/>
      <c r="S531" s="80"/>
      <c r="T531" s="80"/>
      <c r="U531" s="80"/>
      <c r="V531" s="80"/>
      <c r="W531" s="80"/>
      <c r="X531" s="80"/>
      <c r="Y531" s="80"/>
      <c r="Z531" s="80"/>
      <c r="AA531" s="80"/>
      <c r="AB531" s="80"/>
      <c r="AC531" s="2053">
        <v>3</v>
      </c>
      <c r="AD531" s="2054"/>
      <c r="AE531" s="2054"/>
      <c r="AF531" s="2054"/>
      <c r="AG531" s="65" t="s">
        <v>419</v>
      </c>
      <c r="AH531" s="2079">
        <v>2023</v>
      </c>
      <c r="AI531" s="2079"/>
      <c r="AJ531" s="2079"/>
      <c r="AK531" s="208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59" t="s">
        <v>435</v>
      </c>
      <c r="C532" s="2060"/>
      <c r="D532" s="2060"/>
      <c r="E532" s="2060"/>
      <c r="F532" s="2060"/>
      <c r="G532" s="2060"/>
      <c r="H532" s="2061"/>
      <c r="I532" s="71" t="s">
        <v>436</v>
      </c>
      <c r="J532" s="72"/>
      <c r="K532" s="72"/>
      <c r="L532" s="72"/>
      <c r="M532" s="72"/>
      <c r="N532" s="72"/>
      <c r="O532" s="2095" t="s">
        <v>339</v>
      </c>
      <c r="P532" s="2095"/>
      <c r="Q532" s="2095"/>
      <c r="R532" s="2095"/>
      <c r="S532" s="2095"/>
      <c r="T532" s="2095"/>
      <c r="U532" s="2095"/>
      <c r="V532" s="2095"/>
      <c r="W532" s="2095"/>
      <c r="X532" s="2095"/>
      <c r="Y532" s="2095"/>
      <c r="Z532" s="2095"/>
      <c r="AA532" s="2095"/>
      <c r="AB532" s="94"/>
      <c r="AC532" s="2053" t="s">
        <v>617</v>
      </c>
      <c r="AD532" s="2054"/>
      <c r="AE532" s="2054"/>
      <c r="AF532" s="2054"/>
      <c r="AG532" s="196" t="s">
        <v>419</v>
      </c>
      <c r="AH532" s="2079"/>
      <c r="AI532" s="2079"/>
      <c r="AJ532" s="2079"/>
      <c r="AK532" s="208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2"/>
      <c r="C533" s="2063"/>
      <c r="D533" s="2063"/>
      <c r="E533" s="2063"/>
      <c r="F533" s="2063"/>
      <c r="G533" s="2063"/>
      <c r="H533" s="2064"/>
      <c r="I533" s="171" t="s">
        <v>437</v>
      </c>
      <c r="J533" s="25"/>
      <c r="K533" s="25"/>
      <c r="L533" s="25"/>
      <c r="M533" s="25"/>
      <c r="N533" s="25"/>
      <c r="O533" s="25"/>
      <c r="P533" s="25"/>
      <c r="Q533" s="25"/>
      <c r="R533" s="25"/>
      <c r="S533" s="25"/>
      <c r="T533" s="25"/>
      <c r="U533" s="25"/>
      <c r="V533" s="25"/>
      <c r="W533" s="25"/>
      <c r="X533" s="25"/>
      <c r="Y533" s="25"/>
      <c r="Z533" s="25"/>
      <c r="AA533" s="25"/>
      <c r="AB533" s="101"/>
      <c r="AC533" s="2053">
        <v>1</v>
      </c>
      <c r="AD533" s="2054"/>
      <c r="AE533" s="2054"/>
      <c r="AF533" s="2054"/>
      <c r="AG533" s="75" t="s">
        <v>419</v>
      </c>
      <c r="AH533" s="2079">
        <v>2015</v>
      </c>
      <c r="AI533" s="2079"/>
      <c r="AJ533" s="2079"/>
      <c r="AK533" s="208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2"/>
      <c r="C534" s="2063"/>
      <c r="D534" s="2063"/>
      <c r="E534" s="2063"/>
      <c r="F534" s="2063"/>
      <c r="G534" s="2063"/>
      <c r="H534" s="2064"/>
      <c r="I534" s="79" t="s">
        <v>438</v>
      </c>
      <c r="J534" s="80"/>
      <c r="K534" s="80"/>
      <c r="L534" s="80"/>
      <c r="M534" s="80"/>
      <c r="N534" s="80"/>
      <c r="O534" s="80"/>
      <c r="P534" s="80"/>
      <c r="Q534" s="80"/>
      <c r="R534" s="80"/>
      <c r="S534" s="80"/>
      <c r="T534" s="80"/>
      <c r="U534" s="80"/>
      <c r="V534" s="80"/>
      <c r="W534" s="80"/>
      <c r="X534" s="80"/>
      <c r="Y534" s="80"/>
      <c r="Z534" s="80"/>
      <c r="AA534" s="80"/>
      <c r="AB534" s="81"/>
      <c r="AC534" s="2053">
        <v>4</v>
      </c>
      <c r="AD534" s="2054"/>
      <c r="AE534" s="2054"/>
      <c r="AF534" s="2054"/>
      <c r="AG534" s="65" t="s">
        <v>419</v>
      </c>
      <c r="AH534" s="2079">
        <v>2022</v>
      </c>
      <c r="AI534" s="2079"/>
      <c r="AJ534" s="2079"/>
      <c r="AK534" s="208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2"/>
      <c r="C535" s="2063"/>
      <c r="D535" s="2063"/>
      <c r="E535" s="2063"/>
      <c r="F535" s="2063"/>
      <c r="G535" s="2063"/>
      <c r="H535" s="2064"/>
      <c r="I535" s="72" t="s">
        <v>439</v>
      </c>
      <c r="J535" s="72"/>
      <c r="K535" s="72"/>
      <c r="L535" s="72"/>
      <c r="M535" s="72"/>
      <c r="N535" s="72"/>
      <c r="O535" s="2122" t="s">
        <v>339</v>
      </c>
      <c r="P535" s="2122"/>
      <c r="Q535" s="2122"/>
      <c r="R535" s="2122"/>
      <c r="S535" s="2122"/>
      <c r="T535" s="2122"/>
      <c r="U535" s="2122"/>
      <c r="V535" s="2122"/>
      <c r="W535" s="2122"/>
      <c r="X535" s="2122"/>
      <c r="Y535" s="2122"/>
      <c r="Z535" s="2122"/>
      <c r="AA535" s="2122"/>
      <c r="AC535" s="2053" t="s">
        <v>617</v>
      </c>
      <c r="AD535" s="2054"/>
      <c r="AE535" s="2054"/>
      <c r="AF535" s="2054"/>
      <c r="AG535" s="75" t="s">
        <v>419</v>
      </c>
      <c r="AH535" s="2079"/>
      <c r="AI535" s="2079"/>
      <c r="AJ535" s="2079"/>
      <c r="AK535" s="208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2"/>
      <c r="C536" s="2063"/>
      <c r="D536" s="2063"/>
      <c r="E536" s="2063"/>
      <c r="F536" s="2063"/>
      <c r="G536" s="2063"/>
      <c r="H536" s="2064"/>
      <c r="I536" s="25" t="s">
        <v>437</v>
      </c>
      <c r="J536" s="25"/>
      <c r="K536" s="25"/>
      <c r="L536" s="25"/>
      <c r="M536" s="25"/>
      <c r="N536" s="25"/>
      <c r="O536" s="25"/>
      <c r="P536" s="25"/>
      <c r="Q536" s="25"/>
      <c r="R536" s="25"/>
      <c r="S536" s="25"/>
      <c r="T536" s="25"/>
      <c r="U536" s="25"/>
      <c r="V536" s="25"/>
      <c r="W536" s="25"/>
      <c r="X536" s="25"/>
      <c r="Y536" s="25"/>
      <c r="AC536" s="2053">
        <v>1</v>
      </c>
      <c r="AD536" s="2054"/>
      <c r="AE536" s="2054"/>
      <c r="AF536" s="2054"/>
      <c r="AG536" s="75" t="s">
        <v>419</v>
      </c>
      <c r="AH536" s="2079">
        <v>2022</v>
      </c>
      <c r="AI536" s="2079"/>
      <c r="AJ536" s="2079"/>
      <c r="AK536" s="208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2"/>
      <c r="C537" s="2063"/>
      <c r="D537" s="2063"/>
      <c r="E537" s="2063"/>
      <c r="F537" s="2063"/>
      <c r="G537" s="2063"/>
      <c r="H537" s="2064"/>
      <c r="I537" s="80" t="s">
        <v>438</v>
      </c>
      <c r="J537" s="80"/>
      <c r="K537" s="80"/>
      <c r="L537" s="80"/>
      <c r="M537" s="80"/>
      <c r="N537" s="80"/>
      <c r="O537" s="80"/>
      <c r="P537" s="80"/>
      <c r="Q537" s="80"/>
      <c r="R537" s="80"/>
      <c r="S537" s="80"/>
      <c r="T537" s="80"/>
      <c r="U537" s="80"/>
      <c r="V537" s="80"/>
      <c r="W537" s="80"/>
      <c r="X537" s="80"/>
      <c r="Y537" s="80"/>
      <c r="Z537" s="80"/>
      <c r="AA537" s="80"/>
      <c r="AB537" s="80"/>
      <c r="AC537" s="2053">
        <v>4</v>
      </c>
      <c r="AD537" s="2054"/>
      <c r="AE537" s="2054"/>
      <c r="AF537" s="2054"/>
      <c r="AG537" s="65" t="s">
        <v>419</v>
      </c>
      <c r="AH537" s="2079">
        <v>2022</v>
      </c>
      <c r="AI537" s="2079"/>
      <c r="AJ537" s="2079"/>
      <c r="AK537" s="208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2"/>
      <c r="C538" s="2063"/>
      <c r="D538" s="2063"/>
      <c r="E538" s="2063"/>
      <c r="F538" s="2063"/>
      <c r="G538" s="2063"/>
      <c r="H538" s="2064"/>
      <c r="I538" s="72" t="s">
        <v>439</v>
      </c>
      <c r="J538" s="72"/>
      <c r="K538" s="72"/>
      <c r="L538" s="72"/>
      <c r="M538" s="72"/>
      <c r="N538" s="72"/>
      <c r="O538" s="2122" t="s">
        <v>339</v>
      </c>
      <c r="P538" s="2122"/>
      <c r="Q538" s="2122"/>
      <c r="R538" s="2122"/>
      <c r="S538" s="2122"/>
      <c r="T538" s="2122"/>
      <c r="U538" s="2122"/>
      <c r="V538" s="2122"/>
      <c r="W538" s="2122"/>
      <c r="X538" s="2122"/>
      <c r="Y538" s="2122"/>
      <c r="Z538" s="2122"/>
      <c r="AA538" s="2122"/>
      <c r="AC538" s="2053" t="s">
        <v>617</v>
      </c>
      <c r="AD538" s="2054"/>
      <c r="AE538" s="2054"/>
      <c r="AF538" s="2054"/>
      <c r="AG538" s="75" t="s">
        <v>419</v>
      </c>
      <c r="AH538" s="2079"/>
      <c r="AI538" s="2079"/>
      <c r="AJ538" s="2079"/>
      <c r="AK538" s="208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2"/>
      <c r="C539" s="2063"/>
      <c r="D539" s="2063"/>
      <c r="E539" s="2063"/>
      <c r="F539" s="2063"/>
      <c r="G539" s="2063"/>
      <c r="H539" s="2064"/>
      <c r="I539" s="25" t="s">
        <v>437</v>
      </c>
      <c r="J539" s="25"/>
      <c r="K539" s="25"/>
      <c r="L539" s="25"/>
      <c r="M539" s="25"/>
      <c r="N539" s="25"/>
      <c r="O539" s="25"/>
      <c r="P539" s="25"/>
      <c r="Q539" s="25"/>
      <c r="R539" s="25"/>
      <c r="S539" s="25"/>
      <c r="T539" s="25"/>
      <c r="U539" s="25"/>
      <c r="V539" s="25"/>
      <c r="W539" s="25"/>
      <c r="X539" s="25"/>
      <c r="Y539" s="25"/>
      <c r="AC539" s="2053">
        <v>2</v>
      </c>
      <c r="AD539" s="2054"/>
      <c r="AE539" s="2054"/>
      <c r="AF539" s="2054"/>
      <c r="AG539" s="75" t="s">
        <v>419</v>
      </c>
      <c r="AH539" s="2079">
        <v>2022</v>
      </c>
      <c r="AI539" s="2079"/>
      <c r="AJ539" s="2079"/>
      <c r="AK539" s="208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2"/>
      <c r="C540" s="2063"/>
      <c r="D540" s="2063"/>
      <c r="E540" s="2063"/>
      <c r="F540" s="2063"/>
      <c r="G540" s="2063"/>
      <c r="H540" s="2064"/>
      <c r="I540" s="80" t="s">
        <v>438</v>
      </c>
      <c r="J540" s="80"/>
      <c r="K540" s="80"/>
      <c r="L540" s="80"/>
      <c r="M540" s="80"/>
      <c r="N540" s="80"/>
      <c r="O540" s="80"/>
      <c r="P540" s="80"/>
      <c r="Q540" s="80"/>
      <c r="R540" s="80"/>
      <c r="S540" s="80"/>
      <c r="T540" s="80"/>
      <c r="U540" s="80"/>
      <c r="V540" s="80"/>
      <c r="W540" s="80"/>
      <c r="X540" s="80"/>
      <c r="Y540" s="80"/>
      <c r="Z540" s="80"/>
      <c r="AA540" s="80"/>
      <c r="AB540" s="80"/>
      <c r="AC540" s="2053">
        <v>6</v>
      </c>
      <c r="AD540" s="2054"/>
      <c r="AE540" s="2054"/>
      <c r="AF540" s="2054"/>
      <c r="AG540" s="65" t="s">
        <v>419</v>
      </c>
      <c r="AH540" s="2079">
        <v>2022</v>
      </c>
      <c r="AI540" s="2079"/>
      <c r="AJ540" s="2079"/>
      <c r="AK540" s="208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2"/>
      <c r="C541" s="2063"/>
      <c r="D541" s="2063"/>
      <c r="E541" s="2063"/>
      <c r="F541" s="2063"/>
      <c r="G541" s="2063"/>
      <c r="H541" s="2064"/>
      <c r="I541" s="72" t="s">
        <v>439</v>
      </c>
      <c r="J541" s="72"/>
      <c r="K541" s="72"/>
      <c r="L541" s="72"/>
      <c r="M541" s="72"/>
      <c r="N541" s="72"/>
      <c r="O541" s="2122" t="s">
        <v>339</v>
      </c>
      <c r="P541" s="2122"/>
      <c r="Q541" s="2122"/>
      <c r="R541" s="2122"/>
      <c r="S541" s="2122"/>
      <c r="T541" s="2122"/>
      <c r="U541" s="2122"/>
      <c r="V541" s="2122"/>
      <c r="W541" s="2122"/>
      <c r="X541" s="2122"/>
      <c r="Y541" s="2122"/>
      <c r="Z541" s="2122"/>
      <c r="AA541" s="2122"/>
      <c r="AC541" s="2053" t="s">
        <v>617</v>
      </c>
      <c r="AD541" s="2054"/>
      <c r="AE541" s="2054"/>
      <c r="AF541" s="2054"/>
      <c r="AG541" s="75" t="s">
        <v>419</v>
      </c>
      <c r="AH541" s="2079"/>
      <c r="AI541" s="2079"/>
      <c r="AJ541" s="2079"/>
      <c r="AK541" s="208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2"/>
      <c r="C542" s="2063"/>
      <c r="D542" s="2063"/>
      <c r="E542" s="2063"/>
      <c r="F542" s="2063"/>
      <c r="G542" s="2063"/>
      <c r="H542" s="2064"/>
      <c r="I542" s="25" t="s">
        <v>437</v>
      </c>
      <c r="J542" s="25"/>
      <c r="K542" s="25"/>
      <c r="L542" s="25"/>
      <c r="M542" s="25"/>
      <c r="N542" s="25"/>
      <c r="O542" s="25"/>
      <c r="P542" s="25"/>
      <c r="Q542" s="25"/>
      <c r="R542" s="25"/>
      <c r="S542" s="25"/>
      <c r="T542" s="25"/>
      <c r="U542" s="25"/>
      <c r="V542" s="25"/>
      <c r="W542" s="25"/>
      <c r="X542" s="25"/>
      <c r="Y542" s="25"/>
      <c r="AC542" s="2053">
        <v>8</v>
      </c>
      <c r="AD542" s="2054"/>
      <c r="AE542" s="2054"/>
      <c r="AF542" s="2054"/>
      <c r="AG542" s="75" t="s">
        <v>419</v>
      </c>
      <c r="AH542" s="2079">
        <v>2022</v>
      </c>
      <c r="AI542" s="2079"/>
      <c r="AJ542" s="2079"/>
      <c r="AK542" s="208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2"/>
      <c r="C543" s="2063"/>
      <c r="D543" s="2063"/>
      <c r="E543" s="2063"/>
      <c r="F543" s="2063"/>
      <c r="G543" s="2063"/>
      <c r="H543" s="2064"/>
      <c r="I543" s="80" t="s">
        <v>438</v>
      </c>
      <c r="J543" s="80"/>
      <c r="K543" s="80"/>
      <c r="L543" s="80"/>
      <c r="M543" s="80"/>
      <c r="N543" s="80"/>
      <c r="O543" s="80"/>
      <c r="P543" s="80"/>
      <c r="Q543" s="80"/>
      <c r="R543" s="80"/>
      <c r="S543" s="80"/>
      <c r="T543" s="80"/>
      <c r="U543" s="80"/>
      <c r="V543" s="80"/>
      <c r="W543" s="80"/>
      <c r="X543" s="80"/>
      <c r="Y543" s="80"/>
      <c r="Z543" s="80"/>
      <c r="AA543" s="80"/>
      <c r="AB543" s="80"/>
      <c r="AC543" s="2053">
        <v>10</v>
      </c>
      <c r="AD543" s="2054"/>
      <c r="AE543" s="2054"/>
      <c r="AF543" s="2054"/>
      <c r="AG543" s="65" t="s">
        <v>419</v>
      </c>
      <c r="AH543" s="2079">
        <v>2022</v>
      </c>
      <c r="AI543" s="2079"/>
      <c r="AJ543" s="2079"/>
      <c r="AK543" s="208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2"/>
      <c r="C544" s="2063"/>
      <c r="D544" s="2063"/>
      <c r="E544" s="2063"/>
      <c r="F544" s="2063"/>
      <c r="G544" s="2063"/>
      <c r="H544" s="2064"/>
      <c r="I544" s="72" t="s">
        <v>439</v>
      </c>
      <c r="J544" s="72"/>
      <c r="K544" s="72"/>
      <c r="L544" s="72"/>
      <c r="M544" s="72"/>
      <c r="N544" s="72"/>
      <c r="O544" s="2122" t="s">
        <v>339</v>
      </c>
      <c r="P544" s="2122"/>
      <c r="Q544" s="2122"/>
      <c r="R544" s="2122"/>
      <c r="S544" s="2122"/>
      <c r="T544" s="2122"/>
      <c r="U544" s="2122"/>
      <c r="V544" s="2122"/>
      <c r="W544" s="2122"/>
      <c r="X544" s="2122"/>
      <c r="Y544" s="2122"/>
      <c r="Z544" s="2122"/>
      <c r="AA544" s="2122"/>
      <c r="AC544" s="2053" t="s">
        <v>617</v>
      </c>
      <c r="AD544" s="2054"/>
      <c r="AE544" s="2054"/>
      <c r="AF544" s="2054"/>
      <c r="AG544" s="75" t="s">
        <v>419</v>
      </c>
      <c r="AH544" s="2079"/>
      <c r="AI544" s="2079"/>
      <c r="AJ544" s="2079"/>
      <c r="AK544" s="208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2"/>
      <c r="C545" s="2063"/>
      <c r="D545" s="2063"/>
      <c r="E545" s="2063"/>
      <c r="F545" s="2063"/>
      <c r="G545" s="2063"/>
      <c r="H545" s="2064"/>
      <c r="I545" s="25" t="s">
        <v>437</v>
      </c>
      <c r="J545" s="25"/>
      <c r="K545" s="25"/>
      <c r="L545" s="25"/>
      <c r="M545" s="25"/>
      <c r="N545" s="25"/>
      <c r="O545" s="25"/>
      <c r="P545" s="25"/>
      <c r="Q545" s="25"/>
      <c r="R545" s="25"/>
      <c r="S545" s="25"/>
      <c r="T545" s="25"/>
      <c r="U545" s="25"/>
      <c r="V545" s="25"/>
      <c r="W545" s="25"/>
      <c r="X545" s="25"/>
      <c r="Y545" s="25"/>
      <c r="AC545" s="2053" t="s">
        <v>617</v>
      </c>
      <c r="AD545" s="2054"/>
      <c r="AE545" s="2054"/>
      <c r="AF545" s="2054"/>
      <c r="AG545" s="65" t="s">
        <v>419</v>
      </c>
      <c r="AH545" s="2079"/>
      <c r="AI545" s="2079"/>
      <c r="AJ545" s="2079"/>
      <c r="AK545" s="208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2"/>
      <c r="C546" s="2063"/>
      <c r="D546" s="2063"/>
      <c r="E546" s="2063"/>
      <c r="F546" s="2063"/>
      <c r="G546" s="2063"/>
      <c r="H546" s="2064"/>
      <c r="I546" s="80" t="s">
        <v>438</v>
      </c>
      <c r="J546" s="80"/>
      <c r="K546" s="80"/>
      <c r="L546" s="80"/>
      <c r="M546" s="80"/>
      <c r="N546" s="80"/>
      <c r="O546" s="80"/>
      <c r="P546" s="80"/>
      <c r="Q546" s="80"/>
      <c r="R546" s="80"/>
      <c r="S546" s="80"/>
      <c r="T546" s="80"/>
      <c r="U546" s="80"/>
      <c r="V546" s="80"/>
      <c r="W546" s="80"/>
      <c r="X546" s="80"/>
      <c r="Y546" s="80"/>
      <c r="Z546" s="80"/>
      <c r="AA546" s="80"/>
      <c r="AB546" s="80"/>
      <c r="AC546" s="2053" t="s">
        <v>617</v>
      </c>
      <c r="AD546" s="2054"/>
      <c r="AE546" s="2054"/>
      <c r="AF546" s="2054"/>
      <c r="AG546" s="75" t="s">
        <v>419</v>
      </c>
      <c r="AH546" s="2079"/>
      <c r="AI546" s="2079"/>
      <c r="AJ546" s="2079"/>
      <c r="AK546" s="208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2"/>
      <c r="C547" s="2063"/>
      <c r="D547" s="2063"/>
      <c r="E547" s="2063"/>
      <c r="F547" s="2063"/>
      <c r="G547" s="2063"/>
      <c r="H547" s="2064"/>
      <c r="I547" s="72" t="s">
        <v>439</v>
      </c>
      <c r="J547" s="72"/>
      <c r="K547" s="72"/>
      <c r="L547" s="72"/>
      <c r="M547" s="72"/>
      <c r="N547" s="72"/>
      <c r="O547" s="2122" t="s">
        <v>339</v>
      </c>
      <c r="P547" s="2122"/>
      <c r="Q547" s="2122"/>
      <c r="R547" s="2122"/>
      <c r="S547" s="2122"/>
      <c r="T547" s="2122"/>
      <c r="U547" s="2122"/>
      <c r="V547" s="2122"/>
      <c r="W547" s="2122"/>
      <c r="X547" s="2122"/>
      <c r="Y547" s="2122"/>
      <c r="Z547" s="2122"/>
      <c r="AA547" s="2122"/>
      <c r="AC547" s="2053" t="s">
        <v>617</v>
      </c>
      <c r="AD547" s="2054"/>
      <c r="AE547" s="2054"/>
      <c r="AF547" s="2054"/>
      <c r="AG547" s="65" t="s">
        <v>419</v>
      </c>
      <c r="AH547" s="2079"/>
      <c r="AI547" s="2079"/>
      <c r="AJ547" s="2079"/>
      <c r="AK547" s="208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2"/>
      <c r="C548" s="2063"/>
      <c r="D548" s="2063"/>
      <c r="E548" s="2063"/>
      <c r="F548" s="2063"/>
      <c r="G548" s="2063"/>
      <c r="H548" s="2064"/>
      <c r="I548" s="25" t="s">
        <v>437</v>
      </c>
      <c r="J548" s="25"/>
      <c r="K548" s="25"/>
      <c r="L548" s="25"/>
      <c r="M548" s="25"/>
      <c r="N548" s="25"/>
      <c r="O548" s="25"/>
      <c r="P548" s="25"/>
      <c r="Q548" s="25"/>
      <c r="R548" s="25"/>
      <c r="S548" s="25"/>
      <c r="T548" s="25"/>
      <c r="U548" s="25"/>
      <c r="V548" s="25"/>
      <c r="W548" s="25"/>
      <c r="X548" s="25"/>
      <c r="Y548" s="25"/>
      <c r="AC548" s="2053" t="s">
        <v>617</v>
      </c>
      <c r="AD548" s="2054"/>
      <c r="AE548" s="2054"/>
      <c r="AF548" s="2054"/>
      <c r="AG548" s="75" t="s">
        <v>419</v>
      </c>
      <c r="AH548" s="2079"/>
      <c r="AI548" s="2079"/>
      <c r="AJ548" s="2079"/>
      <c r="AK548" s="208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2"/>
      <c r="C549" s="2063"/>
      <c r="D549" s="2063"/>
      <c r="E549" s="2063"/>
      <c r="F549" s="2063"/>
      <c r="G549" s="2063"/>
      <c r="H549" s="2064"/>
      <c r="I549" s="80" t="s">
        <v>438</v>
      </c>
      <c r="J549" s="80"/>
      <c r="K549" s="80"/>
      <c r="L549" s="80"/>
      <c r="M549" s="80"/>
      <c r="N549" s="80"/>
      <c r="O549" s="80"/>
      <c r="P549" s="80"/>
      <c r="Q549" s="80"/>
      <c r="R549" s="80"/>
      <c r="S549" s="80"/>
      <c r="T549" s="80"/>
      <c r="U549" s="80"/>
      <c r="V549" s="80"/>
      <c r="W549" s="80"/>
      <c r="X549" s="80"/>
      <c r="Y549" s="80"/>
      <c r="Z549" s="80"/>
      <c r="AA549" s="80"/>
      <c r="AB549" s="80"/>
      <c r="AC549" s="2053" t="s">
        <v>617</v>
      </c>
      <c r="AD549" s="2054"/>
      <c r="AE549" s="2054"/>
      <c r="AF549" s="2054"/>
      <c r="AG549" s="65" t="s">
        <v>419</v>
      </c>
      <c r="AH549" s="2079"/>
      <c r="AI549" s="2079"/>
      <c r="AJ549" s="2079"/>
      <c r="AK549" s="208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2"/>
      <c r="C550" s="2063"/>
      <c r="D550" s="2063"/>
      <c r="E550" s="2063"/>
      <c r="F550" s="2063"/>
      <c r="G550" s="2063"/>
      <c r="H550" s="2064"/>
      <c r="I550" s="72" t="s">
        <v>587</v>
      </c>
      <c r="J550" s="72"/>
      <c r="K550" s="72"/>
      <c r="L550" s="72"/>
      <c r="M550" s="72"/>
      <c r="N550" s="72"/>
      <c r="O550" s="72"/>
      <c r="P550" s="72"/>
      <c r="Q550" s="72"/>
      <c r="R550" s="72"/>
      <c r="S550" s="72"/>
      <c r="T550" s="72"/>
      <c r="U550" s="72"/>
      <c r="V550" s="72"/>
      <c r="W550" s="72"/>
      <c r="X550" s="25"/>
      <c r="Y550" s="25"/>
      <c r="AC550" s="2053" t="s">
        <v>617</v>
      </c>
      <c r="AD550" s="2054"/>
      <c r="AE550" s="2054"/>
      <c r="AF550" s="2054"/>
      <c r="AG550" s="65" t="s">
        <v>419</v>
      </c>
      <c r="AH550" s="2079"/>
      <c r="AI550" s="2079"/>
      <c r="AJ550" s="2079"/>
      <c r="AK550" s="208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2"/>
      <c r="C551" s="2063"/>
      <c r="D551" s="2063"/>
      <c r="E551" s="2063"/>
      <c r="F551" s="2063"/>
      <c r="G551" s="2063"/>
      <c r="H551" s="2064"/>
      <c r="I551" s="25" t="s">
        <v>588</v>
      </c>
      <c r="J551" s="25"/>
      <c r="K551" s="25"/>
      <c r="L551" s="25"/>
      <c r="M551" s="25"/>
      <c r="N551" s="25"/>
      <c r="O551" s="25"/>
      <c r="P551" s="25"/>
      <c r="Q551" s="25"/>
      <c r="R551" s="25"/>
      <c r="S551" s="25"/>
      <c r="T551" s="25"/>
      <c r="U551" s="25"/>
      <c r="V551" s="25"/>
      <c r="W551" s="25"/>
      <c r="X551" s="25"/>
      <c r="Y551" s="25"/>
      <c r="AC551" s="2053">
        <v>3</v>
      </c>
      <c r="AD551" s="2054"/>
      <c r="AE551" s="2054"/>
      <c r="AF551" s="2054"/>
      <c r="AG551" s="75" t="s">
        <v>419</v>
      </c>
      <c r="AH551" s="2079">
        <v>2023</v>
      </c>
      <c r="AI551" s="2079"/>
      <c r="AJ551" s="2079"/>
      <c r="AK551" s="208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2"/>
      <c r="C552" s="2063"/>
      <c r="D552" s="2063"/>
      <c r="E552" s="2063"/>
      <c r="F552" s="2063"/>
      <c r="G552" s="2063"/>
      <c r="H552" s="2064"/>
      <c r="I552" s="25" t="s">
        <v>589</v>
      </c>
      <c r="J552" s="25"/>
      <c r="K552" s="25"/>
      <c r="L552" s="25"/>
      <c r="M552" s="25"/>
      <c r="N552" s="25"/>
      <c r="O552" s="25"/>
      <c r="P552" s="25"/>
      <c r="Q552" s="25"/>
      <c r="R552" s="25"/>
      <c r="S552" s="25"/>
      <c r="T552" s="25"/>
      <c r="U552" s="25"/>
      <c r="V552" s="25"/>
      <c r="W552" s="25"/>
      <c r="X552" s="25"/>
      <c r="Y552" s="25"/>
      <c r="AC552" s="2053">
        <v>11</v>
      </c>
      <c r="AD552" s="2054"/>
      <c r="AE552" s="2054"/>
      <c r="AF552" s="2054"/>
      <c r="AG552" s="65" t="s">
        <v>419</v>
      </c>
      <c r="AH552" s="2079">
        <v>2024</v>
      </c>
      <c r="AI552" s="2079"/>
      <c r="AJ552" s="2079"/>
      <c r="AK552" s="208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2"/>
      <c r="C553" s="2063"/>
      <c r="D553" s="2063"/>
      <c r="E553" s="2063"/>
      <c r="F553" s="2063"/>
      <c r="G553" s="2063"/>
      <c r="H553" s="2064"/>
      <c r="I553" s="25" t="s">
        <v>590</v>
      </c>
      <c r="J553" s="25"/>
      <c r="K553" s="25"/>
      <c r="L553" s="25"/>
      <c r="M553" s="25"/>
      <c r="N553" s="25"/>
      <c r="O553" s="25"/>
      <c r="P553" s="25"/>
      <c r="Q553" s="25"/>
      <c r="R553" s="25"/>
      <c r="S553" s="25"/>
      <c r="T553" s="25"/>
      <c r="U553" s="25"/>
      <c r="V553" s="25"/>
      <c r="W553" s="25"/>
      <c r="X553" s="25"/>
      <c r="Y553" s="25"/>
      <c r="AC553" s="2053">
        <v>11</v>
      </c>
      <c r="AD553" s="2054"/>
      <c r="AE553" s="2054"/>
      <c r="AF553" s="2054"/>
      <c r="AG553" s="65" t="s">
        <v>419</v>
      </c>
      <c r="AH553" s="2079">
        <v>2024</v>
      </c>
      <c r="AI553" s="2079"/>
      <c r="AJ553" s="2079"/>
      <c r="AK553" s="208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065"/>
      <c r="C554" s="2066"/>
      <c r="D554" s="2066"/>
      <c r="E554" s="2066"/>
      <c r="F554" s="2066"/>
      <c r="G554" s="2066"/>
      <c r="H554" s="2067"/>
      <c r="I554" s="80" t="s">
        <v>475</v>
      </c>
      <c r="J554" s="80"/>
      <c r="K554" s="80"/>
      <c r="L554" s="80"/>
      <c r="M554" s="80"/>
      <c r="N554" s="80"/>
      <c r="O554" s="80"/>
      <c r="P554" s="80"/>
      <c r="Q554" s="80"/>
      <c r="R554" s="80"/>
      <c r="S554" s="80"/>
      <c r="T554" s="80"/>
      <c r="U554" s="80"/>
      <c r="V554" s="80"/>
      <c r="W554" s="80"/>
      <c r="X554" s="80"/>
      <c r="Y554" s="80"/>
      <c r="Z554" s="80"/>
      <c r="AA554" s="80"/>
      <c r="AB554" s="80"/>
      <c r="AC554" s="2053">
        <v>3</v>
      </c>
      <c r="AD554" s="2054"/>
      <c r="AE554" s="2054"/>
      <c r="AF554" s="2054"/>
      <c r="AG554" s="65" t="s">
        <v>419</v>
      </c>
      <c r="AH554" s="2079">
        <v>2025</v>
      </c>
      <c r="AI554" s="2079"/>
      <c r="AJ554" s="2079"/>
      <c r="AK554" s="208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1" t="s">
        <v>568</v>
      </c>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1901"/>
      <c r="AL556" s="1901"/>
      <c r="AM556" s="1901"/>
      <c r="AN556" s="1901"/>
      <c r="AO556" s="1901"/>
      <c r="AP556" s="1901"/>
      <c r="AQ556" s="1901"/>
      <c r="AR556" s="1901"/>
      <c r="AS556" s="1901"/>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1"/>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1901"/>
      <c r="AL557" s="1901"/>
      <c r="AM557" s="1901"/>
      <c r="AN557" s="1901"/>
      <c r="AO557" s="1901"/>
      <c r="AP557" s="1901"/>
      <c r="AQ557" s="1901"/>
      <c r="AR557" s="1901"/>
      <c r="AS557" s="1901"/>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7" t="s">
        <v>477</v>
      </c>
      <c r="C563" s="2136"/>
      <c r="D563" s="2136"/>
      <c r="E563" s="2136"/>
      <c r="F563" s="2136"/>
      <c r="G563" s="2136"/>
      <c r="H563" s="2136"/>
      <c r="I563" s="2136"/>
      <c r="J563" s="2136"/>
      <c r="K563" s="2136"/>
      <c r="L563" s="2136"/>
      <c r="M563" s="2136"/>
      <c r="N563" s="2136"/>
      <c r="O563" s="2136"/>
      <c r="P563" s="2137"/>
      <c r="Q563" s="2577" t="s">
        <v>2170</v>
      </c>
      <c r="R563" s="2578"/>
      <c r="S563" s="2579"/>
      <c r="T563" s="2577" t="s">
        <v>2168</v>
      </c>
      <c r="U563" s="2578"/>
      <c r="V563" s="2579"/>
      <c r="W563" s="2577" t="s">
        <v>478</v>
      </c>
      <c r="X563" s="2578"/>
      <c r="Y563" s="2579"/>
      <c r="Z563" s="2577" t="s">
        <v>2169</v>
      </c>
      <c r="AA563" s="2578"/>
      <c r="AB563" s="2578"/>
      <c r="AC563" s="2578"/>
      <c r="AD563" s="2578"/>
      <c r="AE563" s="2577" t="s">
        <v>1987</v>
      </c>
      <c r="AF563" s="2578"/>
      <c r="AG563" s="2578"/>
      <c r="AH563" s="2579"/>
      <c r="AI563" s="2577" t="s">
        <v>1988</v>
      </c>
      <c r="AJ563" s="2578"/>
      <c r="AK563" s="2578"/>
      <c r="AL563" s="2579"/>
      <c r="AM563" s="2577" t="s">
        <v>479</v>
      </c>
      <c r="AN563" s="2578"/>
      <c r="AO563" s="2578"/>
      <c r="AP563" s="2578"/>
      <c r="AQ563" s="2578"/>
      <c r="AR563" s="2578"/>
      <c r="AS563" s="257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3" t="s">
        <v>2704</v>
      </c>
      <c r="D564" s="2153"/>
      <c r="E564" s="2153"/>
      <c r="F564" s="2153"/>
      <c r="G564" s="2153"/>
      <c r="H564" s="2153"/>
      <c r="I564" s="2153"/>
      <c r="J564" s="2153"/>
      <c r="K564" s="2153"/>
      <c r="L564" s="2153"/>
      <c r="M564" s="2153"/>
      <c r="N564" s="2153"/>
      <c r="O564" s="2153"/>
      <c r="P564" s="2154"/>
      <c r="Q564" s="2110">
        <v>30</v>
      </c>
      <c r="R564" s="2110"/>
      <c r="S564" s="2111"/>
      <c r="T564" s="2109"/>
      <c r="U564" s="2110"/>
      <c r="V564" s="2111"/>
      <c r="W564" s="2587">
        <v>6.9589999999999999E-2</v>
      </c>
      <c r="X564" s="2588"/>
      <c r="Y564" s="2589"/>
      <c r="Z564" s="2586" t="s">
        <v>2712</v>
      </c>
      <c r="AA564" s="2586"/>
      <c r="AB564" s="2586"/>
      <c r="AC564" s="2586"/>
      <c r="AD564" s="2586"/>
      <c r="AE564" s="2583">
        <v>1</v>
      </c>
      <c r="AF564" s="2584"/>
      <c r="AG564" s="2584"/>
      <c r="AH564" s="2585"/>
      <c r="AI564" s="2580"/>
      <c r="AJ564" s="2581"/>
      <c r="AK564" s="2581"/>
      <c r="AL564" s="2582"/>
      <c r="AM564" s="2258">
        <v>17452823</v>
      </c>
      <c r="AN564" s="2259"/>
      <c r="AO564" s="2259"/>
      <c r="AP564" s="2259"/>
      <c r="AQ564" s="2259"/>
      <c r="AR564" s="2259"/>
      <c r="AS564" s="2260"/>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3" t="s">
        <v>2705</v>
      </c>
      <c r="D565" s="2153"/>
      <c r="E565" s="2153"/>
      <c r="F565" s="2153"/>
      <c r="G565" s="2153"/>
      <c r="H565" s="2153"/>
      <c r="I565" s="2153"/>
      <c r="J565" s="2153"/>
      <c r="K565" s="2153"/>
      <c r="L565" s="2153"/>
      <c r="M565" s="2153"/>
      <c r="N565" s="2153"/>
      <c r="O565" s="2153"/>
      <c r="P565" s="2154"/>
      <c r="Q565" s="2109">
        <v>30</v>
      </c>
      <c r="R565" s="2110"/>
      <c r="S565" s="2111"/>
      <c r="T565" s="2109"/>
      <c r="U565" s="2110"/>
      <c r="V565" s="2111"/>
      <c r="W565" s="2587">
        <v>7.2090000000000001E-2</v>
      </c>
      <c r="X565" s="2588"/>
      <c r="Y565" s="2589"/>
      <c r="Z565" s="2586" t="s">
        <v>2712</v>
      </c>
      <c r="AA565" s="2586"/>
      <c r="AB565" s="2586"/>
      <c r="AC565" s="2586"/>
      <c r="AD565" s="2586"/>
      <c r="AE565" s="2583">
        <v>2</v>
      </c>
      <c r="AF565" s="2584"/>
      <c r="AG565" s="2584"/>
      <c r="AH565" s="2585"/>
      <c r="AI565" s="2580"/>
      <c r="AJ565" s="2581"/>
      <c r="AK565" s="2581"/>
      <c r="AL565" s="2582"/>
      <c r="AM565" s="2258">
        <v>5516584</v>
      </c>
      <c r="AN565" s="2259"/>
      <c r="AO565" s="2259"/>
      <c r="AP565" s="2259"/>
      <c r="AQ565" s="2259"/>
      <c r="AR565" s="2259"/>
      <c r="AS565" s="226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3" t="s">
        <v>2706</v>
      </c>
      <c r="D566" s="2153"/>
      <c r="E566" s="2153"/>
      <c r="F566" s="2153"/>
      <c r="G566" s="2153"/>
      <c r="H566" s="2153"/>
      <c r="I566" s="2153"/>
      <c r="J566" s="2153"/>
      <c r="K566" s="2153"/>
      <c r="L566" s="2153"/>
      <c r="M566" s="2153"/>
      <c r="N566" s="2153"/>
      <c r="O566" s="2153"/>
      <c r="P566" s="2154"/>
      <c r="Q566" s="2109">
        <v>30</v>
      </c>
      <c r="R566" s="2110"/>
      <c r="S566" s="2111"/>
      <c r="T566" s="2109"/>
      <c r="U566" s="2110"/>
      <c r="V566" s="2111"/>
      <c r="W566" s="2587">
        <v>0.03</v>
      </c>
      <c r="X566" s="2588"/>
      <c r="Y566" s="2589"/>
      <c r="Z566" s="2586" t="s">
        <v>2713</v>
      </c>
      <c r="AA566" s="2586"/>
      <c r="AB566" s="2586"/>
      <c r="AC566" s="2586"/>
      <c r="AD566" s="2586"/>
      <c r="AE566" s="2583">
        <v>3</v>
      </c>
      <c r="AF566" s="2584"/>
      <c r="AG566" s="2584"/>
      <c r="AH566" s="2585"/>
      <c r="AI566" s="2580"/>
      <c r="AJ566" s="2581"/>
      <c r="AK566" s="2581"/>
      <c r="AL566" s="2582"/>
      <c r="AM566" s="2258">
        <v>2000000</v>
      </c>
      <c r="AN566" s="2259"/>
      <c r="AO566" s="2259"/>
      <c r="AP566" s="2259"/>
      <c r="AQ566" s="2259"/>
      <c r="AR566" s="2259"/>
      <c r="AS566" s="226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53" t="s">
        <v>2707</v>
      </c>
      <c r="D567" s="2153"/>
      <c r="E567" s="2153"/>
      <c r="F567" s="2153"/>
      <c r="G567" s="2153"/>
      <c r="H567" s="2153"/>
      <c r="I567" s="2153"/>
      <c r="J567" s="2153"/>
      <c r="K567" s="2153"/>
      <c r="L567" s="2153"/>
      <c r="M567" s="2153"/>
      <c r="N567" s="2153"/>
      <c r="O567" s="2153"/>
      <c r="P567" s="2154"/>
      <c r="Q567" s="2109"/>
      <c r="R567" s="2110"/>
      <c r="S567" s="2111"/>
      <c r="T567" s="2109"/>
      <c r="U567" s="2110"/>
      <c r="V567" s="2111"/>
      <c r="W567" s="2587"/>
      <c r="X567" s="2588"/>
      <c r="Y567" s="2589"/>
      <c r="Z567" s="2586" t="s">
        <v>1348</v>
      </c>
      <c r="AA567" s="2586"/>
      <c r="AB567" s="2586"/>
      <c r="AC567" s="2586"/>
      <c r="AD567" s="2586"/>
      <c r="AE567" s="2583"/>
      <c r="AF567" s="2584"/>
      <c r="AG567" s="2584"/>
      <c r="AH567" s="2585"/>
      <c r="AI567" s="2580"/>
      <c r="AJ567" s="2581"/>
      <c r="AK567" s="2581"/>
      <c r="AL567" s="2582"/>
      <c r="AM567" s="2258">
        <v>85512</v>
      </c>
      <c r="AN567" s="2259"/>
      <c r="AO567" s="2259"/>
      <c r="AP567" s="2259"/>
      <c r="AQ567" s="2259"/>
      <c r="AR567" s="2259"/>
      <c r="AS567" s="226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53" t="s">
        <v>2708</v>
      </c>
      <c r="D568" s="2153"/>
      <c r="E568" s="2153"/>
      <c r="F568" s="2153"/>
      <c r="G568" s="2153"/>
      <c r="H568" s="2153"/>
      <c r="I568" s="2153"/>
      <c r="J568" s="2153"/>
      <c r="K568" s="2153"/>
      <c r="L568" s="2153"/>
      <c r="M568" s="2153"/>
      <c r="N568" s="2153"/>
      <c r="O568" s="2153"/>
      <c r="P568" s="2154"/>
      <c r="Q568" s="2109">
        <v>30</v>
      </c>
      <c r="R568" s="2110"/>
      <c r="S568" s="2111"/>
      <c r="T568" s="2109"/>
      <c r="U568" s="2110"/>
      <c r="V568" s="2111"/>
      <c r="W568" s="2587">
        <v>0.03</v>
      </c>
      <c r="X568" s="2588"/>
      <c r="Y568" s="2589"/>
      <c r="Z568" s="2586" t="s">
        <v>2713</v>
      </c>
      <c r="AA568" s="2586"/>
      <c r="AB568" s="2586"/>
      <c r="AC568" s="2586"/>
      <c r="AD568" s="2586"/>
      <c r="AE568" s="2583">
        <v>4</v>
      </c>
      <c r="AF568" s="2584"/>
      <c r="AG568" s="2584"/>
      <c r="AH568" s="2585"/>
      <c r="AI568" s="2580"/>
      <c r="AJ568" s="2581"/>
      <c r="AK568" s="2581"/>
      <c r="AL568" s="2582"/>
      <c r="AM568" s="2258">
        <v>4925000</v>
      </c>
      <c r="AN568" s="2259"/>
      <c r="AO568" s="2259"/>
      <c r="AP568" s="2259"/>
      <c r="AQ568" s="2259"/>
      <c r="AR568" s="2259"/>
      <c r="AS568" s="226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53" t="s">
        <v>2709</v>
      </c>
      <c r="D569" s="2153"/>
      <c r="E569" s="2153"/>
      <c r="F569" s="2153"/>
      <c r="G569" s="2153"/>
      <c r="H569" s="2153"/>
      <c r="I569" s="2153"/>
      <c r="J569" s="2153"/>
      <c r="K569" s="2153"/>
      <c r="L569" s="2153"/>
      <c r="M569" s="2153"/>
      <c r="N569" s="2153"/>
      <c r="O569" s="2153"/>
      <c r="P569" s="2154"/>
      <c r="Q569" s="2109"/>
      <c r="R569" s="2110"/>
      <c r="S569" s="2111"/>
      <c r="T569" s="2109"/>
      <c r="U569" s="2110"/>
      <c r="V569" s="2111"/>
      <c r="W569" s="2587"/>
      <c r="X569" s="2588"/>
      <c r="Y569" s="2589"/>
      <c r="Z569" s="2586" t="s">
        <v>1348</v>
      </c>
      <c r="AA569" s="2586"/>
      <c r="AB569" s="2586"/>
      <c r="AC569" s="2586"/>
      <c r="AD569" s="2586"/>
      <c r="AE569" s="2583"/>
      <c r="AF569" s="2584"/>
      <c r="AG569" s="2584"/>
      <c r="AH569" s="2585"/>
      <c r="AI569" s="2580"/>
      <c r="AJ569" s="2581"/>
      <c r="AK569" s="2581"/>
      <c r="AL569" s="2582"/>
      <c r="AM569" s="2258">
        <v>213779</v>
      </c>
      <c r="AN569" s="2259"/>
      <c r="AO569" s="2259"/>
      <c r="AP569" s="2259"/>
      <c r="AQ569" s="2259"/>
      <c r="AR569" s="2259"/>
      <c r="AS569" s="226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53" t="s">
        <v>2710</v>
      </c>
      <c r="D570" s="2153"/>
      <c r="E570" s="2153"/>
      <c r="F570" s="2153"/>
      <c r="G570" s="2153"/>
      <c r="H570" s="2153"/>
      <c r="I570" s="2153"/>
      <c r="J570" s="2153"/>
      <c r="K570" s="2153"/>
      <c r="L570" s="2153"/>
      <c r="M570" s="2153"/>
      <c r="N570" s="2153"/>
      <c r="O570" s="2153"/>
      <c r="P570" s="2154"/>
      <c r="Q570" s="2109"/>
      <c r="R570" s="2110"/>
      <c r="S570" s="2111"/>
      <c r="T570" s="2109"/>
      <c r="U570" s="2110"/>
      <c r="V570" s="2111"/>
      <c r="W570" s="2587"/>
      <c r="X570" s="2588"/>
      <c r="Y570" s="2589"/>
      <c r="Z570" s="2586" t="s">
        <v>1348</v>
      </c>
      <c r="AA570" s="2586"/>
      <c r="AB570" s="2586"/>
      <c r="AC570" s="2586"/>
      <c r="AD570" s="2586"/>
      <c r="AE570" s="2583"/>
      <c r="AF570" s="2584"/>
      <c r="AG570" s="2584"/>
      <c r="AH570" s="2585"/>
      <c r="AI570" s="2580"/>
      <c r="AJ570" s="2581"/>
      <c r="AK570" s="2581"/>
      <c r="AL570" s="2582"/>
      <c r="AM570" s="2258">
        <v>1788183</v>
      </c>
      <c r="AN570" s="2259"/>
      <c r="AO570" s="2259"/>
      <c r="AP570" s="2259"/>
      <c r="AQ570" s="2259"/>
      <c r="AR570" s="2259"/>
      <c r="AS570" s="226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53" t="s">
        <v>1964</v>
      </c>
      <c r="D571" s="2153"/>
      <c r="E571" s="2153"/>
      <c r="F571" s="2153"/>
      <c r="G571" s="2153"/>
      <c r="H571" s="2153"/>
      <c r="I571" s="2153"/>
      <c r="J571" s="2153"/>
      <c r="K571" s="2153"/>
      <c r="L571" s="2153"/>
      <c r="M571" s="2153"/>
      <c r="N571" s="2153"/>
      <c r="O571" s="2153"/>
      <c r="P571" s="2154"/>
      <c r="Q571" s="2109"/>
      <c r="R571" s="2110"/>
      <c r="S571" s="2111"/>
      <c r="T571" s="2109"/>
      <c r="U571" s="2110"/>
      <c r="V571" s="2111"/>
      <c r="W571" s="2587"/>
      <c r="X571" s="2588"/>
      <c r="Y571" s="2589"/>
      <c r="Z571" s="2586" t="s">
        <v>1348</v>
      </c>
      <c r="AA571" s="2586"/>
      <c r="AB571" s="2586"/>
      <c r="AC571" s="2586"/>
      <c r="AD571" s="2586"/>
      <c r="AE571" s="2583"/>
      <c r="AF571" s="2584"/>
      <c r="AG571" s="2584"/>
      <c r="AH571" s="2585"/>
      <c r="AI571" s="2580"/>
      <c r="AJ571" s="2581"/>
      <c r="AK571" s="2581"/>
      <c r="AL571" s="2582"/>
      <c r="AM571" s="2258">
        <v>300000</v>
      </c>
      <c r="AN571" s="2259"/>
      <c r="AO571" s="2259"/>
      <c r="AP571" s="2259"/>
      <c r="AQ571" s="2259"/>
      <c r="AR571" s="2259"/>
      <c r="AS571" s="2260"/>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53" t="s">
        <v>2761</v>
      </c>
      <c r="D572" s="2153"/>
      <c r="E572" s="2153"/>
      <c r="F572" s="2153"/>
      <c r="G572" s="2153"/>
      <c r="H572" s="2153"/>
      <c r="I572" s="2153"/>
      <c r="J572" s="2153"/>
      <c r="K572" s="2153"/>
      <c r="L572" s="2153"/>
      <c r="M572" s="2153"/>
      <c r="N572" s="2153"/>
      <c r="O572" s="2153"/>
      <c r="P572" s="2154"/>
      <c r="Q572" s="2109"/>
      <c r="R572" s="2110"/>
      <c r="S572" s="2111"/>
      <c r="T572" s="2109"/>
      <c r="U572" s="2110"/>
      <c r="V572" s="2111"/>
      <c r="W572" s="2587"/>
      <c r="X572" s="2588"/>
      <c r="Y572" s="2589"/>
      <c r="Z572" s="2586" t="s">
        <v>1348</v>
      </c>
      <c r="AA572" s="2586"/>
      <c r="AB572" s="2586"/>
      <c r="AC572" s="2586"/>
      <c r="AD572" s="2586"/>
      <c r="AE572" s="2583"/>
      <c r="AF572" s="2584"/>
      <c r="AG572" s="2584"/>
      <c r="AH572" s="2585"/>
      <c r="AI572" s="2580"/>
      <c r="AJ572" s="2581"/>
      <c r="AK572" s="2581"/>
      <c r="AL572" s="2582"/>
      <c r="AM572" s="2258">
        <v>1329476</v>
      </c>
      <c r="AN572" s="2259"/>
      <c r="AO572" s="2259"/>
      <c r="AP572" s="2259"/>
      <c r="AQ572" s="2259"/>
      <c r="AR572" s="2259"/>
      <c r="AS572" s="2260"/>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53" t="s">
        <v>2711</v>
      </c>
      <c r="D573" s="2153"/>
      <c r="E573" s="2153"/>
      <c r="F573" s="2153"/>
      <c r="G573" s="2153"/>
      <c r="H573" s="2153"/>
      <c r="I573" s="2153"/>
      <c r="J573" s="2153"/>
      <c r="K573" s="2153"/>
      <c r="L573" s="2153"/>
      <c r="M573" s="2153"/>
      <c r="N573" s="2153"/>
      <c r="O573" s="2153"/>
      <c r="P573" s="2154"/>
      <c r="Q573" s="2109"/>
      <c r="R573" s="2110"/>
      <c r="S573" s="2111"/>
      <c r="T573" s="2109"/>
      <c r="U573" s="2110"/>
      <c r="V573" s="2111"/>
      <c r="W573" s="2587"/>
      <c r="X573" s="2588"/>
      <c r="Y573" s="2589"/>
      <c r="Z573" s="2586" t="s">
        <v>1348</v>
      </c>
      <c r="AA573" s="2586"/>
      <c r="AB573" s="2586"/>
      <c r="AC573" s="2586"/>
      <c r="AD573" s="2586"/>
      <c r="AE573" s="2583"/>
      <c r="AF573" s="2584"/>
      <c r="AG573" s="2584"/>
      <c r="AH573" s="2585"/>
      <c r="AI573" s="2580"/>
      <c r="AJ573" s="2581"/>
      <c r="AK573" s="2581"/>
      <c r="AL573" s="2582"/>
      <c r="AM573" s="2258">
        <v>1262684</v>
      </c>
      <c r="AN573" s="2259"/>
      <c r="AO573" s="2259"/>
      <c r="AP573" s="2259"/>
      <c r="AQ573" s="2259"/>
      <c r="AR573" s="2259"/>
      <c r="AS573" s="226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53"/>
      <c r="D574" s="2153"/>
      <c r="E574" s="2153"/>
      <c r="F574" s="2153"/>
      <c r="G574" s="2153"/>
      <c r="H574" s="2153"/>
      <c r="I574" s="2153"/>
      <c r="J574" s="2153"/>
      <c r="K574" s="2153"/>
      <c r="L574" s="2153"/>
      <c r="M574" s="2153"/>
      <c r="N574" s="2153"/>
      <c r="O574" s="2153"/>
      <c r="P574" s="2154"/>
      <c r="Q574" s="2109"/>
      <c r="R574" s="2110"/>
      <c r="S574" s="2111"/>
      <c r="T574" s="2109"/>
      <c r="U574" s="2110"/>
      <c r="V574" s="2111"/>
      <c r="W574" s="2587"/>
      <c r="X574" s="2588"/>
      <c r="Y574" s="2589"/>
      <c r="Z574" s="2586" t="s">
        <v>1348</v>
      </c>
      <c r="AA574" s="2586"/>
      <c r="AB574" s="2586"/>
      <c r="AC574" s="2586"/>
      <c r="AD574" s="2586"/>
      <c r="AE574" s="2583"/>
      <c r="AF574" s="2584"/>
      <c r="AG574" s="2584"/>
      <c r="AH574" s="2585"/>
      <c r="AI574" s="2580"/>
      <c r="AJ574" s="2581"/>
      <c r="AK574" s="2581"/>
      <c r="AL574" s="2582"/>
      <c r="AM574" s="2258"/>
      <c r="AN574" s="2259"/>
      <c r="AO574" s="2259"/>
      <c r="AP574" s="2259"/>
      <c r="AQ574" s="2259"/>
      <c r="AR574" s="2259"/>
      <c r="AS574" s="226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53"/>
      <c r="D575" s="2153"/>
      <c r="E575" s="2153"/>
      <c r="F575" s="2153"/>
      <c r="G575" s="2153"/>
      <c r="H575" s="2153"/>
      <c r="I575" s="2153"/>
      <c r="J575" s="2153"/>
      <c r="K575" s="2153"/>
      <c r="L575" s="2153"/>
      <c r="M575" s="2153"/>
      <c r="N575" s="2153"/>
      <c r="O575" s="2153"/>
      <c r="P575" s="2154"/>
      <c r="Q575" s="2109"/>
      <c r="R575" s="2110"/>
      <c r="S575" s="2111"/>
      <c r="T575" s="2109"/>
      <c r="U575" s="2110"/>
      <c r="V575" s="2111"/>
      <c r="W575" s="2587"/>
      <c r="X575" s="2588"/>
      <c r="Y575" s="2589"/>
      <c r="Z575" s="2586" t="s">
        <v>1348</v>
      </c>
      <c r="AA575" s="2586"/>
      <c r="AB575" s="2586"/>
      <c r="AC575" s="2586"/>
      <c r="AD575" s="2586"/>
      <c r="AE575" s="2583"/>
      <c r="AF575" s="2584"/>
      <c r="AG575" s="2584"/>
      <c r="AH575" s="2585"/>
      <c r="AI575" s="2580"/>
      <c r="AJ575" s="2581"/>
      <c r="AK575" s="2581"/>
      <c r="AL575" s="2582"/>
      <c r="AM575" s="2258"/>
      <c r="AN575" s="2259"/>
      <c r="AO575" s="2259"/>
      <c r="AP575" s="2259"/>
      <c r="AQ575" s="2259"/>
      <c r="AR575" s="2259"/>
      <c r="AS575" s="226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409" t="s">
        <v>132</v>
      </c>
      <c r="C576" s="2410"/>
      <c r="D576" s="2410"/>
      <c r="E576" s="2410"/>
      <c r="F576" s="2410"/>
      <c r="G576" s="2410"/>
      <c r="H576" s="2410"/>
      <c r="I576" s="2410"/>
      <c r="J576" s="2410"/>
      <c r="K576" s="2410"/>
      <c r="L576" s="2410"/>
      <c r="M576" s="2410"/>
      <c r="N576" s="2410"/>
      <c r="O576" s="2410"/>
      <c r="P576" s="2410"/>
      <c r="Q576" s="2410"/>
      <c r="R576" s="2410"/>
      <c r="S576" s="2410"/>
      <c r="T576" s="2410"/>
      <c r="U576" s="2509"/>
      <c r="V576" s="2410"/>
      <c r="W576" s="2410"/>
      <c r="X576" s="2410"/>
      <c r="Y576" s="2410"/>
      <c r="Z576" s="2410"/>
      <c r="AA576" s="2410"/>
      <c r="AB576" s="2410"/>
      <c r="AC576" s="2410"/>
      <c r="AD576" s="2410"/>
      <c r="AE576" s="2410"/>
      <c r="AF576" s="2410"/>
      <c r="AG576" s="2410"/>
      <c r="AH576" s="2410"/>
      <c r="AI576" s="2410"/>
      <c r="AJ576" s="2410"/>
      <c r="AK576" s="2410"/>
      <c r="AL576" s="2411"/>
      <c r="AM576" s="2414">
        <f>SUM(AM564:AS575)</f>
        <v>34874041</v>
      </c>
      <c r="AN576" s="2415"/>
      <c r="AO576" s="2415"/>
      <c r="AP576" s="2415"/>
      <c r="AQ576" s="2415"/>
      <c r="AR576" s="2415"/>
      <c r="AS576" s="241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88" t="str">
        <f>C564</f>
        <v>Tax-Exempt Construction Loan</v>
      </c>
      <c r="H578" s="2088"/>
      <c r="I578" s="2088"/>
      <c r="J578" s="2088"/>
      <c r="K578" s="2088"/>
      <c r="L578" s="2088"/>
      <c r="M578" s="2088"/>
      <c r="N578" s="2088"/>
      <c r="O578" s="2088"/>
      <c r="P578" s="2088"/>
      <c r="Q578" s="2088"/>
      <c r="R578" s="2088"/>
      <c r="S578" s="14"/>
      <c r="T578" s="87" t="s">
        <v>118</v>
      </c>
      <c r="U578" s="12" t="s">
        <v>488</v>
      </c>
      <c r="Z578" s="2088" t="str">
        <f>C565</f>
        <v>Taxable Construction Loan</v>
      </c>
      <c r="AA578" s="2088"/>
      <c r="AB578" s="2088"/>
      <c r="AC578" s="2088"/>
      <c r="AD578" s="2088"/>
      <c r="AE578" s="2088"/>
      <c r="AF578" s="2088"/>
      <c r="AG578" s="2088"/>
      <c r="AH578" s="2088"/>
      <c r="AI578" s="2088"/>
      <c r="AJ578" s="2088"/>
      <c r="AK578" s="208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122" t="s">
        <v>2728</v>
      </c>
      <c r="H579" s="2122"/>
      <c r="I579" s="2122"/>
      <c r="J579" s="2122"/>
      <c r="K579" s="2122"/>
      <c r="L579" s="2122"/>
      <c r="M579" s="2122"/>
      <c r="N579" s="2122"/>
      <c r="O579" s="2122"/>
      <c r="P579" s="2122"/>
      <c r="Q579" s="2122"/>
      <c r="R579" s="2122"/>
      <c r="S579" s="14"/>
      <c r="T579" s="35"/>
      <c r="U579" s="12" t="s">
        <v>90</v>
      </c>
      <c r="Z579" s="2122" t="str">
        <f>G579</f>
        <v>300 South Grand Avenue, Ste 3110</v>
      </c>
      <c r="AA579" s="2122"/>
      <c r="AB579" s="2122"/>
      <c r="AC579" s="2122"/>
      <c r="AD579" s="2122"/>
      <c r="AE579" s="2122"/>
      <c r="AF579" s="2122"/>
      <c r="AG579" s="2122"/>
      <c r="AH579" s="2122"/>
      <c r="AI579" s="2122"/>
      <c r="AJ579" s="2122"/>
      <c r="AK579" s="2122"/>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122" t="s">
        <v>2729</v>
      </c>
      <c r="H580" s="2122"/>
      <c r="I580" s="2122"/>
      <c r="J580" s="2122"/>
      <c r="K580" s="2122"/>
      <c r="L580" s="2122"/>
      <c r="M580" s="2122"/>
      <c r="N580" s="2122"/>
      <c r="O580" s="2122"/>
      <c r="P580" s="2122"/>
      <c r="Q580" s="2122"/>
      <c r="R580" s="2122"/>
      <c r="S580" s="88"/>
      <c r="T580" s="35"/>
      <c r="U580" s="12" t="s">
        <v>606</v>
      </c>
      <c r="Z580" s="2095" t="str">
        <f>G580</f>
        <v>Los Angeles, CA 90071</v>
      </c>
      <c r="AA580" s="2095"/>
      <c r="AB580" s="2095"/>
      <c r="AC580" s="2095"/>
      <c r="AD580" s="2095"/>
      <c r="AE580" s="2095"/>
      <c r="AF580" s="2095"/>
      <c r="AG580" s="2095"/>
      <c r="AH580" s="2095"/>
      <c r="AI580" s="2095"/>
      <c r="AJ580" s="2095"/>
      <c r="AK580" s="2095"/>
      <c r="BB580" s="58"/>
      <c r="BC580" s="58"/>
      <c r="BD580" s="58"/>
      <c r="BE580" s="58"/>
      <c r="BF580" s="58"/>
      <c r="BG580" s="58"/>
      <c r="BH580" s="58" t="s">
        <v>481</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22" t="s">
        <v>2730</v>
      </c>
      <c r="H581" s="2122"/>
      <c r="I581" s="2122"/>
      <c r="J581" s="2122"/>
      <c r="K581" s="2122"/>
      <c r="L581" s="2122"/>
      <c r="M581" s="2122"/>
      <c r="N581" s="2122"/>
      <c r="O581" s="2122"/>
      <c r="P581" s="2122"/>
      <c r="Q581" s="2122"/>
      <c r="R581" s="2122"/>
      <c r="S581" s="14"/>
      <c r="T581" s="35"/>
      <c r="U581" s="12" t="s">
        <v>17</v>
      </c>
      <c r="Z581" s="2095" t="str">
        <f>G581</f>
        <v>Hao Li</v>
      </c>
      <c r="AA581" s="2095"/>
      <c r="AB581" s="2095"/>
      <c r="AC581" s="2095"/>
      <c r="AD581" s="2095"/>
      <c r="AE581" s="2095"/>
      <c r="AF581" s="2095"/>
      <c r="AG581" s="2095"/>
      <c r="AH581" s="2095"/>
      <c r="AI581" s="2095"/>
      <c r="AJ581" s="2095"/>
      <c r="AK581" s="209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80" t="s">
        <v>2731</v>
      </c>
      <c r="H582" s="2368"/>
      <c r="I582" s="2368"/>
      <c r="J582" s="2368"/>
      <c r="K582" s="2368"/>
      <c r="L582" s="2368"/>
      <c r="O582" s="137" t="s">
        <v>211</v>
      </c>
      <c r="P582" s="2094"/>
      <c r="Q582" s="2094"/>
      <c r="R582" s="2094"/>
      <c r="S582" s="16"/>
      <c r="T582" s="35"/>
      <c r="U582" s="12" t="s">
        <v>321</v>
      </c>
      <c r="Z582" s="2380" t="str">
        <f>G582</f>
        <v>213-239-1914</v>
      </c>
      <c r="AA582" s="2368"/>
      <c r="AB582" s="2368"/>
      <c r="AC582" s="2368"/>
      <c r="AD582" s="2368"/>
      <c r="AE582" s="2368"/>
      <c r="AH582" s="137" t="s">
        <v>211</v>
      </c>
      <c r="AI582" s="2094"/>
      <c r="AJ582" s="2094"/>
      <c r="AK582" s="20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22" t="s">
        <v>2732</v>
      </c>
      <c r="I583" s="2122"/>
      <c r="J583" s="2122"/>
      <c r="K583" s="2122"/>
      <c r="L583" s="2122"/>
      <c r="M583" s="2122"/>
      <c r="N583" s="2122"/>
      <c r="O583" s="2122"/>
      <c r="P583" s="2122"/>
      <c r="Q583" s="2122"/>
      <c r="R583" s="2122"/>
      <c r="S583" s="14"/>
      <c r="T583" s="35"/>
      <c r="U583" s="12" t="s">
        <v>18</v>
      </c>
      <c r="AA583" s="2122" t="s">
        <v>2705</v>
      </c>
      <c r="AB583" s="2122"/>
      <c r="AC583" s="2122"/>
      <c r="AD583" s="2122"/>
      <c r="AE583" s="2122"/>
      <c r="AF583" s="2122"/>
      <c r="AG583" s="2122"/>
      <c r="AH583" s="2122"/>
      <c r="AI583" s="2122"/>
      <c r="AJ583" s="2122"/>
      <c r="AK583" s="212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31"/>
      <c r="N584" s="2431"/>
      <c r="O584" s="2431"/>
      <c r="P584" s="2431"/>
      <c r="Q584" s="2431"/>
      <c r="R584" s="2431"/>
      <c r="S584" s="14"/>
      <c r="T584" s="35"/>
      <c r="U584" s="502" t="s">
        <v>1349</v>
      </c>
      <c r="V584" s="711"/>
      <c r="W584" s="711"/>
      <c r="X584" s="711"/>
      <c r="Y584" s="711"/>
      <c r="Z584" s="711"/>
      <c r="AA584" s="14"/>
      <c r="AB584" s="14"/>
      <c r="AC584" s="14"/>
      <c r="AD584" s="14"/>
      <c r="AE584" s="14"/>
      <c r="AF584" s="2431"/>
      <c r="AG584" s="2431"/>
      <c r="AH584" s="2431"/>
      <c r="AI584" s="2431"/>
      <c r="AJ584" s="2431"/>
      <c r="AK584" s="2431"/>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99" t="s">
        <v>570</v>
      </c>
      <c r="O585" s="2099"/>
      <c r="T585" s="35"/>
      <c r="U585" s="12" t="s">
        <v>20</v>
      </c>
      <c r="AG585" s="2099" t="s">
        <v>570</v>
      </c>
      <c r="AH585" s="20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8" t="str">
        <f>C566</f>
        <v>CalHFA/LACDMH SNHP</v>
      </c>
      <c r="H587" s="2088"/>
      <c r="I587" s="2088"/>
      <c r="J587" s="2088"/>
      <c r="K587" s="2088"/>
      <c r="L587" s="2088"/>
      <c r="M587" s="2088"/>
      <c r="N587" s="2088"/>
      <c r="O587" s="2088"/>
      <c r="P587" s="2088"/>
      <c r="Q587" s="2088"/>
      <c r="R587" s="2088"/>
      <c r="T587" s="87" t="s">
        <v>607</v>
      </c>
      <c r="U587" s="12" t="s">
        <v>488</v>
      </c>
      <c r="Z587" s="2088" t="str">
        <f>C567</f>
        <v>Accrued Deferred Interest - SNHP</v>
      </c>
      <c r="AA587" s="2088"/>
      <c r="AB587" s="2088"/>
      <c r="AC587" s="2088"/>
      <c r="AD587" s="2088"/>
      <c r="AE587" s="2088"/>
      <c r="AF587" s="2088"/>
      <c r="AG587" s="2088"/>
      <c r="AH587" s="2088"/>
      <c r="AI587" s="2088"/>
      <c r="AJ587" s="2088"/>
      <c r="AK587" s="208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22" t="s">
        <v>2734</v>
      </c>
      <c r="H588" s="2122"/>
      <c r="I588" s="2122"/>
      <c r="J588" s="2122"/>
      <c r="K588" s="2122"/>
      <c r="L588" s="2122"/>
      <c r="M588" s="2122"/>
      <c r="N588" s="2122"/>
      <c r="O588" s="2122"/>
      <c r="P588" s="2122"/>
      <c r="Q588" s="2122"/>
      <c r="R588" s="2122"/>
      <c r="T588" s="35"/>
      <c r="U588" s="12" t="s">
        <v>90</v>
      </c>
      <c r="Z588" s="2122" t="str">
        <f>G588</f>
        <v>695 S. Vermont, 10th Floor</v>
      </c>
      <c r="AA588" s="2122"/>
      <c r="AB588" s="2122"/>
      <c r="AC588" s="2122"/>
      <c r="AD588" s="2122"/>
      <c r="AE588" s="2122"/>
      <c r="AF588" s="2122"/>
      <c r="AG588" s="2122"/>
      <c r="AH588" s="2122"/>
      <c r="AI588" s="2122"/>
      <c r="AJ588" s="2122"/>
      <c r="AK588" s="212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95" t="s">
        <v>2737</v>
      </c>
      <c r="H589" s="2095"/>
      <c r="I589" s="2095"/>
      <c r="J589" s="2095"/>
      <c r="K589" s="2095"/>
      <c r="L589" s="2095"/>
      <c r="M589" s="2095"/>
      <c r="N589" s="2095"/>
      <c r="O589" s="2095"/>
      <c r="P589" s="2095"/>
      <c r="Q589" s="2095"/>
      <c r="R589" s="2095"/>
      <c r="T589" s="35"/>
      <c r="U589" s="12" t="s">
        <v>606</v>
      </c>
      <c r="Z589" s="2095" t="str">
        <f>G589</f>
        <v>Los Angeles, CA 9005</v>
      </c>
      <c r="AA589" s="2095"/>
      <c r="AB589" s="2095"/>
      <c r="AC589" s="2095"/>
      <c r="AD589" s="2095"/>
      <c r="AE589" s="2095"/>
      <c r="AF589" s="2095"/>
      <c r="AG589" s="2095"/>
      <c r="AH589" s="2095"/>
      <c r="AI589" s="2095"/>
      <c r="AJ589" s="2095"/>
      <c r="AK589" s="209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5" t="s">
        <v>2735</v>
      </c>
      <c r="H590" s="2095"/>
      <c r="I590" s="2095"/>
      <c r="J590" s="2095"/>
      <c r="K590" s="2095"/>
      <c r="L590" s="2095"/>
      <c r="M590" s="2095"/>
      <c r="N590" s="2095"/>
      <c r="O590" s="2095"/>
      <c r="P590" s="2095"/>
      <c r="Q590" s="2095"/>
      <c r="R590" s="2095"/>
      <c r="T590" s="35"/>
      <c r="U590" s="12" t="s">
        <v>17</v>
      </c>
      <c r="Z590" s="2095" t="str">
        <f>G590</f>
        <v>Reina Turner</v>
      </c>
      <c r="AA590" s="2095"/>
      <c r="AB590" s="2095"/>
      <c r="AC590" s="2095"/>
      <c r="AD590" s="2095"/>
      <c r="AE590" s="2095"/>
      <c r="AF590" s="2095"/>
      <c r="AG590" s="2095"/>
      <c r="AH590" s="2095"/>
      <c r="AI590" s="2095"/>
      <c r="AJ590" s="2095"/>
      <c r="AK590" s="209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80" t="s">
        <v>2736</v>
      </c>
      <c r="H591" s="2368"/>
      <c r="I591" s="2368"/>
      <c r="J591" s="2368"/>
      <c r="K591" s="2368"/>
      <c r="L591" s="2368"/>
      <c r="O591" s="137" t="s">
        <v>211</v>
      </c>
      <c r="P591" s="2094"/>
      <c r="Q591" s="2094"/>
      <c r="R591" s="2094"/>
      <c r="T591" s="35"/>
      <c r="U591" s="12" t="s">
        <v>321</v>
      </c>
      <c r="Z591" s="2368" t="str">
        <f>G591</f>
        <v>213-943-8504</v>
      </c>
      <c r="AA591" s="2368"/>
      <c r="AB591" s="2368"/>
      <c r="AC591" s="2368"/>
      <c r="AD591" s="2368"/>
      <c r="AE591" s="2368"/>
      <c r="AH591" s="137" t="s">
        <v>211</v>
      </c>
      <c r="AI591" s="2094"/>
      <c r="AJ591" s="2094"/>
      <c r="AK591" s="20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22" t="s">
        <v>2733</v>
      </c>
      <c r="I592" s="2122"/>
      <c r="J592" s="2122"/>
      <c r="K592" s="2122"/>
      <c r="L592" s="2122"/>
      <c r="M592" s="2122"/>
      <c r="N592" s="2122"/>
      <c r="O592" s="2122"/>
      <c r="P592" s="2122"/>
      <c r="Q592" s="2122"/>
      <c r="R592" s="2122"/>
      <c r="T592" s="35"/>
      <c r="U592" s="12" t="s">
        <v>18</v>
      </c>
      <c r="AA592" s="2122" t="s">
        <v>2738</v>
      </c>
      <c r="AB592" s="2122"/>
      <c r="AC592" s="2122"/>
      <c r="AD592" s="2122"/>
      <c r="AE592" s="2122"/>
      <c r="AF592" s="2122"/>
      <c r="AG592" s="2122"/>
      <c r="AH592" s="2122"/>
      <c r="AI592" s="2122"/>
      <c r="AJ592" s="2122"/>
      <c r="AK592" s="212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99" t="s">
        <v>570</v>
      </c>
      <c r="O593" s="2099"/>
      <c r="T593" s="35"/>
      <c r="U593" s="12" t="s">
        <v>20</v>
      </c>
      <c r="AG593" s="2099" t="s">
        <v>570</v>
      </c>
      <c r="AH593" s="20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8" t="str">
        <f>C568</f>
        <v>LA County Development Authority - AHTF</v>
      </c>
      <c r="H595" s="2088"/>
      <c r="I595" s="2088"/>
      <c r="J595" s="2088"/>
      <c r="K595" s="2088"/>
      <c r="L595" s="2088"/>
      <c r="M595" s="2088"/>
      <c r="N595" s="2088"/>
      <c r="O595" s="2088"/>
      <c r="P595" s="2088"/>
      <c r="Q595" s="2088"/>
      <c r="R595" s="2088"/>
      <c r="T595" s="87" t="s">
        <v>610</v>
      </c>
      <c r="U595" s="12" t="s">
        <v>488</v>
      </c>
      <c r="Z595" s="2088" t="str">
        <f>C569</f>
        <v>Accrued Deferred Interest - LACDA</v>
      </c>
      <c r="AA595" s="2088"/>
      <c r="AB595" s="2088"/>
      <c r="AC595" s="2088"/>
      <c r="AD595" s="2088"/>
      <c r="AE595" s="2088"/>
      <c r="AF595" s="2088"/>
      <c r="AG595" s="2088"/>
      <c r="AH595" s="2088"/>
      <c r="AI595" s="2088"/>
      <c r="AJ595" s="2088"/>
      <c r="AK595" s="208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22" t="s">
        <v>2685</v>
      </c>
      <c r="H596" s="2122"/>
      <c r="I596" s="2122"/>
      <c r="J596" s="2122"/>
      <c r="K596" s="2122"/>
      <c r="L596" s="2122"/>
      <c r="M596" s="2122"/>
      <c r="N596" s="2122"/>
      <c r="O596" s="2122"/>
      <c r="P596" s="2122"/>
      <c r="Q596" s="2122"/>
      <c r="R596" s="2122"/>
      <c r="T596" s="35"/>
      <c r="U596" s="12" t="s">
        <v>90</v>
      </c>
      <c r="Z596" s="2122" t="str">
        <f>G596</f>
        <v>700 Main Street</v>
      </c>
      <c r="AA596" s="2122"/>
      <c r="AB596" s="2122"/>
      <c r="AC596" s="2122"/>
      <c r="AD596" s="2122"/>
      <c r="AE596" s="2122"/>
      <c r="AF596" s="2122"/>
      <c r="AG596" s="2122"/>
      <c r="AH596" s="2122"/>
      <c r="AI596" s="2122"/>
      <c r="AJ596" s="2122"/>
      <c r="AK596" s="212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122" t="s">
        <v>2686</v>
      </c>
      <c r="H597" s="2122"/>
      <c r="I597" s="2122"/>
      <c r="J597" s="2122"/>
      <c r="K597" s="2122"/>
      <c r="L597" s="2122"/>
      <c r="M597" s="2122"/>
      <c r="N597" s="2122"/>
      <c r="O597" s="2122"/>
      <c r="P597" s="2122"/>
      <c r="Q597" s="2122"/>
      <c r="R597" s="2122"/>
      <c r="T597" s="35"/>
      <c r="U597" s="12" t="s">
        <v>606</v>
      </c>
      <c r="Z597" s="2095" t="str">
        <f>G597</f>
        <v>Alhambra, CA 91801</v>
      </c>
      <c r="AA597" s="2095"/>
      <c r="AB597" s="2095"/>
      <c r="AC597" s="2095"/>
      <c r="AD597" s="2095"/>
      <c r="AE597" s="2095"/>
      <c r="AF597" s="2095"/>
      <c r="AG597" s="2095"/>
      <c r="AH597" s="2095"/>
      <c r="AI597" s="2095"/>
      <c r="AJ597" s="2095"/>
      <c r="AK597" s="209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22" t="s">
        <v>2739</v>
      </c>
      <c r="H598" s="2122"/>
      <c r="I598" s="2122"/>
      <c r="J598" s="2122"/>
      <c r="K598" s="2122"/>
      <c r="L598" s="2122"/>
      <c r="M598" s="2122"/>
      <c r="N598" s="2122"/>
      <c r="O598" s="2122"/>
      <c r="P598" s="2122"/>
      <c r="Q598" s="2122"/>
      <c r="R598" s="2122"/>
      <c r="T598" s="35"/>
      <c r="U598" s="12" t="s">
        <v>17</v>
      </c>
      <c r="Z598" s="2095" t="str">
        <f>G598</f>
        <v>Mat Lust</v>
      </c>
      <c r="AA598" s="2095"/>
      <c r="AB598" s="2095"/>
      <c r="AC598" s="2095"/>
      <c r="AD598" s="2095"/>
      <c r="AE598" s="2095"/>
      <c r="AF598" s="2095"/>
      <c r="AG598" s="2095"/>
      <c r="AH598" s="2095"/>
      <c r="AI598" s="2095"/>
      <c r="AJ598" s="2095"/>
      <c r="AK598" s="209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80" t="s">
        <v>2740</v>
      </c>
      <c r="H599" s="2368"/>
      <c r="I599" s="2368"/>
      <c r="J599" s="2368"/>
      <c r="K599" s="2368"/>
      <c r="L599" s="2368"/>
      <c r="O599" s="137" t="s">
        <v>211</v>
      </c>
      <c r="P599" s="2094"/>
      <c r="Q599" s="2094"/>
      <c r="R599" s="2094"/>
      <c r="T599" s="35"/>
      <c r="U599" s="12" t="s">
        <v>321</v>
      </c>
      <c r="Z599" s="2368" t="str">
        <f>G599</f>
        <v>626-586-1809</v>
      </c>
      <c r="AA599" s="2368"/>
      <c r="AB599" s="2368"/>
      <c r="AC599" s="2368"/>
      <c r="AD599" s="2368"/>
      <c r="AE599" s="2368"/>
      <c r="AH599" s="137" t="s">
        <v>211</v>
      </c>
      <c r="AI599" s="2094"/>
      <c r="AJ599" s="2094"/>
      <c r="AK599" s="20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22" t="s">
        <v>2733</v>
      </c>
      <c r="I600" s="2122"/>
      <c r="J600" s="2122"/>
      <c r="K600" s="2122"/>
      <c r="L600" s="2122"/>
      <c r="M600" s="2122"/>
      <c r="N600" s="2122"/>
      <c r="O600" s="2122"/>
      <c r="P600" s="2122"/>
      <c r="Q600" s="2122"/>
      <c r="R600" s="2122"/>
      <c r="T600" s="35"/>
      <c r="U600" s="12" t="s">
        <v>18</v>
      </c>
      <c r="AA600" s="2122" t="str">
        <f>H600</f>
        <v>Residual Receipt Loan</v>
      </c>
      <c r="AB600" s="2122"/>
      <c r="AC600" s="2122"/>
      <c r="AD600" s="2122"/>
      <c r="AE600" s="2122"/>
      <c r="AF600" s="2122"/>
      <c r="AG600" s="2122"/>
      <c r="AH600" s="2122"/>
      <c r="AI600" s="2122"/>
      <c r="AJ600" s="2122"/>
      <c r="AK600" s="212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99" t="s">
        <v>570</v>
      </c>
      <c r="O601" s="2099"/>
      <c r="T601" s="35"/>
      <c r="U601" s="12" t="s">
        <v>20</v>
      </c>
      <c r="AG601" s="2099" t="s">
        <v>570</v>
      </c>
      <c r="AH601" s="20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88" t="str">
        <f>C570</f>
        <v>Costs Deferred Until Conversion</v>
      </c>
      <c r="H603" s="2088"/>
      <c r="I603" s="2088"/>
      <c r="J603" s="2088"/>
      <c r="K603" s="2088"/>
      <c r="L603" s="2088"/>
      <c r="M603" s="2088"/>
      <c r="N603" s="2088"/>
      <c r="O603" s="2088"/>
      <c r="P603" s="2088"/>
      <c r="Q603" s="2088"/>
      <c r="R603" s="2088"/>
      <c r="T603" s="87" t="s">
        <v>481</v>
      </c>
      <c r="U603" s="12" t="s">
        <v>488</v>
      </c>
      <c r="Z603" s="2088" t="str">
        <f>C571</f>
        <v>Deferred Developer Fee</v>
      </c>
      <c r="AA603" s="2088"/>
      <c r="AB603" s="2088"/>
      <c r="AC603" s="2088"/>
      <c r="AD603" s="2088"/>
      <c r="AE603" s="2088"/>
      <c r="AF603" s="2088"/>
      <c r="AG603" s="2088"/>
      <c r="AH603" s="2088"/>
      <c r="AI603" s="2088"/>
      <c r="AJ603" s="2088"/>
      <c r="AK603" s="208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122" t="s">
        <v>2613</v>
      </c>
      <c r="H604" s="2122"/>
      <c r="I604" s="2122"/>
      <c r="J604" s="2122"/>
      <c r="K604" s="2122"/>
      <c r="L604" s="2122"/>
      <c r="M604" s="2122"/>
      <c r="N604" s="2122"/>
      <c r="O604" s="2122"/>
      <c r="P604" s="2122"/>
      <c r="Q604" s="2122"/>
      <c r="R604" s="2122"/>
      <c r="T604" s="35"/>
      <c r="U604" s="12" t="s">
        <v>90</v>
      </c>
      <c r="Z604" s="2122" t="str">
        <f>G604</f>
        <v>3701 Wilshire Blvd, Ste 700</v>
      </c>
      <c r="AA604" s="2122"/>
      <c r="AB604" s="2122"/>
      <c r="AC604" s="2122"/>
      <c r="AD604" s="2122"/>
      <c r="AE604" s="2122"/>
      <c r="AF604" s="2122"/>
      <c r="AG604" s="2122"/>
      <c r="AH604" s="2122"/>
      <c r="AI604" s="2122"/>
      <c r="AJ604" s="2122"/>
      <c r="AK604" s="212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122" t="s">
        <v>519</v>
      </c>
      <c r="H605" s="2122"/>
      <c r="I605" s="2122"/>
      <c r="J605" s="2122"/>
      <c r="K605" s="2122"/>
      <c r="L605" s="2122"/>
      <c r="M605" s="2122"/>
      <c r="N605" s="2122"/>
      <c r="O605" s="2122"/>
      <c r="P605" s="2122"/>
      <c r="Q605" s="2122"/>
      <c r="R605" s="2122"/>
      <c r="T605" s="35"/>
      <c r="U605" s="12" t="s">
        <v>606</v>
      </c>
      <c r="Z605" s="2095" t="str">
        <f>G605</f>
        <v>Los Angeles</v>
      </c>
      <c r="AA605" s="2095"/>
      <c r="AB605" s="2095"/>
      <c r="AC605" s="2095"/>
      <c r="AD605" s="2095"/>
      <c r="AE605" s="2095"/>
      <c r="AF605" s="2095"/>
      <c r="AG605" s="2095"/>
      <c r="AH605" s="2095"/>
      <c r="AI605" s="2095"/>
      <c r="AJ605" s="2095"/>
      <c r="AK605" s="209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122" t="s">
        <v>2615</v>
      </c>
      <c r="H606" s="2122"/>
      <c r="I606" s="2122"/>
      <c r="J606" s="2122"/>
      <c r="K606" s="2122"/>
      <c r="L606" s="2122"/>
      <c r="M606" s="2122"/>
      <c r="N606" s="2122"/>
      <c r="O606" s="2122"/>
      <c r="P606" s="2122"/>
      <c r="Q606" s="2122"/>
      <c r="R606" s="2122"/>
      <c r="T606" s="35"/>
      <c r="U606" s="12" t="s">
        <v>17</v>
      </c>
      <c r="Z606" s="2095" t="str">
        <f>G606</f>
        <v>Mee Heh Risdon</v>
      </c>
      <c r="AA606" s="2095"/>
      <c r="AB606" s="2095"/>
      <c r="AC606" s="2095"/>
      <c r="AD606" s="2095"/>
      <c r="AE606" s="2095"/>
      <c r="AF606" s="2095"/>
      <c r="AG606" s="2095"/>
      <c r="AH606" s="2095"/>
      <c r="AI606" s="2095"/>
      <c r="AJ606" s="2095"/>
      <c r="AK606" s="209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80" t="s">
        <v>2616</v>
      </c>
      <c r="H607" s="2368"/>
      <c r="I607" s="2368"/>
      <c r="J607" s="2368"/>
      <c r="K607" s="2368"/>
      <c r="L607" s="2368"/>
      <c r="M607" s="12"/>
      <c r="N607" s="12"/>
      <c r="O607" s="137" t="s">
        <v>211</v>
      </c>
      <c r="P607" s="2094">
        <v>236</v>
      </c>
      <c r="Q607" s="2094"/>
      <c r="R607" s="2094"/>
      <c r="S607" s="12"/>
      <c r="T607" s="35"/>
      <c r="U607" s="12" t="s">
        <v>321</v>
      </c>
      <c r="V607" s="12"/>
      <c r="W607" s="12"/>
      <c r="X607" s="12"/>
      <c r="Y607" s="12"/>
      <c r="Z607" s="2368" t="str">
        <f>G607</f>
        <v>213-480-0809</v>
      </c>
      <c r="AA607" s="2368"/>
      <c r="AB607" s="2368"/>
      <c r="AC607" s="2368"/>
      <c r="AD607" s="2368"/>
      <c r="AE607" s="2368"/>
      <c r="AF607" s="12"/>
      <c r="AG607" s="12"/>
      <c r="AH607" s="137" t="s">
        <v>211</v>
      </c>
      <c r="AI607" s="2094">
        <v>236</v>
      </c>
      <c r="AJ607" s="2094"/>
      <c r="AK607" s="20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122" t="s">
        <v>2741</v>
      </c>
      <c r="I608" s="2122"/>
      <c r="J608" s="2122"/>
      <c r="K608" s="2122"/>
      <c r="L608" s="2122"/>
      <c r="M608" s="2122"/>
      <c r="N608" s="2122"/>
      <c r="O608" s="2122"/>
      <c r="P608" s="2122"/>
      <c r="Q608" s="2122"/>
      <c r="R608" s="2122"/>
      <c r="S608" s="12"/>
      <c r="T608" s="35"/>
      <c r="U608" s="12" t="s">
        <v>18</v>
      </c>
      <c r="V608" s="12"/>
      <c r="W608" s="12"/>
      <c r="X608" s="12"/>
      <c r="Y608" s="12"/>
      <c r="Z608" s="12"/>
      <c r="AA608" s="2122" t="s">
        <v>2742</v>
      </c>
      <c r="AB608" s="2122"/>
      <c r="AC608" s="2122"/>
      <c r="AD608" s="2122"/>
      <c r="AE608" s="2122"/>
      <c r="AF608" s="2122"/>
      <c r="AG608" s="2122"/>
      <c r="AH608" s="2122"/>
      <c r="AI608" s="2122"/>
      <c r="AJ608" s="2122"/>
      <c r="AK608" s="212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99" t="s">
        <v>570</v>
      </c>
      <c r="O609" s="2099"/>
      <c r="P609" s="12"/>
      <c r="Q609" s="12"/>
      <c r="R609" s="12"/>
      <c r="S609" s="12"/>
      <c r="T609" s="35"/>
      <c r="U609" s="12" t="s">
        <v>20</v>
      </c>
      <c r="V609" s="12"/>
      <c r="W609" s="12"/>
      <c r="X609" s="12"/>
      <c r="Y609" s="12"/>
      <c r="Z609" s="12"/>
      <c r="AA609" s="12"/>
      <c r="AB609" s="12"/>
      <c r="AC609" s="12"/>
      <c r="AD609" s="12"/>
      <c r="AE609" s="12"/>
      <c r="AF609" s="12"/>
      <c r="AG609" s="2099" t="s">
        <v>570</v>
      </c>
      <c r="AH609" s="2099"/>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101"/>
      <c r="BH609" s="2103"/>
      <c r="BI609" s="185" t="s">
        <v>500</v>
      </c>
      <c r="BJ609" s="186"/>
      <c r="BK609" s="2101"/>
      <c r="BL609" s="2103"/>
      <c r="BM609" s="58"/>
      <c r="BN609" s="2199" t="s">
        <v>659</v>
      </c>
      <c r="BO609" s="2200"/>
      <c r="BP609" s="2200"/>
      <c r="BQ609" s="2200"/>
      <c r="BR609" s="2201"/>
      <c r="BS609" s="2155" t="s">
        <v>330</v>
      </c>
      <c r="BT609" s="2155"/>
      <c r="BU609" s="2155"/>
      <c r="BV609" s="2155"/>
      <c r="BW609" s="2155"/>
      <c r="BX609" s="2155" t="s">
        <v>168</v>
      </c>
      <c r="BY609" s="2155"/>
      <c r="BZ609" s="2155"/>
      <c r="CA609" s="2155"/>
      <c r="CB609" s="2155"/>
      <c r="CC609" s="2155" t="s">
        <v>169</v>
      </c>
      <c r="CD609" s="2155"/>
      <c r="CE609" s="2155"/>
      <c r="CF609" s="2155"/>
      <c r="CG609" s="2155"/>
      <c r="CH609" s="2155" t="s">
        <v>485</v>
      </c>
      <c r="CI609" s="2155"/>
      <c r="CJ609" s="2155"/>
      <c r="CK609" s="2155"/>
      <c r="CL609" s="2155"/>
      <c r="CM609" s="2155" t="s">
        <v>31</v>
      </c>
      <c r="CN609" s="2155"/>
      <c r="CO609" s="2155"/>
      <c r="CP609" s="2155"/>
      <c r="CQ609" s="2155"/>
      <c r="CR609" s="1648"/>
      <c r="CS609" s="2155" t="s">
        <v>659</v>
      </c>
      <c r="CT609" s="2155"/>
      <c r="CU609" s="2155"/>
      <c r="CV609" s="2155"/>
      <c r="CW609" s="2155"/>
      <c r="CX609" s="2155" t="s">
        <v>330</v>
      </c>
      <c r="CY609" s="2155"/>
      <c r="CZ609" s="2155"/>
      <c r="DA609" s="2155"/>
      <c r="DB609" s="2155"/>
      <c r="DC609" s="2155" t="s">
        <v>168</v>
      </c>
      <c r="DD609" s="2155"/>
      <c r="DE609" s="2155"/>
      <c r="DF609" s="2155"/>
      <c r="DG609" s="2155"/>
      <c r="DH609" s="2155" t="s">
        <v>169</v>
      </c>
      <c r="DI609" s="2155"/>
      <c r="DJ609" s="2155"/>
      <c r="DK609" s="2155"/>
      <c r="DL609" s="2155"/>
      <c r="DM609" s="2155" t="s">
        <v>485</v>
      </c>
      <c r="DN609" s="2155"/>
      <c r="DO609" s="2155"/>
      <c r="DP609" s="2155"/>
      <c r="DQ609" s="2155"/>
      <c r="DR609" s="2155" t="s">
        <v>31</v>
      </c>
      <c r="DS609" s="2155"/>
      <c r="DT609" s="2155"/>
      <c r="DU609" s="2155"/>
      <c r="DV609" s="2155"/>
      <c r="DX609" s="2155" t="s">
        <v>659</v>
      </c>
      <c r="DY609" s="2155"/>
      <c r="DZ609" s="2155"/>
      <c r="EA609" s="2155"/>
      <c r="EB609" s="2155"/>
      <c r="EC609" s="2155" t="s">
        <v>330</v>
      </c>
      <c r="ED609" s="2155"/>
      <c r="EE609" s="2155"/>
      <c r="EF609" s="2155"/>
      <c r="EG609" s="2155"/>
      <c r="EH609" s="2155" t="s">
        <v>168</v>
      </c>
      <c r="EI609" s="2155"/>
      <c r="EJ609" s="2155"/>
      <c r="EK609" s="2155"/>
      <c r="EL609" s="2155"/>
      <c r="EM609" s="2155" t="s">
        <v>169</v>
      </c>
      <c r="EN609" s="2155"/>
      <c r="EO609" s="2155"/>
      <c r="EP609" s="2155"/>
      <c r="EQ609" s="2155"/>
      <c r="ER609" s="2155" t="s">
        <v>485</v>
      </c>
      <c r="ES609" s="2155"/>
      <c r="ET609" s="2155"/>
      <c r="EU609" s="2155"/>
      <c r="EV609" s="2155"/>
      <c r="EW609" s="2155" t="s">
        <v>31</v>
      </c>
      <c r="EX609" s="2155"/>
      <c r="EY609" s="2155"/>
      <c r="EZ609" s="2155"/>
      <c r="FA609" s="215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104">
        <f t="shared" ref="BE610:BE634" si="1">IF(AND(AC728&lt;=0.5,AC728&gt;=0.36),1,0)</f>
        <v>0</v>
      </c>
      <c r="BF610" s="2106"/>
      <c r="BG610" s="2101">
        <f t="shared" ref="BG610:BG634" si="2">IF(BE610=1,G728,0)</f>
        <v>0</v>
      </c>
      <c r="BH610" s="2103"/>
      <c r="BI610" s="2104">
        <f t="shared" ref="BI610:BI634" si="3">IF(AND(AC728&lt;=0.35,AC728&gt;0),1,0)</f>
        <v>1</v>
      </c>
      <c r="BJ610" s="2106"/>
      <c r="BK610" s="2101">
        <f t="shared" ref="BK610:BK634" si="4">IF(BI610=1,G728,0)</f>
        <v>7</v>
      </c>
      <c r="BL610" s="2103"/>
      <c r="BM610" s="58"/>
      <c r="BN610" s="2085">
        <f t="shared" ref="BN610:BN634" si="5">IF(B728="SRO/Studio",G728,0)</f>
        <v>7</v>
      </c>
      <c r="BO610" s="2086"/>
      <c r="BP610" s="2086"/>
      <c r="BQ610" s="2086"/>
      <c r="BR610" s="2087"/>
      <c r="BS610" s="2092">
        <f t="shared" ref="BS610:BS634" si="6">IF(B728="1 Bedroom",G728,0)</f>
        <v>0</v>
      </c>
      <c r="BT610" s="2092"/>
      <c r="BU610" s="2092"/>
      <c r="BV610" s="2092"/>
      <c r="BW610" s="2092"/>
      <c r="BX610" s="2092">
        <f t="shared" ref="BX610:BX634" si="7">IF(B728="2 Bedrooms",G728,0)</f>
        <v>0</v>
      </c>
      <c r="BY610" s="2092"/>
      <c r="BZ610" s="2092"/>
      <c r="CA610" s="2092"/>
      <c r="CB610" s="2092"/>
      <c r="CC610" s="2092">
        <f t="shared" ref="CC610:CC634" si="8">IF(B728="3 Bedrooms",G728,0)</f>
        <v>0</v>
      </c>
      <c r="CD610" s="2092"/>
      <c r="CE610" s="2092"/>
      <c r="CF610" s="2092"/>
      <c r="CG610" s="2092"/>
      <c r="CH610" s="2092">
        <f t="shared" ref="CH610:CH634" si="9">IF(B728="4 Bedrooms",G728,0)</f>
        <v>0</v>
      </c>
      <c r="CI610" s="2092"/>
      <c r="CJ610" s="2092"/>
      <c r="CK610" s="2092"/>
      <c r="CL610" s="2092"/>
      <c r="CM610" s="2092">
        <f t="shared" ref="CM610:CM634" si="10">IF(B728="5 Bedrooms",G728,0)</f>
        <v>0</v>
      </c>
      <c r="CN610" s="2092"/>
      <c r="CO610" s="2092"/>
      <c r="CP610" s="2092"/>
      <c r="CQ610" s="2092"/>
      <c r="CR610" s="265"/>
      <c r="CS610" s="2107">
        <f t="shared" ref="CS610:CS634" si="11">IF(AND(B728="SRO/Studio",AC728&lt;=0.3),G728,0)</f>
        <v>7</v>
      </c>
      <c r="CT610" s="2107"/>
      <c r="CU610" s="2107"/>
      <c r="CV610" s="2107"/>
      <c r="CW610" s="2107"/>
      <c r="CX610" s="2107">
        <f t="shared" ref="CX610:CX634" si="12">IF(AND(B728="1 Bedroom",AC728&lt;=0.3),G728,0)</f>
        <v>0</v>
      </c>
      <c r="CY610" s="2107"/>
      <c r="CZ610" s="2107"/>
      <c r="DA610" s="2107"/>
      <c r="DB610" s="2107"/>
      <c r="DC610" s="2107">
        <f t="shared" ref="DC610:DC634" si="13">IF(AND(B728="2 Bedrooms",AC728&lt;=0.3),G728,0)</f>
        <v>0</v>
      </c>
      <c r="DD610" s="2107"/>
      <c r="DE610" s="2107"/>
      <c r="DF610" s="2107"/>
      <c r="DG610" s="2107"/>
      <c r="DH610" s="2107">
        <f t="shared" ref="DH610:DH634" si="14">IF(AND(B728="3 Bedrooms",AC728&lt;=0.3),G728,0)</f>
        <v>0</v>
      </c>
      <c r="DI610" s="2107"/>
      <c r="DJ610" s="2107"/>
      <c r="DK610" s="2107"/>
      <c r="DL610" s="2107"/>
      <c r="DM610" s="2107">
        <f t="shared" ref="DM610:DM634" si="15">IF(AND(B728="4 Bedrooms",AC728&lt;=0.3),G728,0)</f>
        <v>0</v>
      </c>
      <c r="DN610" s="2107"/>
      <c r="DO610" s="2107"/>
      <c r="DP610" s="2107"/>
      <c r="DQ610" s="2107"/>
      <c r="DR610" s="2107">
        <f t="shared" ref="DR610:DR634" si="16">IF(AND(B728="5 Bedrooms",AC728&lt;=0.3),G728,0)</f>
        <v>0</v>
      </c>
      <c r="DS610" s="2107"/>
      <c r="DT610" s="2107"/>
      <c r="DU610" s="2107"/>
      <c r="DV610" s="2107"/>
      <c r="DX610" s="2104">
        <f t="shared" ref="DX610:DX634" si="17">IF(BN610&gt;0,O728," ")</f>
        <v>579</v>
      </c>
      <c r="DY610" s="2105"/>
      <c r="DZ610" s="2105"/>
      <c r="EA610" s="2105"/>
      <c r="EB610" s="2106"/>
      <c r="EC610" s="2104" t="str">
        <f t="shared" ref="EC610:EC634" si="18">IF(BS610&gt;0,O728," ")</f>
        <v xml:space="preserve"> </v>
      </c>
      <c r="ED610" s="2105"/>
      <c r="EE610" s="2105"/>
      <c r="EF610" s="2105"/>
      <c r="EG610" s="2106"/>
      <c r="EH610" s="2104" t="str">
        <f t="shared" ref="EH610:EH634" si="19">IF(BX610&gt;0,O728," ")</f>
        <v xml:space="preserve"> </v>
      </c>
      <c r="EI610" s="2105"/>
      <c r="EJ610" s="2105"/>
      <c r="EK610" s="2105"/>
      <c r="EL610" s="2106"/>
      <c r="EM610" s="2104" t="str">
        <f t="shared" ref="EM610:EM634" si="20">IF(CC610&gt;0,O728," ")</f>
        <v xml:space="preserve"> </v>
      </c>
      <c r="EN610" s="2105"/>
      <c r="EO610" s="2105"/>
      <c r="EP610" s="2105"/>
      <c r="EQ610" s="2106"/>
      <c r="ER610" s="2104" t="str">
        <f t="shared" ref="ER610:ER634" si="21">IF(CH610&gt;0,O728," ")</f>
        <v xml:space="preserve"> </v>
      </c>
      <c r="ES610" s="2105"/>
      <c r="ET610" s="2105"/>
      <c r="EU610" s="2105"/>
      <c r="EV610" s="2106"/>
      <c r="EW610" s="2104" t="str">
        <f t="shared" ref="EW610:EW634" si="22">IF(CM610&gt;0,O728," ")</f>
        <v xml:space="preserve"> </v>
      </c>
      <c r="EX610" s="2105"/>
      <c r="EY610" s="2105"/>
      <c r="EZ610" s="2105"/>
      <c r="FA610" s="2106"/>
    </row>
    <row r="611" spans="1:157" s="7" customFormat="1" ht="12.75">
      <c r="A611" s="87" t="s">
        <v>486</v>
      </c>
      <c r="B611" s="12" t="s">
        <v>488</v>
      </c>
      <c r="C611" s="12"/>
      <c r="D611" s="12"/>
      <c r="E611" s="12"/>
      <c r="F611" s="12"/>
      <c r="G611" s="2088" t="str">
        <f>C572</f>
        <v>Recontributed Developer Fee</v>
      </c>
      <c r="H611" s="2088"/>
      <c r="I611" s="2088"/>
      <c r="J611" s="2088"/>
      <c r="K611" s="2088"/>
      <c r="L611" s="2088"/>
      <c r="M611" s="2088"/>
      <c r="N611" s="2088"/>
      <c r="O611" s="2088"/>
      <c r="P611" s="2088"/>
      <c r="Q611" s="2088"/>
      <c r="R611" s="2088"/>
      <c r="S611" s="12"/>
      <c r="T611" s="87" t="s">
        <v>672</v>
      </c>
      <c r="U611" s="12" t="s">
        <v>488</v>
      </c>
      <c r="V611" s="12"/>
      <c r="W611" s="12"/>
      <c r="X611" s="12"/>
      <c r="Y611" s="12"/>
      <c r="Z611" s="2088" t="str">
        <f>C573</f>
        <v>Tax Credit Equity</v>
      </c>
      <c r="AA611" s="2088"/>
      <c r="AB611" s="2088"/>
      <c r="AC611" s="2088"/>
      <c r="AD611" s="2088"/>
      <c r="AE611" s="2088"/>
      <c r="AF611" s="2088"/>
      <c r="AG611" s="2088"/>
      <c r="AH611" s="2088"/>
      <c r="AI611" s="2088"/>
      <c r="AJ611" s="2088"/>
      <c r="AK611" s="2088"/>
      <c r="AL611" s="12"/>
      <c r="AM611" s="39"/>
      <c r="AN611" s="39"/>
      <c r="AO611" s="39"/>
      <c r="AP611" s="39"/>
      <c r="AQ611" s="39"/>
      <c r="AR611" s="39"/>
      <c r="AS611" s="39"/>
      <c r="AT611" s="39"/>
      <c r="AU611" s="39"/>
      <c r="AV611" s="39"/>
      <c r="AW611" s="39"/>
      <c r="AX611" s="39"/>
      <c r="AY611" s="39"/>
      <c r="BA611" s="7" t="s">
        <v>168</v>
      </c>
      <c r="BB611" s="58"/>
      <c r="BC611" s="58"/>
      <c r="BD611" s="58"/>
      <c r="BE611" s="2104">
        <f t="shared" si="1"/>
        <v>0</v>
      </c>
      <c r="BF611" s="2106"/>
      <c r="BG611" s="2101">
        <f t="shared" si="2"/>
        <v>0</v>
      </c>
      <c r="BH611" s="2103"/>
      <c r="BI611" s="2104">
        <f t="shared" si="3"/>
        <v>1</v>
      </c>
      <c r="BJ611" s="2106"/>
      <c r="BK611" s="2101">
        <f t="shared" si="4"/>
        <v>9</v>
      </c>
      <c r="BL611" s="2103"/>
      <c r="BM611" s="58"/>
      <c r="BN611" s="2085">
        <f t="shared" si="5"/>
        <v>0</v>
      </c>
      <c r="BO611" s="2086"/>
      <c r="BP611" s="2086"/>
      <c r="BQ611" s="2086"/>
      <c r="BR611" s="2087"/>
      <c r="BS611" s="2092">
        <f t="shared" si="6"/>
        <v>9</v>
      </c>
      <c r="BT611" s="2092"/>
      <c r="BU611" s="2092"/>
      <c r="BV611" s="2092"/>
      <c r="BW611" s="2092"/>
      <c r="BX611" s="2092">
        <f t="shared" si="7"/>
        <v>0</v>
      </c>
      <c r="BY611" s="2092"/>
      <c r="BZ611" s="2092"/>
      <c r="CA611" s="2092"/>
      <c r="CB611" s="2092"/>
      <c r="CC611" s="2092">
        <f t="shared" si="8"/>
        <v>0</v>
      </c>
      <c r="CD611" s="2092"/>
      <c r="CE611" s="2092"/>
      <c r="CF611" s="2092"/>
      <c r="CG611" s="2092"/>
      <c r="CH611" s="2092">
        <f t="shared" si="9"/>
        <v>0</v>
      </c>
      <c r="CI611" s="2092"/>
      <c r="CJ611" s="2092"/>
      <c r="CK611" s="2092"/>
      <c r="CL611" s="2092"/>
      <c r="CM611" s="2092">
        <f t="shared" si="10"/>
        <v>0</v>
      </c>
      <c r="CN611" s="2092"/>
      <c r="CO611" s="2092"/>
      <c r="CP611" s="2092"/>
      <c r="CQ611" s="2092"/>
      <c r="CR611" s="265"/>
      <c r="CS611" s="2107">
        <f t="shared" si="11"/>
        <v>0</v>
      </c>
      <c r="CT611" s="2107"/>
      <c r="CU611" s="2107"/>
      <c r="CV611" s="2107"/>
      <c r="CW611" s="2107"/>
      <c r="CX611" s="2107">
        <f t="shared" si="12"/>
        <v>9</v>
      </c>
      <c r="CY611" s="2107"/>
      <c r="CZ611" s="2107"/>
      <c r="DA611" s="2107"/>
      <c r="DB611" s="2107"/>
      <c r="DC611" s="2107">
        <f t="shared" si="13"/>
        <v>0</v>
      </c>
      <c r="DD611" s="2107"/>
      <c r="DE611" s="2107"/>
      <c r="DF611" s="2107"/>
      <c r="DG611" s="2107"/>
      <c r="DH611" s="2107">
        <f t="shared" si="14"/>
        <v>0</v>
      </c>
      <c r="DI611" s="2107"/>
      <c r="DJ611" s="2107"/>
      <c r="DK611" s="2107"/>
      <c r="DL611" s="2107"/>
      <c r="DM611" s="2107">
        <f t="shared" si="15"/>
        <v>0</v>
      </c>
      <c r="DN611" s="2107"/>
      <c r="DO611" s="2107"/>
      <c r="DP611" s="2107"/>
      <c r="DQ611" s="2107"/>
      <c r="DR611" s="2107">
        <f t="shared" si="16"/>
        <v>0</v>
      </c>
      <c r="DS611" s="2107"/>
      <c r="DT611" s="2107"/>
      <c r="DU611" s="2107"/>
      <c r="DV611" s="2107"/>
      <c r="DX611" s="2104" t="str">
        <f t="shared" si="17"/>
        <v xml:space="preserve"> </v>
      </c>
      <c r="DY611" s="2105"/>
      <c r="DZ611" s="2105"/>
      <c r="EA611" s="2105"/>
      <c r="EB611" s="2106"/>
      <c r="EC611" s="2104">
        <f t="shared" si="18"/>
        <v>608</v>
      </c>
      <c r="ED611" s="2105"/>
      <c r="EE611" s="2105"/>
      <c r="EF611" s="2105"/>
      <c r="EG611" s="2106"/>
      <c r="EH611" s="2104" t="str">
        <f t="shared" si="19"/>
        <v xml:space="preserve"> </v>
      </c>
      <c r="EI611" s="2105"/>
      <c r="EJ611" s="2105"/>
      <c r="EK611" s="2105"/>
      <c r="EL611" s="2106"/>
      <c r="EM611" s="2104" t="str">
        <f t="shared" si="20"/>
        <v xml:space="preserve"> </v>
      </c>
      <c r="EN611" s="2105"/>
      <c r="EO611" s="2105"/>
      <c r="EP611" s="2105"/>
      <c r="EQ611" s="2106"/>
      <c r="ER611" s="2104" t="str">
        <f t="shared" si="21"/>
        <v xml:space="preserve"> </v>
      </c>
      <c r="ES611" s="2105"/>
      <c r="ET611" s="2105"/>
      <c r="EU611" s="2105"/>
      <c r="EV611" s="2106"/>
      <c r="EW611" s="2104" t="str">
        <f t="shared" si="22"/>
        <v xml:space="preserve"> </v>
      </c>
      <c r="EX611" s="2105"/>
      <c r="EY611" s="2105"/>
      <c r="EZ611" s="2105"/>
      <c r="FA611" s="2106"/>
    </row>
    <row r="612" spans="1:157" ht="12.75">
      <c r="A612" s="35"/>
      <c r="B612" s="12" t="s">
        <v>90</v>
      </c>
      <c r="G612" s="2122" t="str">
        <f>G604</f>
        <v>3701 Wilshire Blvd, Ste 700</v>
      </c>
      <c r="H612" s="2122"/>
      <c r="I612" s="2122"/>
      <c r="J612" s="2122"/>
      <c r="K612" s="2122"/>
      <c r="L612" s="2122"/>
      <c r="M612" s="2122"/>
      <c r="N612" s="2122"/>
      <c r="O612" s="2122"/>
      <c r="P612" s="2122"/>
      <c r="Q612" s="2122"/>
      <c r="R612" s="2122"/>
      <c r="T612" s="35"/>
      <c r="U612" s="12" t="s">
        <v>90</v>
      </c>
      <c r="Z612" s="2122" t="s">
        <v>2631</v>
      </c>
      <c r="AA612" s="2122"/>
      <c r="AB612" s="2122"/>
      <c r="AC612" s="2122"/>
      <c r="AD612" s="2122"/>
      <c r="AE612" s="2122"/>
      <c r="AF612" s="2122"/>
      <c r="AG612" s="2122"/>
      <c r="AH612" s="2122"/>
      <c r="AI612" s="2122"/>
      <c r="AJ612" s="2122"/>
      <c r="AK612" s="2122"/>
      <c r="BA612" s="7" t="s">
        <v>169</v>
      </c>
      <c r="BB612" s="58"/>
      <c r="BC612" s="58"/>
      <c r="BD612" s="58"/>
      <c r="BE612" s="2104">
        <f t="shared" si="1"/>
        <v>0</v>
      </c>
      <c r="BF612" s="2106"/>
      <c r="BG612" s="2101">
        <f t="shared" si="2"/>
        <v>0</v>
      </c>
      <c r="BH612" s="2103"/>
      <c r="BI612" s="2104">
        <f t="shared" si="3"/>
        <v>1</v>
      </c>
      <c r="BJ612" s="2106"/>
      <c r="BK612" s="2101">
        <f t="shared" si="4"/>
        <v>1</v>
      </c>
      <c r="BL612" s="2103"/>
      <c r="BM612" s="58"/>
      <c r="BN612" s="2085">
        <f t="shared" si="5"/>
        <v>1</v>
      </c>
      <c r="BO612" s="2086"/>
      <c r="BP612" s="2086"/>
      <c r="BQ612" s="2086"/>
      <c r="BR612" s="2087"/>
      <c r="BS612" s="2092">
        <f t="shared" si="6"/>
        <v>0</v>
      </c>
      <c r="BT612" s="2092"/>
      <c r="BU612" s="2092"/>
      <c r="BV612" s="2092"/>
      <c r="BW612" s="2092"/>
      <c r="BX612" s="2092">
        <f t="shared" si="7"/>
        <v>0</v>
      </c>
      <c r="BY612" s="2092"/>
      <c r="BZ612" s="2092"/>
      <c r="CA612" s="2092"/>
      <c r="CB612" s="2092"/>
      <c r="CC612" s="2092">
        <f t="shared" si="8"/>
        <v>0</v>
      </c>
      <c r="CD612" s="2092"/>
      <c r="CE612" s="2092"/>
      <c r="CF612" s="2092"/>
      <c r="CG612" s="2092"/>
      <c r="CH612" s="2092">
        <f t="shared" si="9"/>
        <v>0</v>
      </c>
      <c r="CI612" s="2092"/>
      <c r="CJ612" s="2092"/>
      <c r="CK612" s="2092"/>
      <c r="CL612" s="2092"/>
      <c r="CM612" s="2092">
        <f t="shared" si="10"/>
        <v>0</v>
      </c>
      <c r="CN612" s="2092"/>
      <c r="CO612" s="2092"/>
      <c r="CP612" s="2092"/>
      <c r="CQ612" s="2092"/>
      <c r="CR612" s="265"/>
      <c r="CS612" s="2107">
        <f t="shared" si="11"/>
        <v>1</v>
      </c>
      <c r="CT612" s="2107"/>
      <c r="CU612" s="2107"/>
      <c r="CV612" s="2107"/>
      <c r="CW612" s="2107"/>
      <c r="CX612" s="2107">
        <f t="shared" si="12"/>
        <v>0</v>
      </c>
      <c r="CY612" s="2107"/>
      <c r="CZ612" s="2107"/>
      <c r="DA612" s="2107"/>
      <c r="DB612" s="2107"/>
      <c r="DC612" s="2107">
        <f t="shared" si="13"/>
        <v>0</v>
      </c>
      <c r="DD612" s="2107"/>
      <c r="DE612" s="2107"/>
      <c r="DF612" s="2107"/>
      <c r="DG612" s="2107"/>
      <c r="DH612" s="2107">
        <f t="shared" si="14"/>
        <v>0</v>
      </c>
      <c r="DI612" s="2107"/>
      <c r="DJ612" s="2107"/>
      <c r="DK612" s="2107"/>
      <c r="DL612" s="2107"/>
      <c r="DM612" s="2107">
        <f t="shared" si="15"/>
        <v>0</v>
      </c>
      <c r="DN612" s="2107"/>
      <c r="DO612" s="2107"/>
      <c r="DP612" s="2107"/>
      <c r="DQ612" s="2107"/>
      <c r="DR612" s="2107">
        <f t="shared" si="16"/>
        <v>0</v>
      </c>
      <c r="DS612" s="2107"/>
      <c r="DT612" s="2107"/>
      <c r="DU612" s="2107"/>
      <c r="DV612" s="2107"/>
      <c r="DX612" s="2104">
        <f t="shared" si="17"/>
        <v>579</v>
      </c>
      <c r="DY612" s="2105"/>
      <c r="DZ612" s="2105"/>
      <c r="EA612" s="2105"/>
      <c r="EB612" s="2106"/>
      <c r="EC612" s="2104" t="str">
        <f t="shared" si="18"/>
        <v xml:space="preserve"> </v>
      </c>
      <c r="ED612" s="2105"/>
      <c r="EE612" s="2105"/>
      <c r="EF612" s="2105"/>
      <c r="EG612" s="2106"/>
      <c r="EH612" s="2104" t="str">
        <f t="shared" si="19"/>
        <v xml:space="preserve"> </v>
      </c>
      <c r="EI612" s="2105"/>
      <c r="EJ612" s="2105"/>
      <c r="EK612" s="2105"/>
      <c r="EL612" s="2106"/>
      <c r="EM612" s="2104" t="str">
        <f t="shared" si="20"/>
        <v xml:space="preserve"> </v>
      </c>
      <c r="EN612" s="2105"/>
      <c r="EO612" s="2105"/>
      <c r="EP612" s="2105"/>
      <c r="EQ612" s="2106"/>
      <c r="ER612" s="2104" t="str">
        <f t="shared" si="21"/>
        <v xml:space="preserve"> </v>
      </c>
      <c r="ES612" s="2105"/>
      <c r="ET612" s="2105"/>
      <c r="EU612" s="2105"/>
      <c r="EV612" s="2106"/>
      <c r="EW612" s="2104" t="str">
        <f t="shared" si="22"/>
        <v xml:space="preserve"> </v>
      </c>
      <c r="EX612" s="2105"/>
      <c r="EY612" s="2105"/>
      <c r="EZ612" s="2105"/>
      <c r="FA612" s="2106"/>
    </row>
    <row r="613" spans="1:157" ht="12.75">
      <c r="A613" s="35"/>
      <c r="B613" s="12" t="s">
        <v>606</v>
      </c>
      <c r="G613" s="2122" t="str">
        <f>G605</f>
        <v>Los Angeles</v>
      </c>
      <c r="H613" s="2122"/>
      <c r="I613" s="2122"/>
      <c r="J613" s="2122"/>
      <c r="K613" s="2122"/>
      <c r="L613" s="2122"/>
      <c r="M613" s="2122"/>
      <c r="N613" s="2122"/>
      <c r="O613" s="2122"/>
      <c r="P613" s="2122"/>
      <c r="Q613" s="2122"/>
      <c r="R613" s="2122"/>
      <c r="T613" s="35"/>
      <c r="U613" s="12" t="s">
        <v>606</v>
      </c>
      <c r="Z613" s="2095"/>
      <c r="AA613" s="2095"/>
      <c r="AB613" s="2095"/>
      <c r="AC613" s="2095"/>
      <c r="AD613" s="2095"/>
      <c r="AE613" s="2095"/>
      <c r="AF613" s="2095"/>
      <c r="AG613" s="2095"/>
      <c r="AH613" s="2095"/>
      <c r="AI613" s="2095"/>
      <c r="AJ613" s="2095"/>
      <c r="AK613" s="2095"/>
      <c r="BA613" s="7" t="s">
        <v>170</v>
      </c>
      <c r="BB613" s="58"/>
      <c r="BC613" s="58"/>
      <c r="BD613" s="58"/>
      <c r="BE613" s="2104">
        <f t="shared" si="1"/>
        <v>0</v>
      </c>
      <c r="BF613" s="2106"/>
      <c r="BG613" s="2101">
        <f t="shared" si="2"/>
        <v>0</v>
      </c>
      <c r="BH613" s="2103"/>
      <c r="BI613" s="2104">
        <f t="shared" si="3"/>
        <v>1</v>
      </c>
      <c r="BJ613" s="2106"/>
      <c r="BK613" s="2101">
        <f t="shared" si="4"/>
        <v>3</v>
      </c>
      <c r="BL613" s="2103"/>
      <c r="BM613" s="58"/>
      <c r="BN613" s="2085">
        <f t="shared" si="5"/>
        <v>0</v>
      </c>
      <c r="BO613" s="2086"/>
      <c r="BP613" s="2086"/>
      <c r="BQ613" s="2086"/>
      <c r="BR613" s="2087"/>
      <c r="BS613" s="2092">
        <f t="shared" si="6"/>
        <v>3</v>
      </c>
      <c r="BT613" s="2092"/>
      <c r="BU613" s="2092"/>
      <c r="BV613" s="2092"/>
      <c r="BW613" s="2092"/>
      <c r="BX613" s="2092">
        <f t="shared" si="7"/>
        <v>0</v>
      </c>
      <c r="BY613" s="2092"/>
      <c r="BZ613" s="2092"/>
      <c r="CA613" s="2092"/>
      <c r="CB613" s="2092"/>
      <c r="CC613" s="2092">
        <f t="shared" si="8"/>
        <v>0</v>
      </c>
      <c r="CD613" s="2092"/>
      <c r="CE613" s="2092"/>
      <c r="CF613" s="2092"/>
      <c r="CG613" s="2092"/>
      <c r="CH613" s="2092">
        <f t="shared" si="9"/>
        <v>0</v>
      </c>
      <c r="CI613" s="2092"/>
      <c r="CJ613" s="2092"/>
      <c r="CK613" s="2092"/>
      <c r="CL613" s="2092"/>
      <c r="CM613" s="2092">
        <f t="shared" si="10"/>
        <v>0</v>
      </c>
      <c r="CN613" s="2092"/>
      <c r="CO613" s="2092"/>
      <c r="CP613" s="2092"/>
      <c r="CQ613" s="2092"/>
      <c r="CR613" s="265"/>
      <c r="CS613" s="2107">
        <f t="shared" si="11"/>
        <v>0</v>
      </c>
      <c r="CT613" s="2107"/>
      <c r="CU613" s="2107"/>
      <c r="CV613" s="2107"/>
      <c r="CW613" s="2107"/>
      <c r="CX613" s="2107">
        <f t="shared" si="12"/>
        <v>3</v>
      </c>
      <c r="CY613" s="2107"/>
      <c r="CZ613" s="2107"/>
      <c r="DA613" s="2107"/>
      <c r="DB613" s="2107"/>
      <c r="DC613" s="2107">
        <f t="shared" si="13"/>
        <v>0</v>
      </c>
      <c r="DD613" s="2107"/>
      <c r="DE613" s="2107"/>
      <c r="DF613" s="2107"/>
      <c r="DG613" s="2107"/>
      <c r="DH613" s="2107">
        <f t="shared" si="14"/>
        <v>0</v>
      </c>
      <c r="DI613" s="2107"/>
      <c r="DJ613" s="2107"/>
      <c r="DK613" s="2107"/>
      <c r="DL613" s="2107"/>
      <c r="DM613" s="2107">
        <f t="shared" si="15"/>
        <v>0</v>
      </c>
      <c r="DN613" s="2107"/>
      <c r="DO613" s="2107"/>
      <c r="DP613" s="2107"/>
      <c r="DQ613" s="2107"/>
      <c r="DR613" s="2107">
        <f t="shared" si="16"/>
        <v>0</v>
      </c>
      <c r="DS613" s="2107"/>
      <c r="DT613" s="2107"/>
      <c r="DU613" s="2107"/>
      <c r="DV613" s="2107"/>
      <c r="DX613" s="2104" t="str">
        <f t="shared" si="17"/>
        <v xml:space="preserve"> </v>
      </c>
      <c r="DY613" s="2105"/>
      <c r="DZ613" s="2105"/>
      <c r="EA613" s="2105"/>
      <c r="EB613" s="2106"/>
      <c r="EC613" s="2104">
        <f t="shared" si="18"/>
        <v>608</v>
      </c>
      <c r="ED613" s="2105"/>
      <c r="EE613" s="2105"/>
      <c r="EF613" s="2105"/>
      <c r="EG613" s="2106"/>
      <c r="EH613" s="2104" t="str">
        <f t="shared" si="19"/>
        <v xml:space="preserve"> </v>
      </c>
      <c r="EI613" s="2105"/>
      <c r="EJ613" s="2105"/>
      <c r="EK613" s="2105"/>
      <c r="EL613" s="2106"/>
      <c r="EM613" s="2104" t="str">
        <f t="shared" si="20"/>
        <v xml:space="preserve"> </v>
      </c>
      <c r="EN613" s="2105"/>
      <c r="EO613" s="2105"/>
      <c r="EP613" s="2105"/>
      <c r="EQ613" s="2106"/>
      <c r="ER613" s="2104" t="str">
        <f t="shared" si="21"/>
        <v xml:space="preserve"> </v>
      </c>
      <c r="ES613" s="2105"/>
      <c r="ET613" s="2105"/>
      <c r="EU613" s="2105"/>
      <c r="EV613" s="2106"/>
      <c r="EW613" s="2104" t="str">
        <f t="shared" si="22"/>
        <v xml:space="preserve"> </v>
      </c>
      <c r="EX613" s="2105"/>
      <c r="EY613" s="2105"/>
      <c r="EZ613" s="2105"/>
      <c r="FA613" s="2106"/>
    </row>
    <row r="614" spans="1:157" ht="12.75">
      <c r="A614" s="35"/>
      <c r="B614" s="12" t="s">
        <v>17</v>
      </c>
      <c r="G614" s="2122" t="str">
        <f>G606</f>
        <v>Mee Heh Risdon</v>
      </c>
      <c r="H614" s="2122"/>
      <c r="I614" s="2122"/>
      <c r="J614" s="2122"/>
      <c r="K614" s="2122"/>
      <c r="L614" s="2122"/>
      <c r="M614" s="2122"/>
      <c r="N614" s="2122"/>
      <c r="O614" s="2122"/>
      <c r="P614" s="2122"/>
      <c r="Q614" s="2122"/>
      <c r="R614" s="2122"/>
      <c r="T614" s="35"/>
      <c r="U614" s="12" t="s">
        <v>17</v>
      </c>
      <c r="Z614" s="2095"/>
      <c r="AA614" s="2095"/>
      <c r="AB614" s="2095"/>
      <c r="AC614" s="2095"/>
      <c r="AD614" s="2095"/>
      <c r="AE614" s="2095"/>
      <c r="AF614" s="2095"/>
      <c r="AG614" s="2095"/>
      <c r="AH614" s="2095"/>
      <c r="AI614" s="2095"/>
      <c r="AJ614" s="2095"/>
      <c r="AK614" s="2095"/>
      <c r="BA614" s="7" t="s">
        <v>31</v>
      </c>
      <c r="BB614" s="58"/>
      <c r="BC614" s="58"/>
      <c r="BD614" s="58"/>
      <c r="BE614" s="2104">
        <f t="shared" si="1"/>
        <v>1</v>
      </c>
      <c r="BF614" s="2106"/>
      <c r="BG614" s="2101">
        <f t="shared" si="2"/>
        <v>2</v>
      </c>
      <c r="BH614" s="2103"/>
      <c r="BI614" s="2104">
        <f t="shared" si="3"/>
        <v>0</v>
      </c>
      <c r="BJ614" s="2106"/>
      <c r="BK614" s="2101">
        <f t="shared" si="4"/>
        <v>0</v>
      </c>
      <c r="BL614" s="2103"/>
      <c r="BM614" s="58"/>
      <c r="BN614" s="2085">
        <f t="shared" si="5"/>
        <v>2</v>
      </c>
      <c r="BO614" s="2086"/>
      <c r="BP614" s="2086"/>
      <c r="BQ614" s="2086"/>
      <c r="BR614" s="2087"/>
      <c r="BS614" s="2092">
        <f t="shared" si="6"/>
        <v>0</v>
      </c>
      <c r="BT614" s="2092"/>
      <c r="BU614" s="2092"/>
      <c r="BV614" s="2092"/>
      <c r="BW614" s="2092"/>
      <c r="BX614" s="2092">
        <f t="shared" si="7"/>
        <v>0</v>
      </c>
      <c r="BY614" s="2092"/>
      <c r="BZ614" s="2092"/>
      <c r="CA614" s="2092"/>
      <c r="CB614" s="2092"/>
      <c r="CC614" s="2092">
        <f t="shared" si="8"/>
        <v>0</v>
      </c>
      <c r="CD614" s="2092"/>
      <c r="CE614" s="2092"/>
      <c r="CF614" s="2092"/>
      <c r="CG614" s="2092"/>
      <c r="CH614" s="2092">
        <f t="shared" si="9"/>
        <v>0</v>
      </c>
      <c r="CI614" s="2092"/>
      <c r="CJ614" s="2092"/>
      <c r="CK614" s="2092"/>
      <c r="CL614" s="2092"/>
      <c r="CM614" s="2092">
        <f t="shared" si="10"/>
        <v>0</v>
      </c>
      <c r="CN614" s="2092"/>
      <c r="CO614" s="2092"/>
      <c r="CP614" s="2092"/>
      <c r="CQ614" s="2092"/>
      <c r="CR614" s="265"/>
      <c r="CS614" s="2107">
        <f t="shared" si="11"/>
        <v>0</v>
      </c>
      <c r="CT614" s="2107"/>
      <c r="CU614" s="2107"/>
      <c r="CV614" s="2107"/>
      <c r="CW614" s="2107"/>
      <c r="CX614" s="2107">
        <f t="shared" si="12"/>
        <v>0</v>
      </c>
      <c r="CY614" s="2107"/>
      <c r="CZ614" s="2107"/>
      <c r="DA614" s="2107"/>
      <c r="DB614" s="2107"/>
      <c r="DC614" s="2107">
        <f t="shared" si="13"/>
        <v>0</v>
      </c>
      <c r="DD614" s="2107"/>
      <c r="DE614" s="2107"/>
      <c r="DF614" s="2107"/>
      <c r="DG614" s="2107"/>
      <c r="DH614" s="2107">
        <f t="shared" si="14"/>
        <v>0</v>
      </c>
      <c r="DI614" s="2107"/>
      <c r="DJ614" s="2107"/>
      <c r="DK614" s="2107"/>
      <c r="DL614" s="2107"/>
      <c r="DM614" s="2107">
        <f t="shared" si="15"/>
        <v>0</v>
      </c>
      <c r="DN614" s="2107"/>
      <c r="DO614" s="2107"/>
      <c r="DP614" s="2107"/>
      <c r="DQ614" s="2107"/>
      <c r="DR614" s="2107">
        <f t="shared" si="16"/>
        <v>0</v>
      </c>
      <c r="DS614" s="2107"/>
      <c r="DT614" s="2107"/>
      <c r="DU614" s="2107"/>
      <c r="DV614" s="2107"/>
      <c r="DX614" s="2104">
        <f t="shared" si="17"/>
        <v>996</v>
      </c>
      <c r="DY614" s="2105"/>
      <c r="DZ614" s="2105"/>
      <c r="EA614" s="2105"/>
      <c r="EB614" s="2106"/>
      <c r="EC614" s="2104" t="str">
        <f t="shared" si="18"/>
        <v xml:space="preserve"> </v>
      </c>
      <c r="ED614" s="2105"/>
      <c r="EE614" s="2105"/>
      <c r="EF614" s="2105"/>
      <c r="EG614" s="2106"/>
      <c r="EH614" s="2104" t="str">
        <f t="shared" si="19"/>
        <v xml:space="preserve"> </v>
      </c>
      <c r="EI614" s="2105"/>
      <c r="EJ614" s="2105"/>
      <c r="EK614" s="2105"/>
      <c r="EL614" s="2106"/>
      <c r="EM614" s="2104" t="str">
        <f t="shared" si="20"/>
        <v xml:space="preserve"> </v>
      </c>
      <c r="EN614" s="2105"/>
      <c r="EO614" s="2105"/>
      <c r="EP614" s="2105"/>
      <c r="EQ614" s="2106"/>
      <c r="ER614" s="2104" t="str">
        <f t="shared" si="21"/>
        <v xml:space="preserve"> </v>
      </c>
      <c r="ES614" s="2105"/>
      <c r="ET614" s="2105"/>
      <c r="EU614" s="2105"/>
      <c r="EV614" s="2106"/>
      <c r="EW614" s="2104" t="str">
        <f t="shared" si="22"/>
        <v xml:space="preserve"> </v>
      </c>
      <c r="EX614" s="2105"/>
      <c r="EY614" s="2105"/>
      <c r="EZ614" s="2105"/>
      <c r="FA614" s="2106"/>
    </row>
    <row r="615" spans="1:157" ht="12.75">
      <c r="A615" s="35"/>
      <c r="B615" s="12" t="s">
        <v>321</v>
      </c>
      <c r="G615" s="2368" t="str">
        <f>G607</f>
        <v>213-480-0809</v>
      </c>
      <c r="H615" s="2368"/>
      <c r="I615" s="2368"/>
      <c r="J615" s="2368"/>
      <c r="K615" s="2368"/>
      <c r="L615" s="2368"/>
      <c r="O615" s="137" t="s">
        <v>211</v>
      </c>
      <c r="P615" s="2094"/>
      <c r="Q615" s="2094"/>
      <c r="R615" s="2094"/>
      <c r="T615" s="35"/>
      <c r="U615" s="12" t="s">
        <v>321</v>
      </c>
      <c r="Z615" s="2368"/>
      <c r="AA615" s="2368"/>
      <c r="AB615" s="2368"/>
      <c r="AC615" s="2368"/>
      <c r="AD615" s="2368"/>
      <c r="AE615" s="2368"/>
      <c r="AH615" s="137" t="s">
        <v>211</v>
      </c>
      <c r="AI615" s="2094"/>
      <c r="AJ615" s="2094"/>
      <c r="AK615" s="2094"/>
      <c r="AZ615" s="58"/>
      <c r="BA615" s="58"/>
      <c r="BB615" s="58"/>
      <c r="BC615" s="58"/>
      <c r="BD615" s="58"/>
      <c r="BE615" s="2104">
        <f t="shared" si="1"/>
        <v>1</v>
      </c>
      <c r="BF615" s="2106"/>
      <c r="BG615" s="2101">
        <f t="shared" si="2"/>
        <v>13</v>
      </c>
      <c r="BH615" s="2103"/>
      <c r="BI615" s="2104">
        <f t="shared" si="3"/>
        <v>0</v>
      </c>
      <c r="BJ615" s="2106"/>
      <c r="BK615" s="2101">
        <f t="shared" si="4"/>
        <v>0</v>
      </c>
      <c r="BL615" s="2103"/>
      <c r="BM615" s="58"/>
      <c r="BN615" s="2085">
        <f t="shared" si="5"/>
        <v>0</v>
      </c>
      <c r="BO615" s="2086"/>
      <c r="BP615" s="2086"/>
      <c r="BQ615" s="2086"/>
      <c r="BR615" s="2087"/>
      <c r="BS615" s="2092">
        <f t="shared" si="6"/>
        <v>13</v>
      </c>
      <c r="BT615" s="2092"/>
      <c r="BU615" s="2092"/>
      <c r="BV615" s="2092"/>
      <c r="BW615" s="2092"/>
      <c r="BX615" s="2092">
        <f t="shared" si="7"/>
        <v>0</v>
      </c>
      <c r="BY615" s="2092"/>
      <c r="BZ615" s="2092"/>
      <c r="CA615" s="2092"/>
      <c r="CB615" s="2092"/>
      <c r="CC615" s="2092">
        <f t="shared" si="8"/>
        <v>0</v>
      </c>
      <c r="CD615" s="2092"/>
      <c r="CE615" s="2092"/>
      <c r="CF615" s="2092"/>
      <c r="CG615" s="2092"/>
      <c r="CH615" s="2092">
        <f t="shared" si="9"/>
        <v>0</v>
      </c>
      <c r="CI615" s="2092"/>
      <c r="CJ615" s="2092"/>
      <c r="CK615" s="2092"/>
      <c r="CL615" s="2092"/>
      <c r="CM615" s="2092">
        <f t="shared" si="10"/>
        <v>0</v>
      </c>
      <c r="CN615" s="2092"/>
      <c r="CO615" s="2092"/>
      <c r="CP615" s="2092"/>
      <c r="CQ615" s="2092"/>
      <c r="CR615" s="265"/>
      <c r="CS615" s="2107">
        <f t="shared" si="11"/>
        <v>0</v>
      </c>
      <c r="CT615" s="2107"/>
      <c r="CU615" s="2107"/>
      <c r="CV615" s="2107"/>
      <c r="CW615" s="2107"/>
      <c r="CX615" s="2107">
        <f t="shared" si="12"/>
        <v>0</v>
      </c>
      <c r="CY615" s="2107"/>
      <c r="CZ615" s="2107"/>
      <c r="DA615" s="2107"/>
      <c r="DB615" s="2107"/>
      <c r="DC615" s="2107">
        <f t="shared" si="13"/>
        <v>0</v>
      </c>
      <c r="DD615" s="2107"/>
      <c r="DE615" s="2107"/>
      <c r="DF615" s="2107"/>
      <c r="DG615" s="2107"/>
      <c r="DH615" s="2107">
        <f t="shared" si="14"/>
        <v>0</v>
      </c>
      <c r="DI615" s="2107"/>
      <c r="DJ615" s="2107"/>
      <c r="DK615" s="2107"/>
      <c r="DL615" s="2107"/>
      <c r="DM615" s="2107">
        <f t="shared" si="15"/>
        <v>0</v>
      </c>
      <c r="DN615" s="2107"/>
      <c r="DO615" s="2107"/>
      <c r="DP615" s="2107"/>
      <c r="DQ615" s="2107"/>
      <c r="DR615" s="2107">
        <f t="shared" si="16"/>
        <v>0</v>
      </c>
      <c r="DS615" s="2107"/>
      <c r="DT615" s="2107"/>
      <c r="DU615" s="2107"/>
      <c r="DV615" s="2107"/>
      <c r="DX615" s="2104" t="str">
        <f t="shared" si="17"/>
        <v xml:space="preserve"> </v>
      </c>
      <c r="DY615" s="2105"/>
      <c r="DZ615" s="2105"/>
      <c r="EA615" s="2105"/>
      <c r="EB615" s="2106"/>
      <c r="EC615" s="2104">
        <f t="shared" si="18"/>
        <v>1054</v>
      </c>
      <c r="ED615" s="2105"/>
      <c r="EE615" s="2105"/>
      <c r="EF615" s="2105"/>
      <c r="EG615" s="2106"/>
      <c r="EH615" s="2104" t="str">
        <f t="shared" si="19"/>
        <v xml:space="preserve"> </v>
      </c>
      <c r="EI615" s="2105"/>
      <c r="EJ615" s="2105"/>
      <c r="EK615" s="2105"/>
      <c r="EL615" s="2106"/>
      <c r="EM615" s="2104" t="str">
        <f t="shared" si="20"/>
        <v xml:space="preserve"> </v>
      </c>
      <c r="EN615" s="2105"/>
      <c r="EO615" s="2105"/>
      <c r="EP615" s="2105"/>
      <c r="EQ615" s="2106"/>
      <c r="ER615" s="2104" t="str">
        <f t="shared" si="21"/>
        <v xml:space="preserve"> </v>
      </c>
      <c r="ES615" s="2105"/>
      <c r="ET615" s="2105"/>
      <c r="EU615" s="2105"/>
      <c r="EV615" s="2106"/>
      <c r="EW615" s="2104" t="str">
        <f t="shared" si="22"/>
        <v xml:space="preserve"> </v>
      </c>
      <c r="EX615" s="2105"/>
      <c r="EY615" s="2105"/>
      <c r="EZ615" s="2105"/>
      <c r="FA615" s="2106"/>
    </row>
    <row r="616" spans="1:157" ht="12.75">
      <c r="A616" s="35"/>
      <c r="B616" s="12" t="s">
        <v>18</v>
      </c>
      <c r="H616" s="2122"/>
      <c r="I616" s="2122"/>
      <c r="J616" s="2122"/>
      <c r="K616" s="2122"/>
      <c r="L616" s="2122"/>
      <c r="M616" s="2122"/>
      <c r="N616" s="2122"/>
      <c r="O616" s="2122"/>
      <c r="P616" s="2122"/>
      <c r="Q616" s="2122"/>
      <c r="R616" s="2122"/>
      <c r="T616" s="35"/>
      <c r="U616" s="12" t="s">
        <v>18</v>
      </c>
      <c r="AA616" s="2122"/>
      <c r="AB616" s="2122"/>
      <c r="AC616" s="2122"/>
      <c r="AD616" s="2122"/>
      <c r="AE616" s="2122"/>
      <c r="AF616" s="2122"/>
      <c r="AG616" s="2122"/>
      <c r="AH616" s="2122"/>
      <c r="AI616" s="2122"/>
      <c r="AJ616" s="2122"/>
      <c r="AK616" s="2122"/>
      <c r="AZ616" s="58"/>
      <c r="BA616" s="58"/>
      <c r="BB616" s="58"/>
      <c r="BC616" s="58"/>
      <c r="BD616" s="58"/>
      <c r="BE616" s="2104">
        <f t="shared" si="1"/>
        <v>1</v>
      </c>
      <c r="BF616" s="2106"/>
      <c r="BG616" s="2101">
        <f t="shared" si="2"/>
        <v>5</v>
      </c>
      <c r="BH616" s="2103"/>
      <c r="BI616" s="2104">
        <f t="shared" si="3"/>
        <v>0</v>
      </c>
      <c r="BJ616" s="2106"/>
      <c r="BK616" s="2101">
        <f t="shared" si="4"/>
        <v>0</v>
      </c>
      <c r="BL616" s="2103"/>
      <c r="BM616" s="58"/>
      <c r="BN616" s="2085">
        <f t="shared" si="5"/>
        <v>5</v>
      </c>
      <c r="BO616" s="2086"/>
      <c r="BP616" s="2086"/>
      <c r="BQ616" s="2086"/>
      <c r="BR616" s="2087"/>
      <c r="BS616" s="2092">
        <f t="shared" si="6"/>
        <v>0</v>
      </c>
      <c r="BT616" s="2092"/>
      <c r="BU616" s="2092"/>
      <c r="BV616" s="2092"/>
      <c r="BW616" s="2092"/>
      <c r="BX616" s="2092">
        <f t="shared" si="7"/>
        <v>0</v>
      </c>
      <c r="BY616" s="2092"/>
      <c r="BZ616" s="2092"/>
      <c r="CA616" s="2092"/>
      <c r="CB616" s="2092"/>
      <c r="CC616" s="2092">
        <f t="shared" si="8"/>
        <v>0</v>
      </c>
      <c r="CD616" s="2092"/>
      <c r="CE616" s="2092"/>
      <c r="CF616" s="2092"/>
      <c r="CG616" s="2092"/>
      <c r="CH616" s="2092">
        <f t="shared" si="9"/>
        <v>0</v>
      </c>
      <c r="CI616" s="2092"/>
      <c r="CJ616" s="2092"/>
      <c r="CK616" s="2092"/>
      <c r="CL616" s="2092"/>
      <c r="CM616" s="2092">
        <f t="shared" si="10"/>
        <v>0</v>
      </c>
      <c r="CN616" s="2092"/>
      <c r="CO616" s="2092"/>
      <c r="CP616" s="2092"/>
      <c r="CQ616" s="2092"/>
      <c r="CR616" s="265"/>
      <c r="CS616" s="2107">
        <f t="shared" si="11"/>
        <v>0</v>
      </c>
      <c r="CT616" s="2107"/>
      <c r="CU616" s="2107"/>
      <c r="CV616" s="2107"/>
      <c r="CW616" s="2107"/>
      <c r="CX616" s="2107">
        <f t="shared" si="12"/>
        <v>0</v>
      </c>
      <c r="CY616" s="2107"/>
      <c r="CZ616" s="2107"/>
      <c r="DA616" s="2107"/>
      <c r="DB616" s="2107"/>
      <c r="DC616" s="2107">
        <f t="shared" si="13"/>
        <v>0</v>
      </c>
      <c r="DD616" s="2107"/>
      <c r="DE616" s="2107"/>
      <c r="DF616" s="2107"/>
      <c r="DG616" s="2107"/>
      <c r="DH616" s="2107">
        <f t="shared" si="14"/>
        <v>0</v>
      </c>
      <c r="DI616" s="2107"/>
      <c r="DJ616" s="2107"/>
      <c r="DK616" s="2107"/>
      <c r="DL616" s="2107"/>
      <c r="DM616" s="2107">
        <f t="shared" si="15"/>
        <v>0</v>
      </c>
      <c r="DN616" s="2107"/>
      <c r="DO616" s="2107"/>
      <c r="DP616" s="2107"/>
      <c r="DQ616" s="2107"/>
      <c r="DR616" s="2107">
        <f t="shared" si="16"/>
        <v>0</v>
      </c>
      <c r="DS616" s="2107"/>
      <c r="DT616" s="2107"/>
      <c r="DU616" s="2107"/>
      <c r="DV616" s="2107"/>
      <c r="DX616" s="2104">
        <f t="shared" si="17"/>
        <v>996</v>
      </c>
      <c r="DY616" s="2105"/>
      <c r="DZ616" s="2105"/>
      <c r="EA616" s="2105"/>
      <c r="EB616" s="2106"/>
      <c r="EC616" s="2104" t="str">
        <f t="shared" si="18"/>
        <v xml:space="preserve"> </v>
      </c>
      <c r="ED616" s="2105"/>
      <c r="EE616" s="2105"/>
      <c r="EF616" s="2105"/>
      <c r="EG616" s="2106"/>
      <c r="EH616" s="2104" t="str">
        <f t="shared" si="19"/>
        <v xml:space="preserve"> </v>
      </c>
      <c r="EI616" s="2105"/>
      <c r="EJ616" s="2105"/>
      <c r="EK616" s="2105"/>
      <c r="EL616" s="2106"/>
      <c r="EM616" s="2104" t="str">
        <f t="shared" si="20"/>
        <v xml:space="preserve"> </v>
      </c>
      <c r="EN616" s="2105"/>
      <c r="EO616" s="2105"/>
      <c r="EP616" s="2105"/>
      <c r="EQ616" s="2106"/>
      <c r="ER616" s="2104" t="str">
        <f t="shared" si="21"/>
        <v xml:space="preserve"> </v>
      </c>
      <c r="ES616" s="2105"/>
      <c r="ET616" s="2105"/>
      <c r="EU616" s="2105"/>
      <c r="EV616" s="2106"/>
      <c r="EW616" s="2104" t="str">
        <f t="shared" si="22"/>
        <v xml:space="preserve"> </v>
      </c>
      <c r="EX616" s="2105"/>
      <c r="EY616" s="2105"/>
      <c r="EZ616" s="2105"/>
      <c r="FA616" s="2106"/>
    </row>
    <row r="617" spans="1:157" ht="12.75">
      <c r="A617" s="35"/>
      <c r="B617" s="12" t="s">
        <v>20</v>
      </c>
      <c r="N617" s="2099" t="s">
        <v>570</v>
      </c>
      <c r="O617" s="2099"/>
      <c r="T617" s="35"/>
      <c r="U617" s="12" t="s">
        <v>20</v>
      </c>
      <c r="AG617" s="2099" t="s">
        <v>570</v>
      </c>
      <c r="AH617" s="2099"/>
      <c r="AZ617" s="58"/>
      <c r="BA617" s="58"/>
      <c r="BB617" s="58"/>
      <c r="BC617" s="58"/>
      <c r="BD617" s="58"/>
      <c r="BE617" s="2104">
        <f t="shared" si="1"/>
        <v>0</v>
      </c>
      <c r="BF617" s="2106"/>
      <c r="BG617" s="2101">
        <f t="shared" si="2"/>
        <v>0</v>
      </c>
      <c r="BH617" s="2103"/>
      <c r="BI617" s="2104">
        <f t="shared" si="3"/>
        <v>0</v>
      </c>
      <c r="BJ617" s="2106"/>
      <c r="BK617" s="2101">
        <f t="shared" si="4"/>
        <v>0</v>
      </c>
      <c r="BL617" s="2103"/>
      <c r="BM617" s="58"/>
      <c r="BN617" s="2085">
        <f t="shared" si="5"/>
        <v>0</v>
      </c>
      <c r="BO617" s="2086"/>
      <c r="BP617" s="2086"/>
      <c r="BQ617" s="2086"/>
      <c r="BR617" s="2087"/>
      <c r="BS617" s="2092">
        <f t="shared" si="6"/>
        <v>5</v>
      </c>
      <c r="BT617" s="2092"/>
      <c r="BU617" s="2092"/>
      <c r="BV617" s="2092"/>
      <c r="BW617" s="2092"/>
      <c r="BX617" s="2092">
        <f t="shared" si="7"/>
        <v>0</v>
      </c>
      <c r="BY617" s="2092"/>
      <c r="BZ617" s="2092"/>
      <c r="CA617" s="2092"/>
      <c r="CB617" s="2092"/>
      <c r="CC617" s="2092">
        <f t="shared" si="8"/>
        <v>0</v>
      </c>
      <c r="CD617" s="2092"/>
      <c r="CE617" s="2092"/>
      <c r="CF617" s="2092"/>
      <c r="CG617" s="2092"/>
      <c r="CH617" s="2092">
        <f t="shared" si="9"/>
        <v>0</v>
      </c>
      <c r="CI617" s="2092"/>
      <c r="CJ617" s="2092"/>
      <c r="CK617" s="2092"/>
      <c r="CL617" s="2092"/>
      <c r="CM617" s="2092">
        <f t="shared" si="10"/>
        <v>0</v>
      </c>
      <c r="CN617" s="2092"/>
      <c r="CO617" s="2092"/>
      <c r="CP617" s="2092"/>
      <c r="CQ617" s="2092"/>
      <c r="CR617" s="265"/>
      <c r="CS617" s="2107">
        <f t="shared" si="11"/>
        <v>0</v>
      </c>
      <c r="CT617" s="2107"/>
      <c r="CU617" s="2107"/>
      <c r="CV617" s="2107"/>
      <c r="CW617" s="2107"/>
      <c r="CX617" s="2107">
        <f t="shared" si="12"/>
        <v>0</v>
      </c>
      <c r="CY617" s="2107"/>
      <c r="CZ617" s="2107"/>
      <c r="DA617" s="2107"/>
      <c r="DB617" s="2107"/>
      <c r="DC617" s="2107">
        <f t="shared" si="13"/>
        <v>0</v>
      </c>
      <c r="DD617" s="2107"/>
      <c r="DE617" s="2107"/>
      <c r="DF617" s="2107"/>
      <c r="DG617" s="2107"/>
      <c r="DH617" s="2107">
        <f t="shared" si="14"/>
        <v>0</v>
      </c>
      <c r="DI617" s="2107"/>
      <c r="DJ617" s="2107"/>
      <c r="DK617" s="2107"/>
      <c r="DL617" s="2107"/>
      <c r="DM617" s="2107">
        <f t="shared" si="15"/>
        <v>0</v>
      </c>
      <c r="DN617" s="2107"/>
      <c r="DO617" s="2107"/>
      <c r="DP617" s="2107"/>
      <c r="DQ617" s="2107"/>
      <c r="DR617" s="2107">
        <f t="shared" si="16"/>
        <v>0</v>
      </c>
      <c r="DS617" s="2107"/>
      <c r="DT617" s="2107"/>
      <c r="DU617" s="2107"/>
      <c r="DV617" s="2107"/>
      <c r="DX617" s="2104" t="str">
        <f t="shared" si="17"/>
        <v xml:space="preserve"> </v>
      </c>
      <c r="DY617" s="2105"/>
      <c r="DZ617" s="2105"/>
      <c r="EA617" s="2105"/>
      <c r="EB617" s="2106"/>
      <c r="EC617" s="2104">
        <f t="shared" si="18"/>
        <v>1278</v>
      </c>
      <c r="ED617" s="2105"/>
      <c r="EE617" s="2105"/>
      <c r="EF617" s="2105"/>
      <c r="EG617" s="2106"/>
      <c r="EH617" s="2104" t="str">
        <f t="shared" si="19"/>
        <v xml:space="preserve"> </v>
      </c>
      <c r="EI617" s="2105"/>
      <c r="EJ617" s="2105"/>
      <c r="EK617" s="2105"/>
      <c r="EL617" s="2106"/>
      <c r="EM617" s="2104" t="str">
        <f t="shared" si="20"/>
        <v xml:space="preserve"> </v>
      </c>
      <c r="EN617" s="2105"/>
      <c r="EO617" s="2105"/>
      <c r="EP617" s="2105"/>
      <c r="EQ617" s="2106"/>
      <c r="ER617" s="2104" t="str">
        <f t="shared" si="21"/>
        <v xml:space="preserve"> </v>
      </c>
      <c r="ES617" s="2105"/>
      <c r="ET617" s="2105"/>
      <c r="EU617" s="2105"/>
      <c r="EV617" s="2106"/>
      <c r="EW617" s="2104" t="str">
        <f t="shared" si="22"/>
        <v xml:space="preserve"> </v>
      </c>
      <c r="EX617" s="2105"/>
      <c r="EY617" s="2105"/>
      <c r="EZ617" s="2105"/>
      <c r="FA617" s="210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04">
        <f t="shared" si="1"/>
        <v>1</v>
      </c>
      <c r="BF618" s="2106"/>
      <c r="BG618" s="2101">
        <f t="shared" si="2"/>
        <v>2</v>
      </c>
      <c r="BH618" s="2103"/>
      <c r="BI618" s="2104">
        <f t="shared" si="3"/>
        <v>0</v>
      </c>
      <c r="BJ618" s="2106"/>
      <c r="BK618" s="2101">
        <f t="shared" si="4"/>
        <v>0</v>
      </c>
      <c r="BL618" s="2103"/>
      <c r="BM618" s="58"/>
      <c r="BN618" s="2085">
        <f t="shared" si="5"/>
        <v>2</v>
      </c>
      <c r="BO618" s="2086"/>
      <c r="BP618" s="2086"/>
      <c r="BQ618" s="2086"/>
      <c r="BR618" s="2087"/>
      <c r="BS618" s="2092">
        <f t="shared" si="6"/>
        <v>0</v>
      </c>
      <c r="BT618" s="2092"/>
      <c r="BU618" s="2092"/>
      <c r="BV618" s="2092"/>
      <c r="BW618" s="2092"/>
      <c r="BX618" s="2092">
        <f t="shared" si="7"/>
        <v>0</v>
      </c>
      <c r="BY618" s="2092"/>
      <c r="BZ618" s="2092"/>
      <c r="CA618" s="2092"/>
      <c r="CB618" s="2092"/>
      <c r="CC618" s="2092">
        <f t="shared" si="8"/>
        <v>0</v>
      </c>
      <c r="CD618" s="2092"/>
      <c r="CE618" s="2092"/>
      <c r="CF618" s="2092"/>
      <c r="CG618" s="2092"/>
      <c r="CH618" s="2092">
        <f t="shared" si="9"/>
        <v>0</v>
      </c>
      <c r="CI618" s="2092"/>
      <c r="CJ618" s="2092"/>
      <c r="CK618" s="2092"/>
      <c r="CL618" s="2092"/>
      <c r="CM618" s="2092">
        <f t="shared" si="10"/>
        <v>0</v>
      </c>
      <c r="CN618" s="2092"/>
      <c r="CO618" s="2092"/>
      <c r="CP618" s="2092"/>
      <c r="CQ618" s="2092"/>
      <c r="CR618" s="265"/>
      <c r="CS618" s="2107">
        <f t="shared" si="11"/>
        <v>0</v>
      </c>
      <c r="CT618" s="2107"/>
      <c r="CU618" s="2107"/>
      <c r="CV618" s="2107"/>
      <c r="CW618" s="2107"/>
      <c r="CX618" s="2107">
        <f t="shared" si="12"/>
        <v>0</v>
      </c>
      <c r="CY618" s="2107"/>
      <c r="CZ618" s="2107"/>
      <c r="DA618" s="2107"/>
      <c r="DB618" s="2107"/>
      <c r="DC618" s="2107">
        <f t="shared" si="13"/>
        <v>0</v>
      </c>
      <c r="DD618" s="2107"/>
      <c r="DE618" s="2107"/>
      <c r="DF618" s="2107"/>
      <c r="DG618" s="2107"/>
      <c r="DH618" s="2107">
        <f t="shared" si="14"/>
        <v>0</v>
      </c>
      <c r="DI618" s="2107"/>
      <c r="DJ618" s="2107"/>
      <c r="DK618" s="2107"/>
      <c r="DL618" s="2107"/>
      <c r="DM618" s="2107">
        <f t="shared" si="15"/>
        <v>0</v>
      </c>
      <c r="DN618" s="2107"/>
      <c r="DO618" s="2107"/>
      <c r="DP618" s="2107"/>
      <c r="DQ618" s="2107"/>
      <c r="DR618" s="2107">
        <f t="shared" si="16"/>
        <v>0</v>
      </c>
      <c r="DS618" s="2107"/>
      <c r="DT618" s="2107"/>
      <c r="DU618" s="2107"/>
      <c r="DV618" s="2107"/>
      <c r="DX618" s="2104">
        <f t="shared" si="17"/>
        <v>788</v>
      </c>
      <c r="DY618" s="2105"/>
      <c r="DZ618" s="2105"/>
      <c r="EA618" s="2105"/>
      <c r="EB618" s="2106"/>
      <c r="EC618" s="2104" t="str">
        <f t="shared" si="18"/>
        <v xml:space="preserve"> </v>
      </c>
      <c r="ED618" s="2105"/>
      <c r="EE618" s="2105"/>
      <c r="EF618" s="2105"/>
      <c r="EG618" s="2106"/>
      <c r="EH618" s="2104" t="str">
        <f t="shared" si="19"/>
        <v xml:space="preserve"> </v>
      </c>
      <c r="EI618" s="2105"/>
      <c r="EJ618" s="2105"/>
      <c r="EK618" s="2105"/>
      <c r="EL618" s="2106"/>
      <c r="EM618" s="2104" t="str">
        <f t="shared" si="20"/>
        <v xml:space="preserve"> </v>
      </c>
      <c r="EN618" s="2105"/>
      <c r="EO618" s="2105"/>
      <c r="EP618" s="2105"/>
      <c r="EQ618" s="2106"/>
      <c r="ER618" s="2104" t="str">
        <f t="shared" si="21"/>
        <v xml:space="preserve"> </v>
      </c>
      <c r="ES618" s="2105"/>
      <c r="ET618" s="2105"/>
      <c r="EU618" s="2105"/>
      <c r="EV618" s="2106"/>
      <c r="EW618" s="2104" t="str">
        <f t="shared" si="22"/>
        <v xml:space="preserve"> </v>
      </c>
      <c r="EX618" s="2105"/>
      <c r="EY618" s="2105"/>
      <c r="EZ618" s="2105"/>
      <c r="FA618" s="2106"/>
    </row>
    <row r="619" spans="1:157" s="7" customFormat="1" ht="12.75">
      <c r="A619" s="87" t="s">
        <v>368</v>
      </c>
      <c r="B619" s="12" t="s">
        <v>488</v>
      </c>
      <c r="C619" s="12"/>
      <c r="D619" s="12"/>
      <c r="E619" s="12"/>
      <c r="F619" s="12"/>
      <c r="G619" s="2088">
        <f>C574</f>
        <v>0</v>
      </c>
      <c r="H619" s="2088"/>
      <c r="I619" s="2088"/>
      <c r="J619" s="2088"/>
      <c r="K619" s="2088"/>
      <c r="L619" s="2088"/>
      <c r="M619" s="2088"/>
      <c r="N619" s="2088"/>
      <c r="O619" s="2088"/>
      <c r="P619" s="2088"/>
      <c r="Q619" s="2088"/>
      <c r="R619" s="2088"/>
      <c r="S619" s="12"/>
      <c r="T619" s="87" t="s">
        <v>369</v>
      </c>
      <c r="U619" s="12" t="s">
        <v>488</v>
      </c>
      <c r="V619" s="12"/>
      <c r="W619" s="12"/>
      <c r="X619" s="12"/>
      <c r="Y619" s="12"/>
      <c r="Z619" s="2088">
        <f>C575</f>
        <v>0</v>
      </c>
      <c r="AA619" s="2088"/>
      <c r="AB619" s="2088"/>
      <c r="AC619" s="2088"/>
      <c r="AD619" s="2088"/>
      <c r="AE619" s="2088"/>
      <c r="AF619" s="2088"/>
      <c r="AG619" s="2088"/>
      <c r="AH619" s="2088"/>
      <c r="AI619" s="2088"/>
      <c r="AJ619" s="2088"/>
      <c r="AK619" s="2088"/>
      <c r="AL619" s="12"/>
      <c r="AM619" s="39"/>
      <c r="AN619" s="39"/>
      <c r="AO619" s="39"/>
      <c r="AP619" s="39"/>
      <c r="AQ619" s="39"/>
      <c r="AR619" s="39"/>
      <c r="AS619" s="39"/>
      <c r="AT619" s="39"/>
      <c r="AU619" s="39"/>
      <c r="AV619" s="39"/>
      <c r="AW619" s="39"/>
      <c r="AX619" s="39"/>
      <c r="AY619" s="39"/>
      <c r="AZ619" s="58"/>
      <c r="BA619" s="58"/>
      <c r="BB619" s="58"/>
      <c r="BC619" s="58"/>
      <c r="BD619" s="58"/>
      <c r="BE619" s="2104">
        <f t="shared" si="1"/>
        <v>0</v>
      </c>
      <c r="BF619" s="2106"/>
      <c r="BG619" s="2101">
        <f t="shared" si="2"/>
        <v>0</v>
      </c>
      <c r="BH619" s="2103"/>
      <c r="BI619" s="2104">
        <f t="shared" si="3"/>
        <v>0</v>
      </c>
      <c r="BJ619" s="2106"/>
      <c r="BK619" s="2101">
        <f t="shared" si="4"/>
        <v>0</v>
      </c>
      <c r="BL619" s="2103"/>
      <c r="BM619" s="58"/>
      <c r="BN619" s="2085">
        <f t="shared" si="5"/>
        <v>0</v>
      </c>
      <c r="BO619" s="2086"/>
      <c r="BP619" s="2086"/>
      <c r="BQ619" s="2086"/>
      <c r="BR619" s="2087"/>
      <c r="BS619" s="2092">
        <f t="shared" si="6"/>
        <v>0</v>
      </c>
      <c r="BT619" s="2092"/>
      <c r="BU619" s="2092"/>
      <c r="BV619" s="2092"/>
      <c r="BW619" s="2092"/>
      <c r="BX619" s="2092">
        <f t="shared" si="7"/>
        <v>0</v>
      </c>
      <c r="BY619" s="2092"/>
      <c r="BZ619" s="2092"/>
      <c r="CA619" s="2092"/>
      <c r="CB619" s="2092"/>
      <c r="CC619" s="2092">
        <f t="shared" si="8"/>
        <v>0</v>
      </c>
      <c r="CD619" s="2092"/>
      <c r="CE619" s="2092"/>
      <c r="CF619" s="2092"/>
      <c r="CG619" s="2092"/>
      <c r="CH619" s="2092">
        <f t="shared" si="9"/>
        <v>0</v>
      </c>
      <c r="CI619" s="2092"/>
      <c r="CJ619" s="2092"/>
      <c r="CK619" s="2092"/>
      <c r="CL619" s="2092"/>
      <c r="CM619" s="2092">
        <f t="shared" si="10"/>
        <v>0</v>
      </c>
      <c r="CN619" s="2092"/>
      <c r="CO619" s="2092"/>
      <c r="CP619" s="2092"/>
      <c r="CQ619" s="2092"/>
      <c r="CR619" s="265"/>
      <c r="CS619" s="2107">
        <f t="shared" si="11"/>
        <v>0</v>
      </c>
      <c r="CT619" s="2107"/>
      <c r="CU619" s="2107"/>
      <c r="CV619" s="2107"/>
      <c r="CW619" s="2107"/>
      <c r="CX619" s="2107">
        <f t="shared" si="12"/>
        <v>0</v>
      </c>
      <c r="CY619" s="2107"/>
      <c r="CZ619" s="2107"/>
      <c r="DA619" s="2107"/>
      <c r="DB619" s="2107"/>
      <c r="DC619" s="2107">
        <f t="shared" si="13"/>
        <v>0</v>
      </c>
      <c r="DD619" s="2107"/>
      <c r="DE619" s="2107"/>
      <c r="DF619" s="2107"/>
      <c r="DG619" s="2107"/>
      <c r="DH619" s="2107">
        <f t="shared" si="14"/>
        <v>0</v>
      </c>
      <c r="DI619" s="2107"/>
      <c r="DJ619" s="2107"/>
      <c r="DK619" s="2107"/>
      <c r="DL619" s="2107"/>
      <c r="DM619" s="2107">
        <f t="shared" si="15"/>
        <v>0</v>
      </c>
      <c r="DN619" s="2107"/>
      <c r="DO619" s="2107"/>
      <c r="DP619" s="2107"/>
      <c r="DQ619" s="2107"/>
      <c r="DR619" s="2107">
        <f t="shared" si="16"/>
        <v>0</v>
      </c>
      <c r="DS619" s="2107"/>
      <c r="DT619" s="2107"/>
      <c r="DU619" s="2107"/>
      <c r="DV619" s="2107"/>
      <c r="DX619" s="2104" t="str">
        <f t="shared" si="17"/>
        <v xml:space="preserve"> </v>
      </c>
      <c r="DY619" s="2105"/>
      <c r="DZ619" s="2105"/>
      <c r="EA619" s="2105"/>
      <c r="EB619" s="2106"/>
      <c r="EC619" s="2104" t="str">
        <f t="shared" si="18"/>
        <v xml:space="preserve"> </v>
      </c>
      <c r="ED619" s="2105"/>
      <c r="EE619" s="2105"/>
      <c r="EF619" s="2105"/>
      <c r="EG619" s="2106"/>
      <c r="EH619" s="2104" t="str">
        <f t="shared" si="19"/>
        <v xml:space="preserve"> </v>
      </c>
      <c r="EI619" s="2105"/>
      <c r="EJ619" s="2105"/>
      <c r="EK619" s="2105"/>
      <c r="EL619" s="2106"/>
      <c r="EM619" s="2104" t="str">
        <f t="shared" si="20"/>
        <v xml:space="preserve"> </v>
      </c>
      <c r="EN619" s="2105"/>
      <c r="EO619" s="2105"/>
      <c r="EP619" s="2105"/>
      <c r="EQ619" s="2106"/>
      <c r="ER619" s="2104" t="str">
        <f t="shared" si="21"/>
        <v xml:space="preserve"> </v>
      </c>
      <c r="ES619" s="2105"/>
      <c r="ET619" s="2105"/>
      <c r="EU619" s="2105"/>
      <c r="EV619" s="2106"/>
      <c r="EW619" s="2104" t="str">
        <f t="shared" si="22"/>
        <v xml:space="preserve"> </v>
      </c>
      <c r="EX619" s="2105"/>
      <c r="EY619" s="2105"/>
      <c r="EZ619" s="2105"/>
      <c r="FA619" s="2106"/>
    </row>
    <row r="620" spans="1:157" s="7" customFormat="1" ht="12.75">
      <c r="A620" s="12"/>
      <c r="B620" s="12" t="s">
        <v>90</v>
      </c>
      <c r="C620" s="12"/>
      <c r="D620" s="12"/>
      <c r="E620" s="12"/>
      <c r="F620" s="12"/>
      <c r="G620" s="2122"/>
      <c r="H620" s="2122"/>
      <c r="I620" s="2122"/>
      <c r="J620" s="2122"/>
      <c r="K620" s="2122"/>
      <c r="L620" s="2122"/>
      <c r="M620" s="2122"/>
      <c r="N620" s="2122"/>
      <c r="O620" s="2122"/>
      <c r="P620" s="2122"/>
      <c r="Q620" s="2122"/>
      <c r="R620" s="2122"/>
      <c r="S620" s="12"/>
      <c r="T620" s="12"/>
      <c r="U620" s="12" t="s">
        <v>90</v>
      </c>
      <c r="V620" s="12"/>
      <c r="W620" s="12"/>
      <c r="X620" s="12"/>
      <c r="Y620" s="12"/>
      <c r="Z620" s="2122"/>
      <c r="AA620" s="2122"/>
      <c r="AB620" s="2122"/>
      <c r="AC620" s="2122"/>
      <c r="AD620" s="2122"/>
      <c r="AE620" s="2122"/>
      <c r="AF620" s="2122"/>
      <c r="AG620" s="2122"/>
      <c r="AH620" s="2122"/>
      <c r="AI620" s="2122"/>
      <c r="AJ620" s="2122"/>
      <c r="AK620" s="2122"/>
      <c r="AL620" s="12"/>
      <c r="AM620" s="39"/>
      <c r="AN620" s="39"/>
      <c r="AO620" s="39"/>
      <c r="AP620" s="39"/>
      <c r="AQ620" s="39"/>
      <c r="AR620" s="39"/>
      <c r="AS620" s="39"/>
      <c r="AT620" s="39"/>
      <c r="AU620" s="39"/>
      <c r="AV620" s="39"/>
      <c r="AW620" s="39"/>
      <c r="AX620" s="39"/>
      <c r="AY620" s="39"/>
      <c r="AZ620" s="58"/>
      <c r="BA620" s="58"/>
      <c r="BB620" s="58"/>
      <c r="BC620" s="58"/>
      <c r="BD620" s="58"/>
      <c r="BE620" s="2104">
        <f t="shared" si="1"/>
        <v>0</v>
      </c>
      <c r="BF620" s="2106"/>
      <c r="BG620" s="2101">
        <f t="shared" si="2"/>
        <v>0</v>
      </c>
      <c r="BH620" s="2103"/>
      <c r="BI620" s="2104">
        <f t="shared" si="3"/>
        <v>0</v>
      </c>
      <c r="BJ620" s="2106"/>
      <c r="BK620" s="2101">
        <f t="shared" si="4"/>
        <v>0</v>
      </c>
      <c r="BL620" s="2103"/>
      <c r="BM620" s="58"/>
      <c r="BN620" s="2085">
        <f t="shared" si="5"/>
        <v>0</v>
      </c>
      <c r="BO620" s="2086"/>
      <c r="BP620" s="2086"/>
      <c r="BQ620" s="2086"/>
      <c r="BR620" s="2087"/>
      <c r="BS620" s="2092">
        <f t="shared" si="6"/>
        <v>0</v>
      </c>
      <c r="BT620" s="2092"/>
      <c r="BU620" s="2092"/>
      <c r="BV620" s="2092"/>
      <c r="BW620" s="2092"/>
      <c r="BX620" s="2092">
        <f t="shared" si="7"/>
        <v>0</v>
      </c>
      <c r="BY620" s="2092"/>
      <c r="BZ620" s="2092"/>
      <c r="CA620" s="2092"/>
      <c r="CB620" s="2092"/>
      <c r="CC620" s="2092">
        <f t="shared" si="8"/>
        <v>0</v>
      </c>
      <c r="CD620" s="2092"/>
      <c r="CE620" s="2092"/>
      <c r="CF620" s="2092"/>
      <c r="CG620" s="2092"/>
      <c r="CH620" s="2092">
        <f t="shared" si="9"/>
        <v>0</v>
      </c>
      <c r="CI620" s="2092"/>
      <c r="CJ620" s="2092"/>
      <c r="CK620" s="2092"/>
      <c r="CL620" s="2092"/>
      <c r="CM620" s="2092">
        <f t="shared" si="10"/>
        <v>0</v>
      </c>
      <c r="CN620" s="2092"/>
      <c r="CO620" s="2092"/>
      <c r="CP620" s="2092"/>
      <c r="CQ620" s="2092"/>
      <c r="CR620" s="265"/>
      <c r="CS620" s="2107">
        <f t="shared" si="11"/>
        <v>0</v>
      </c>
      <c r="CT620" s="2107"/>
      <c r="CU620" s="2107"/>
      <c r="CV620" s="2107"/>
      <c r="CW620" s="2107"/>
      <c r="CX620" s="2107">
        <f t="shared" si="12"/>
        <v>0</v>
      </c>
      <c r="CY620" s="2107"/>
      <c r="CZ620" s="2107"/>
      <c r="DA620" s="2107"/>
      <c r="DB620" s="2107"/>
      <c r="DC620" s="2107">
        <f t="shared" si="13"/>
        <v>0</v>
      </c>
      <c r="DD620" s="2107"/>
      <c r="DE620" s="2107"/>
      <c r="DF620" s="2107"/>
      <c r="DG620" s="2107"/>
      <c r="DH620" s="2107">
        <f t="shared" si="14"/>
        <v>0</v>
      </c>
      <c r="DI620" s="2107"/>
      <c r="DJ620" s="2107"/>
      <c r="DK620" s="2107"/>
      <c r="DL620" s="2107"/>
      <c r="DM620" s="2107">
        <f t="shared" si="15"/>
        <v>0</v>
      </c>
      <c r="DN620" s="2107"/>
      <c r="DO620" s="2107"/>
      <c r="DP620" s="2107"/>
      <c r="DQ620" s="2107"/>
      <c r="DR620" s="2107">
        <f t="shared" si="16"/>
        <v>0</v>
      </c>
      <c r="DS620" s="2107"/>
      <c r="DT620" s="2107"/>
      <c r="DU620" s="2107"/>
      <c r="DV620" s="2107"/>
      <c r="DX620" s="2104" t="str">
        <f t="shared" si="17"/>
        <v xml:space="preserve"> </v>
      </c>
      <c r="DY620" s="2105"/>
      <c r="DZ620" s="2105"/>
      <c r="EA620" s="2105"/>
      <c r="EB620" s="2106"/>
      <c r="EC620" s="2104" t="str">
        <f t="shared" si="18"/>
        <v xml:space="preserve"> </v>
      </c>
      <c r="ED620" s="2105"/>
      <c r="EE620" s="2105"/>
      <c r="EF620" s="2105"/>
      <c r="EG620" s="2106"/>
      <c r="EH620" s="2104" t="str">
        <f t="shared" si="19"/>
        <v xml:space="preserve"> </v>
      </c>
      <c r="EI620" s="2105"/>
      <c r="EJ620" s="2105"/>
      <c r="EK620" s="2105"/>
      <c r="EL620" s="2106"/>
      <c r="EM620" s="2104" t="str">
        <f t="shared" si="20"/>
        <v xml:space="preserve"> </v>
      </c>
      <c r="EN620" s="2105"/>
      <c r="EO620" s="2105"/>
      <c r="EP620" s="2105"/>
      <c r="EQ620" s="2106"/>
      <c r="ER620" s="2104" t="str">
        <f t="shared" si="21"/>
        <v xml:space="preserve"> </v>
      </c>
      <c r="ES620" s="2105"/>
      <c r="ET620" s="2105"/>
      <c r="EU620" s="2105"/>
      <c r="EV620" s="2106"/>
      <c r="EW620" s="2104" t="str">
        <f t="shared" si="22"/>
        <v xml:space="preserve"> </v>
      </c>
      <c r="EX620" s="2105"/>
      <c r="EY620" s="2105"/>
      <c r="EZ620" s="2105"/>
      <c r="FA620" s="2106"/>
    </row>
    <row r="621" spans="1:157" ht="12.75">
      <c r="B621" s="12" t="s">
        <v>606</v>
      </c>
      <c r="G621" s="2122"/>
      <c r="H621" s="2122"/>
      <c r="I621" s="2122"/>
      <c r="J621" s="2122"/>
      <c r="K621" s="2122"/>
      <c r="L621" s="2122"/>
      <c r="M621" s="2122"/>
      <c r="N621" s="2122"/>
      <c r="O621" s="2122"/>
      <c r="P621" s="2122"/>
      <c r="Q621" s="2122"/>
      <c r="R621" s="2122"/>
      <c r="U621" s="12" t="s">
        <v>606</v>
      </c>
      <c r="Z621" s="2095"/>
      <c r="AA621" s="2095"/>
      <c r="AB621" s="2095"/>
      <c r="AC621" s="2095"/>
      <c r="AD621" s="2095"/>
      <c r="AE621" s="2095"/>
      <c r="AF621" s="2095"/>
      <c r="AG621" s="2095"/>
      <c r="AH621" s="2095"/>
      <c r="AI621" s="2095"/>
      <c r="AJ621" s="2095"/>
      <c r="AK621" s="2095"/>
      <c r="AZ621" s="58"/>
      <c r="BA621" s="58"/>
      <c r="BB621" s="58"/>
      <c r="BC621" s="58"/>
      <c r="BD621" s="58"/>
      <c r="BE621" s="2104">
        <f t="shared" si="1"/>
        <v>0</v>
      </c>
      <c r="BF621" s="2106"/>
      <c r="BG621" s="2101">
        <f t="shared" si="2"/>
        <v>0</v>
      </c>
      <c r="BH621" s="2103"/>
      <c r="BI621" s="2104">
        <f t="shared" si="3"/>
        <v>0</v>
      </c>
      <c r="BJ621" s="2106"/>
      <c r="BK621" s="2101">
        <f t="shared" si="4"/>
        <v>0</v>
      </c>
      <c r="BL621" s="2103"/>
      <c r="BM621" s="58"/>
      <c r="BN621" s="2085">
        <f t="shared" si="5"/>
        <v>0</v>
      </c>
      <c r="BO621" s="2086"/>
      <c r="BP621" s="2086"/>
      <c r="BQ621" s="2086"/>
      <c r="BR621" s="2087"/>
      <c r="BS621" s="2092">
        <f t="shared" si="6"/>
        <v>0</v>
      </c>
      <c r="BT621" s="2092"/>
      <c r="BU621" s="2092"/>
      <c r="BV621" s="2092"/>
      <c r="BW621" s="2092"/>
      <c r="BX621" s="2092">
        <f t="shared" si="7"/>
        <v>0</v>
      </c>
      <c r="BY621" s="2092"/>
      <c r="BZ621" s="2092"/>
      <c r="CA621" s="2092"/>
      <c r="CB621" s="2092"/>
      <c r="CC621" s="2092">
        <f t="shared" si="8"/>
        <v>0</v>
      </c>
      <c r="CD621" s="2092"/>
      <c r="CE621" s="2092"/>
      <c r="CF621" s="2092"/>
      <c r="CG621" s="2092"/>
      <c r="CH621" s="2092">
        <f t="shared" si="9"/>
        <v>0</v>
      </c>
      <c r="CI621" s="2092"/>
      <c r="CJ621" s="2092"/>
      <c r="CK621" s="2092"/>
      <c r="CL621" s="2092"/>
      <c r="CM621" s="2092">
        <f t="shared" si="10"/>
        <v>0</v>
      </c>
      <c r="CN621" s="2092"/>
      <c r="CO621" s="2092"/>
      <c r="CP621" s="2092"/>
      <c r="CQ621" s="2092"/>
      <c r="CR621" s="265"/>
      <c r="CS621" s="2107">
        <f t="shared" si="11"/>
        <v>0</v>
      </c>
      <c r="CT621" s="2107"/>
      <c r="CU621" s="2107"/>
      <c r="CV621" s="2107"/>
      <c r="CW621" s="2107"/>
      <c r="CX621" s="2107">
        <f t="shared" si="12"/>
        <v>0</v>
      </c>
      <c r="CY621" s="2107"/>
      <c r="CZ621" s="2107"/>
      <c r="DA621" s="2107"/>
      <c r="DB621" s="2107"/>
      <c r="DC621" s="2107">
        <f t="shared" si="13"/>
        <v>0</v>
      </c>
      <c r="DD621" s="2107"/>
      <c r="DE621" s="2107"/>
      <c r="DF621" s="2107"/>
      <c r="DG621" s="2107"/>
      <c r="DH621" s="2107">
        <f t="shared" si="14"/>
        <v>0</v>
      </c>
      <c r="DI621" s="2107"/>
      <c r="DJ621" s="2107"/>
      <c r="DK621" s="2107"/>
      <c r="DL621" s="2107"/>
      <c r="DM621" s="2107">
        <f t="shared" si="15"/>
        <v>0</v>
      </c>
      <c r="DN621" s="2107"/>
      <c r="DO621" s="2107"/>
      <c r="DP621" s="2107"/>
      <c r="DQ621" s="2107"/>
      <c r="DR621" s="2107">
        <f t="shared" si="16"/>
        <v>0</v>
      </c>
      <c r="DS621" s="2107"/>
      <c r="DT621" s="2107"/>
      <c r="DU621" s="2107"/>
      <c r="DV621" s="2107"/>
      <c r="DX621" s="2104" t="str">
        <f t="shared" si="17"/>
        <v xml:space="preserve"> </v>
      </c>
      <c r="DY621" s="2105"/>
      <c r="DZ621" s="2105"/>
      <c r="EA621" s="2105"/>
      <c r="EB621" s="2106"/>
      <c r="EC621" s="2104" t="str">
        <f t="shared" si="18"/>
        <v xml:space="preserve"> </v>
      </c>
      <c r="ED621" s="2105"/>
      <c r="EE621" s="2105"/>
      <c r="EF621" s="2105"/>
      <c r="EG621" s="2106"/>
      <c r="EH621" s="2104" t="str">
        <f t="shared" si="19"/>
        <v xml:space="preserve"> </v>
      </c>
      <c r="EI621" s="2105"/>
      <c r="EJ621" s="2105"/>
      <c r="EK621" s="2105"/>
      <c r="EL621" s="2106"/>
      <c r="EM621" s="2104" t="str">
        <f t="shared" si="20"/>
        <v xml:space="preserve"> </v>
      </c>
      <c r="EN621" s="2105"/>
      <c r="EO621" s="2105"/>
      <c r="EP621" s="2105"/>
      <c r="EQ621" s="2106"/>
      <c r="ER621" s="2104" t="str">
        <f t="shared" si="21"/>
        <v xml:space="preserve"> </v>
      </c>
      <c r="ES621" s="2105"/>
      <c r="ET621" s="2105"/>
      <c r="EU621" s="2105"/>
      <c r="EV621" s="2106"/>
      <c r="EW621" s="2104" t="str">
        <f t="shared" si="22"/>
        <v xml:space="preserve"> </v>
      </c>
      <c r="EX621" s="2105"/>
      <c r="EY621" s="2105"/>
      <c r="EZ621" s="2105"/>
      <c r="FA621" s="2106"/>
    </row>
    <row r="622" spans="1:157" ht="12.75">
      <c r="B622" s="12" t="s">
        <v>17</v>
      </c>
      <c r="G622" s="2122"/>
      <c r="H622" s="2122"/>
      <c r="I622" s="2122"/>
      <c r="J622" s="2122"/>
      <c r="K622" s="2122"/>
      <c r="L622" s="2122"/>
      <c r="M622" s="2122"/>
      <c r="N622" s="2122"/>
      <c r="O622" s="2122"/>
      <c r="P622" s="2122"/>
      <c r="Q622" s="2122"/>
      <c r="R622" s="2122"/>
      <c r="U622" s="12" t="s">
        <v>17</v>
      </c>
      <c r="Z622" s="2095"/>
      <c r="AA622" s="2095"/>
      <c r="AB622" s="2095"/>
      <c r="AC622" s="2095"/>
      <c r="AD622" s="2095"/>
      <c r="AE622" s="2095"/>
      <c r="AF622" s="2095"/>
      <c r="AG622" s="2095"/>
      <c r="AH622" s="2095"/>
      <c r="AI622" s="2095"/>
      <c r="AJ622" s="2095"/>
      <c r="AK622" s="2095"/>
      <c r="AZ622" s="58"/>
      <c r="BA622" s="58"/>
      <c r="BB622" s="58"/>
      <c r="BC622" s="58"/>
      <c r="BD622" s="58"/>
      <c r="BE622" s="2104">
        <f t="shared" si="1"/>
        <v>0</v>
      </c>
      <c r="BF622" s="2106"/>
      <c r="BG622" s="2101">
        <f t="shared" si="2"/>
        <v>0</v>
      </c>
      <c r="BH622" s="2103"/>
      <c r="BI622" s="2104">
        <f t="shared" si="3"/>
        <v>0</v>
      </c>
      <c r="BJ622" s="2106"/>
      <c r="BK622" s="2101">
        <f t="shared" si="4"/>
        <v>0</v>
      </c>
      <c r="BL622" s="2103"/>
      <c r="BM622" s="58"/>
      <c r="BN622" s="2085">
        <f t="shared" si="5"/>
        <v>0</v>
      </c>
      <c r="BO622" s="2086"/>
      <c r="BP622" s="2086"/>
      <c r="BQ622" s="2086"/>
      <c r="BR622" s="2087"/>
      <c r="BS622" s="2092">
        <f t="shared" si="6"/>
        <v>0</v>
      </c>
      <c r="BT622" s="2092"/>
      <c r="BU622" s="2092"/>
      <c r="BV622" s="2092"/>
      <c r="BW622" s="2092"/>
      <c r="BX622" s="2092">
        <f t="shared" si="7"/>
        <v>0</v>
      </c>
      <c r="BY622" s="2092"/>
      <c r="BZ622" s="2092"/>
      <c r="CA622" s="2092"/>
      <c r="CB622" s="2092"/>
      <c r="CC622" s="2092">
        <f t="shared" si="8"/>
        <v>0</v>
      </c>
      <c r="CD622" s="2092"/>
      <c r="CE622" s="2092"/>
      <c r="CF622" s="2092"/>
      <c r="CG622" s="2092"/>
      <c r="CH622" s="2092">
        <f t="shared" si="9"/>
        <v>0</v>
      </c>
      <c r="CI622" s="2092"/>
      <c r="CJ622" s="2092"/>
      <c r="CK622" s="2092"/>
      <c r="CL622" s="2092"/>
      <c r="CM622" s="2092">
        <f t="shared" si="10"/>
        <v>0</v>
      </c>
      <c r="CN622" s="2092"/>
      <c r="CO622" s="2092"/>
      <c r="CP622" s="2092"/>
      <c r="CQ622" s="2092"/>
      <c r="CR622" s="265"/>
      <c r="CS622" s="2107">
        <f t="shared" si="11"/>
        <v>0</v>
      </c>
      <c r="CT622" s="2107"/>
      <c r="CU622" s="2107"/>
      <c r="CV622" s="2107"/>
      <c r="CW622" s="2107"/>
      <c r="CX622" s="2107">
        <f t="shared" si="12"/>
        <v>0</v>
      </c>
      <c r="CY622" s="2107"/>
      <c r="CZ622" s="2107"/>
      <c r="DA622" s="2107"/>
      <c r="DB622" s="2107"/>
      <c r="DC622" s="2107">
        <f t="shared" si="13"/>
        <v>0</v>
      </c>
      <c r="DD622" s="2107"/>
      <c r="DE622" s="2107"/>
      <c r="DF622" s="2107"/>
      <c r="DG622" s="2107"/>
      <c r="DH622" s="2107">
        <f t="shared" si="14"/>
        <v>0</v>
      </c>
      <c r="DI622" s="2107"/>
      <c r="DJ622" s="2107"/>
      <c r="DK622" s="2107"/>
      <c r="DL622" s="2107"/>
      <c r="DM622" s="2107">
        <f t="shared" si="15"/>
        <v>0</v>
      </c>
      <c r="DN622" s="2107"/>
      <c r="DO622" s="2107"/>
      <c r="DP622" s="2107"/>
      <c r="DQ622" s="2107"/>
      <c r="DR622" s="2107">
        <f t="shared" si="16"/>
        <v>0</v>
      </c>
      <c r="DS622" s="2107"/>
      <c r="DT622" s="2107"/>
      <c r="DU622" s="2107"/>
      <c r="DV622" s="2107"/>
      <c r="DX622" s="2104" t="str">
        <f t="shared" si="17"/>
        <v xml:space="preserve"> </v>
      </c>
      <c r="DY622" s="2105"/>
      <c r="DZ622" s="2105"/>
      <c r="EA622" s="2105"/>
      <c r="EB622" s="2106"/>
      <c r="EC622" s="2104" t="str">
        <f t="shared" si="18"/>
        <v xml:space="preserve"> </v>
      </c>
      <c r="ED622" s="2105"/>
      <c r="EE622" s="2105"/>
      <c r="EF622" s="2105"/>
      <c r="EG622" s="2106"/>
      <c r="EH622" s="2104" t="str">
        <f t="shared" si="19"/>
        <v xml:space="preserve"> </v>
      </c>
      <c r="EI622" s="2105"/>
      <c r="EJ622" s="2105"/>
      <c r="EK622" s="2105"/>
      <c r="EL622" s="2106"/>
      <c r="EM622" s="2104" t="str">
        <f t="shared" si="20"/>
        <v xml:space="preserve"> </v>
      </c>
      <c r="EN622" s="2105"/>
      <c r="EO622" s="2105"/>
      <c r="EP622" s="2105"/>
      <c r="EQ622" s="2106"/>
      <c r="ER622" s="2104" t="str">
        <f t="shared" si="21"/>
        <v xml:space="preserve"> </v>
      </c>
      <c r="ES622" s="2105"/>
      <c r="ET622" s="2105"/>
      <c r="EU622" s="2105"/>
      <c r="EV622" s="2106"/>
      <c r="EW622" s="2104" t="str">
        <f t="shared" si="22"/>
        <v xml:space="preserve"> </v>
      </c>
      <c r="EX622" s="2105"/>
      <c r="EY622" s="2105"/>
      <c r="EZ622" s="2105"/>
      <c r="FA622" s="2106"/>
    </row>
    <row r="623" spans="1:157" ht="12.75">
      <c r="B623" s="12" t="s">
        <v>321</v>
      </c>
      <c r="G623" s="2368"/>
      <c r="H623" s="2368"/>
      <c r="I623" s="2368"/>
      <c r="J623" s="2368"/>
      <c r="K623" s="2368"/>
      <c r="L623" s="2368"/>
      <c r="O623" s="137" t="s">
        <v>211</v>
      </c>
      <c r="P623" s="2094"/>
      <c r="Q623" s="2094"/>
      <c r="R623" s="2094"/>
      <c r="U623" s="12" t="s">
        <v>321</v>
      </c>
      <c r="Z623" s="2368"/>
      <c r="AA623" s="2368"/>
      <c r="AB623" s="2368"/>
      <c r="AC623" s="2368"/>
      <c r="AD623" s="2368"/>
      <c r="AE623" s="2368"/>
      <c r="AH623" s="137" t="s">
        <v>211</v>
      </c>
      <c r="AI623" s="2094"/>
      <c r="AJ623" s="2094"/>
      <c r="AK623" s="2094"/>
      <c r="AZ623" s="58"/>
      <c r="BA623" s="58"/>
      <c r="BB623" s="58"/>
      <c r="BC623" s="58"/>
      <c r="BD623" s="58"/>
      <c r="BE623" s="2104">
        <f t="shared" si="1"/>
        <v>0</v>
      </c>
      <c r="BF623" s="2106"/>
      <c r="BG623" s="2101">
        <f t="shared" si="2"/>
        <v>0</v>
      </c>
      <c r="BH623" s="2103"/>
      <c r="BI623" s="2104">
        <f t="shared" si="3"/>
        <v>0</v>
      </c>
      <c r="BJ623" s="2106"/>
      <c r="BK623" s="2101">
        <f t="shared" si="4"/>
        <v>0</v>
      </c>
      <c r="BL623" s="2103"/>
      <c r="BM623" s="58"/>
      <c r="BN623" s="2085">
        <f t="shared" si="5"/>
        <v>0</v>
      </c>
      <c r="BO623" s="2086"/>
      <c r="BP623" s="2086"/>
      <c r="BQ623" s="2086"/>
      <c r="BR623" s="2087"/>
      <c r="BS623" s="2092">
        <f t="shared" si="6"/>
        <v>0</v>
      </c>
      <c r="BT623" s="2092"/>
      <c r="BU623" s="2092"/>
      <c r="BV623" s="2092"/>
      <c r="BW623" s="2092"/>
      <c r="BX623" s="2092">
        <f t="shared" si="7"/>
        <v>0</v>
      </c>
      <c r="BY623" s="2092"/>
      <c r="BZ623" s="2092"/>
      <c r="CA623" s="2092"/>
      <c r="CB623" s="2092"/>
      <c r="CC623" s="2092">
        <f t="shared" si="8"/>
        <v>0</v>
      </c>
      <c r="CD623" s="2092"/>
      <c r="CE623" s="2092"/>
      <c r="CF623" s="2092"/>
      <c r="CG623" s="2092"/>
      <c r="CH623" s="2092">
        <f t="shared" si="9"/>
        <v>0</v>
      </c>
      <c r="CI623" s="2092"/>
      <c r="CJ623" s="2092"/>
      <c r="CK623" s="2092"/>
      <c r="CL623" s="2092"/>
      <c r="CM623" s="2092">
        <f t="shared" si="10"/>
        <v>0</v>
      </c>
      <c r="CN623" s="2092"/>
      <c r="CO623" s="2092"/>
      <c r="CP623" s="2092"/>
      <c r="CQ623" s="2092"/>
      <c r="CR623" s="265"/>
      <c r="CS623" s="2107">
        <f t="shared" si="11"/>
        <v>0</v>
      </c>
      <c r="CT623" s="2107"/>
      <c r="CU623" s="2107"/>
      <c r="CV623" s="2107"/>
      <c r="CW623" s="2107"/>
      <c r="CX623" s="2107">
        <f t="shared" si="12"/>
        <v>0</v>
      </c>
      <c r="CY623" s="2107"/>
      <c r="CZ623" s="2107"/>
      <c r="DA623" s="2107"/>
      <c r="DB623" s="2107"/>
      <c r="DC623" s="2107">
        <f t="shared" si="13"/>
        <v>0</v>
      </c>
      <c r="DD623" s="2107"/>
      <c r="DE623" s="2107"/>
      <c r="DF623" s="2107"/>
      <c r="DG623" s="2107"/>
      <c r="DH623" s="2107">
        <f t="shared" si="14"/>
        <v>0</v>
      </c>
      <c r="DI623" s="2107"/>
      <c r="DJ623" s="2107"/>
      <c r="DK623" s="2107"/>
      <c r="DL623" s="2107"/>
      <c r="DM623" s="2107">
        <f t="shared" si="15"/>
        <v>0</v>
      </c>
      <c r="DN623" s="2107"/>
      <c r="DO623" s="2107"/>
      <c r="DP623" s="2107"/>
      <c r="DQ623" s="2107"/>
      <c r="DR623" s="2107">
        <f t="shared" si="16"/>
        <v>0</v>
      </c>
      <c r="DS623" s="2107"/>
      <c r="DT623" s="2107"/>
      <c r="DU623" s="2107"/>
      <c r="DV623" s="2107"/>
      <c r="DX623" s="2104" t="str">
        <f t="shared" si="17"/>
        <v xml:space="preserve"> </v>
      </c>
      <c r="DY623" s="2105"/>
      <c r="DZ623" s="2105"/>
      <c r="EA623" s="2105"/>
      <c r="EB623" s="2106"/>
      <c r="EC623" s="2104" t="str">
        <f t="shared" si="18"/>
        <v xml:space="preserve"> </v>
      </c>
      <c r="ED623" s="2105"/>
      <c r="EE623" s="2105"/>
      <c r="EF623" s="2105"/>
      <c r="EG623" s="2106"/>
      <c r="EH623" s="2104" t="str">
        <f t="shared" si="19"/>
        <v xml:space="preserve"> </v>
      </c>
      <c r="EI623" s="2105"/>
      <c r="EJ623" s="2105"/>
      <c r="EK623" s="2105"/>
      <c r="EL623" s="2106"/>
      <c r="EM623" s="2104" t="str">
        <f t="shared" si="20"/>
        <v xml:space="preserve"> </v>
      </c>
      <c r="EN623" s="2105"/>
      <c r="EO623" s="2105"/>
      <c r="EP623" s="2105"/>
      <c r="EQ623" s="2106"/>
      <c r="ER623" s="2104" t="str">
        <f t="shared" si="21"/>
        <v xml:space="preserve"> </v>
      </c>
      <c r="ES623" s="2105"/>
      <c r="ET623" s="2105"/>
      <c r="EU623" s="2105"/>
      <c r="EV623" s="2106"/>
      <c r="EW623" s="2104" t="str">
        <f t="shared" si="22"/>
        <v xml:space="preserve"> </v>
      </c>
      <c r="EX623" s="2105"/>
      <c r="EY623" s="2105"/>
      <c r="EZ623" s="2105"/>
      <c r="FA623" s="2106"/>
    </row>
    <row r="624" spans="1:157" ht="12.75">
      <c r="B624" s="12" t="s">
        <v>18</v>
      </c>
      <c r="H624" s="2122"/>
      <c r="I624" s="2122"/>
      <c r="J624" s="2122"/>
      <c r="K624" s="2122"/>
      <c r="L624" s="2122"/>
      <c r="M624" s="2122"/>
      <c r="N624" s="2122"/>
      <c r="O624" s="2122"/>
      <c r="P624" s="2122"/>
      <c r="Q624" s="2122"/>
      <c r="R624" s="2122"/>
      <c r="U624" s="12" t="s">
        <v>18</v>
      </c>
      <c r="AA624" s="2122"/>
      <c r="AB624" s="2122"/>
      <c r="AC624" s="2122"/>
      <c r="AD624" s="2122"/>
      <c r="AE624" s="2122"/>
      <c r="AF624" s="2122"/>
      <c r="AG624" s="2122"/>
      <c r="AH624" s="2122"/>
      <c r="AI624" s="2122"/>
      <c r="AJ624" s="2122"/>
      <c r="AK624" s="2122"/>
      <c r="AZ624" s="58"/>
      <c r="BA624" s="58"/>
      <c r="BB624" s="58"/>
      <c r="BC624" s="58"/>
      <c r="BD624" s="58"/>
      <c r="BE624" s="2104">
        <f t="shared" si="1"/>
        <v>0</v>
      </c>
      <c r="BF624" s="2106"/>
      <c r="BG624" s="2101">
        <f t="shared" si="2"/>
        <v>0</v>
      </c>
      <c r="BH624" s="2103"/>
      <c r="BI624" s="2104">
        <f t="shared" si="3"/>
        <v>0</v>
      </c>
      <c r="BJ624" s="2106"/>
      <c r="BK624" s="2101">
        <f t="shared" si="4"/>
        <v>0</v>
      </c>
      <c r="BL624" s="2103"/>
      <c r="BM624" s="58"/>
      <c r="BN624" s="2085">
        <f t="shared" si="5"/>
        <v>0</v>
      </c>
      <c r="BO624" s="2086"/>
      <c r="BP624" s="2086"/>
      <c r="BQ624" s="2086"/>
      <c r="BR624" s="2087"/>
      <c r="BS624" s="2092">
        <f t="shared" si="6"/>
        <v>0</v>
      </c>
      <c r="BT624" s="2092"/>
      <c r="BU624" s="2092"/>
      <c r="BV624" s="2092"/>
      <c r="BW624" s="2092"/>
      <c r="BX624" s="2092">
        <f t="shared" si="7"/>
        <v>0</v>
      </c>
      <c r="BY624" s="2092"/>
      <c r="BZ624" s="2092"/>
      <c r="CA624" s="2092"/>
      <c r="CB624" s="2092"/>
      <c r="CC624" s="2092">
        <f t="shared" si="8"/>
        <v>0</v>
      </c>
      <c r="CD624" s="2092"/>
      <c r="CE624" s="2092"/>
      <c r="CF624" s="2092"/>
      <c r="CG624" s="2092"/>
      <c r="CH624" s="2092">
        <f t="shared" si="9"/>
        <v>0</v>
      </c>
      <c r="CI624" s="2092"/>
      <c r="CJ624" s="2092"/>
      <c r="CK624" s="2092"/>
      <c r="CL624" s="2092"/>
      <c r="CM624" s="2092">
        <f t="shared" si="10"/>
        <v>0</v>
      </c>
      <c r="CN624" s="2092"/>
      <c r="CO624" s="2092"/>
      <c r="CP624" s="2092"/>
      <c r="CQ624" s="2092"/>
      <c r="CR624" s="265"/>
      <c r="CS624" s="2107">
        <f t="shared" si="11"/>
        <v>0</v>
      </c>
      <c r="CT624" s="2107"/>
      <c r="CU624" s="2107"/>
      <c r="CV624" s="2107"/>
      <c r="CW624" s="2107"/>
      <c r="CX624" s="2107">
        <f t="shared" si="12"/>
        <v>0</v>
      </c>
      <c r="CY624" s="2107"/>
      <c r="CZ624" s="2107"/>
      <c r="DA624" s="2107"/>
      <c r="DB624" s="2107"/>
      <c r="DC624" s="2107">
        <f t="shared" si="13"/>
        <v>0</v>
      </c>
      <c r="DD624" s="2107"/>
      <c r="DE624" s="2107"/>
      <c r="DF624" s="2107"/>
      <c r="DG624" s="2107"/>
      <c r="DH624" s="2107">
        <f t="shared" si="14"/>
        <v>0</v>
      </c>
      <c r="DI624" s="2107"/>
      <c r="DJ624" s="2107"/>
      <c r="DK624" s="2107"/>
      <c r="DL624" s="2107"/>
      <c r="DM624" s="2107">
        <f t="shared" si="15"/>
        <v>0</v>
      </c>
      <c r="DN624" s="2107"/>
      <c r="DO624" s="2107"/>
      <c r="DP624" s="2107"/>
      <c r="DQ624" s="2107"/>
      <c r="DR624" s="2107">
        <f t="shared" si="16"/>
        <v>0</v>
      </c>
      <c r="DS624" s="2107"/>
      <c r="DT624" s="2107"/>
      <c r="DU624" s="2107"/>
      <c r="DV624" s="2107"/>
      <c r="DX624" s="2104" t="str">
        <f t="shared" si="17"/>
        <v xml:space="preserve"> </v>
      </c>
      <c r="DY624" s="2105"/>
      <c r="DZ624" s="2105"/>
      <c r="EA624" s="2105"/>
      <c r="EB624" s="2106"/>
      <c r="EC624" s="2104" t="str">
        <f t="shared" si="18"/>
        <v xml:space="preserve"> </v>
      </c>
      <c r="ED624" s="2105"/>
      <c r="EE624" s="2105"/>
      <c r="EF624" s="2105"/>
      <c r="EG624" s="2106"/>
      <c r="EH624" s="2104" t="str">
        <f t="shared" si="19"/>
        <v xml:space="preserve"> </v>
      </c>
      <c r="EI624" s="2105"/>
      <c r="EJ624" s="2105"/>
      <c r="EK624" s="2105"/>
      <c r="EL624" s="2106"/>
      <c r="EM624" s="2104" t="str">
        <f t="shared" si="20"/>
        <v xml:space="preserve"> </v>
      </c>
      <c r="EN624" s="2105"/>
      <c r="EO624" s="2105"/>
      <c r="EP624" s="2105"/>
      <c r="EQ624" s="2106"/>
      <c r="ER624" s="2104" t="str">
        <f t="shared" si="21"/>
        <v xml:space="preserve"> </v>
      </c>
      <c r="ES624" s="2105"/>
      <c r="ET624" s="2105"/>
      <c r="EU624" s="2105"/>
      <c r="EV624" s="2106"/>
      <c r="EW624" s="2104" t="str">
        <f t="shared" si="22"/>
        <v xml:space="preserve"> </v>
      </c>
      <c r="EX624" s="2105"/>
      <c r="EY624" s="2105"/>
      <c r="EZ624" s="2105"/>
      <c r="FA624" s="2106"/>
    </row>
    <row r="625" spans="1:157" ht="12.75">
      <c r="B625" s="12" t="s">
        <v>20</v>
      </c>
      <c r="N625" s="2099" t="s">
        <v>695</v>
      </c>
      <c r="O625" s="2099"/>
      <c r="U625" s="12" t="s">
        <v>20</v>
      </c>
      <c r="AG625" s="2099" t="s">
        <v>695</v>
      </c>
      <c r="AH625" s="2099"/>
      <c r="AZ625" s="58"/>
      <c r="BA625" s="58"/>
      <c r="BB625" s="58"/>
      <c r="BC625" s="58"/>
      <c r="BD625" s="58"/>
      <c r="BE625" s="2104">
        <f t="shared" si="1"/>
        <v>0</v>
      </c>
      <c r="BF625" s="2106"/>
      <c r="BG625" s="2101">
        <f t="shared" si="2"/>
        <v>0</v>
      </c>
      <c r="BH625" s="2103"/>
      <c r="BI625" s="2104">
        <f t="shared" si="3"/>
        <v>0</v>
      </c>
      <c r="BJ625" s="2106"/>
      <c r="BK625" s="2101">
        <f t="shared" si="4"/>
        <v>0</v>
      </c>
      <c r="BL625" s="2103"/>
      <c r="BM625" s="58"/>
      <c r="BN625" s="2085">
        <f t="shared" si="5"/>
        <v>0</v>
      </c>
      <c r="BO625" s="2086"/>
      <c r="BP625" s="2086"/>
      <c r="BQ625" s="2086"/>
      <c r="BR625" s="2087"/>
      <c r="BS625" s="2092">
        <f t="shared" si="6"/>
        <v>0</v>
      </c>
      <c r="BT625" s="2092"/>
      <c r="BU625" s="2092"/>
      <c r="BV625" s="2092"/>
      <c r="BW625" s="2092"/>
      <c r="BX625" s="2092">
        <f t="shared" si="7"/>
        <v>0</v>
      </c>
      <c r="BY625" s="2092"/>
      <c r="BZ625" s="2092"/>
      <c r="CA625" s="2092"/>
      <c r="CB625" s="2092"/>
      <c r="CC625" s="2092">
        <f t="shared" si="8"/>
        <v>0</v>
      </c>
      <c r="CD625" s="2092"/>
      <c r="CE625" s="2092"/>
      <c r="CF625" s="2092"/>
      <c r="CG625" s="2092"/>
      <c r="CH625" s="2092">
        <f t="shared" si="9"/>
        <v>0</v>
      </c>
      <c r="CI625" s="2092"/>
      <c r="CJ625" s="2092"/>
      <c r="CK625" s="2092"/>
      <c r="CL625" s="2092"/>
      <c r="CM625" s="2092">
        <f t="shared" si="10"/>
        <v>0</v>
      </c>
      <c r="CN625" s="2092"/>
      <c r="CO625" s="2092"/>
      <c r="CP625" s="2092"/>
      <c r="CQ625" s="2092"/>
      <c r="CR625" s="265"/>
      <c r="CS625" s="2107">
        <f t="shared" si="11"/>
        <v>0</v>
      </c>
      <c r="CT625" s="2107"/>
      <c r="CU625" s="2107"/>
      <c r="CV625" s="2107"/>
      <c r="CW625" s="2107"/>
      <c r="CX625" s="2107">
        <f t="shared" si="12"/>
        <v>0</v>
      </c>
      <c r="CY625" s="2107"/>
      <c r="CZ625" s="2107"/>
      <c r="DA625" s="2107"/>
      <c r="DB625" s="2107"/>
      <c r="DC625" s="2107">
        <f t="shared" si="13"/>
        <v>0</v>
      </c>
      <c r="DD625" s="2107"/>
      <c r="DE625" s="2107"/>
      <c r="DF625" s="2107"/>
      <c r="DG625" s="2107"/>
      <c r="DH625" s="2107">
        <f t="shared" si="14"/>
        <v>0</v>
      </c>
      <c r="DI625" s="2107"/>
      <c r="DJ625" s="2107"/>
      <c r="DK625" s="2107"/>
      <c r="DL625" s="2107"/>
      <c r="DM625" s="2107">
        <f t="shared" si="15"/>
        <v>0</v>
      </c>
      <c r="DN625" s="2107"/>
      <c r="DO625" s="2107"/>
      <c r="DP625" s="2107"/>
      <c r="DQ625" s="2107"/>
      <c r="DR625" s="2107">
        <f t="shared" si="16"/>
        <v>0</v>
      </c>
      <c r="DS625" s="2107"/>
      <c r="DT625" s="2107"/>
      <c r="DU625" s="2107"/>
      <c r="DV625" s="2107"/>
      <c r="DX625" s="2104" t="str">
        <f t="shared" si="17"/>
        <v xml:space="preserve"> </v>
      </c>
      <c r="DY625" s="2105"/>
      <c r="DZ625" s="2105"/>
      <c r="EA625" s="2105"/>
      <c r="EB625" s="2106"/>
      <c r="EC625" s="2104" t="str">
        <f t="shared" si="18"/>
        <v xml:space="preserve"> </v>
      </c>
      <c r="ED625" s="2105"/>
      <c r="EE625" s="2105"/>
      <c r="EF625" s="2105"/>
      <c r="EG625" s="2106"/>
      <c r="EH625" s="2104" t="str">
        <f t="shared" si="19"/>
        <v xml:space="preserve"> </v>
      </c>
      <c r="EI625" s="2105"/>
      <c r="EJ625" s="2105"/>
      <c r="EK625" s="2105"/>
      <c r="EL625" s="2106"/>
      <c r="EM625" s="2104" t="str">
        <f t="shared" si="20"/>
        <v xml:space="preserve"> </v>
      </c>
      <c r="EN625" s="2105"/>
      <c r="EO625" s="2105"/>
      <c r="EP625" s="2105"/>
      <c r="EQ625" s="2106"/>
      <c r="ER625" s="2104" t="str">
        <f t="shared" si="21"/>
        <v xml:space="preserve"> </v>
      </c>
      <c r="ES625" s="2105"/>
      <c r="ET625" s="2105"/>
      <c r="EU625" s="2105"/>
      <c r="EV625" s="2106"/>
      <c r="EW625" s="2104" t="str">
        <f t="shared" si="22"/>
        <v xml:space="preserve"> </v>
      </c>
      <c r="EX625" s="2105"/>
      <c r="EY625" s="2105"/>
      <c r="EZ625" s="2105"/>
      <c r="FA625" s="2106"/>
    </row>
    <row r="626" spans="1:157" ht="12.75">
      <c r="AZ626" s="58"/>
      <c r="BA626" s="58"/>
      <c r="BB626" s="58"/>
      <c r="BC626" s="58"/>
      <c r="BD626" s="58"/>
      <c r="BE626" s="2104">
        <f t="shared" si="1"/>
        <v>0</v>
      </c>
      <c r="BF626" s="2106"/>
      <c r="BG626" s="2101">
        <f t="shared" si="2"/>
        <v>0</v>
      </c>
      <c r="BH626" s="2103"/>
      <c r="BI626" s="2104">
        <f t="shared" si="3"/>
        <v>0</v>
      </c>
      <c r="BJ626" s="2106"/>
      <c r="BK626" s="2101">
        <f t="shared" si="4"/>
        <v>0</v>
      </c>
      <c r="BL626" s="2103"/>
      <c r="BM626" s="58"/>
      <c r="BN626" s="2085">
        <f t="shared" si="5"/>
        <v>0</v>
      </c>
      <c r="BO626" s="2086"/>
      <c r="BP626" s="2086"/>
      <c r="BQ626" s="2086"/>
      <c r="BR626" s="2087"/>
      <c r="BS626" s="2092">
        <f t="shared" si="6"/>
        <v>0</v>
      </c>
      <c r="BT626" s="2092"/>
      <c r="BU626" s="2092"/>
      <c r="BV626" s="2092"/>
      <c r="BW626" s="2092"/>
      <c r="BX626" s="2092">
        <f t="shared" si="7"/>
        <v>0</v>
      </c>
      <c r="BY626" s="2092"/>
      <c r="BZ626" s="2092"/>
      <c r="CA626" s="2092"/>
      <c r="CB626" s="2092"/>
      <c r="CC626" s="2092">
        <f t="shared" si="8"/>
        <v>0</v>
      </c>
      <c r="CD626" s="2092"/>
      <c r="CE626" s="2092"/>
      <c r="CF626" s="2092"/>
      <c r="CG626" s="2092"/>
      <c r="CH626" s="2092">
        <f t="shared" si="9"/>
        <v>0</v>
      </c>
      <c r="CI626" s="2092"/>
      <c r="CJ626" s="2092"/>
      <c r="CK626" s="2092"/>
      <c r="CL626" s="2092"/>
      <c r="CM626" s="2092">
        <f t="shared" si="10"/>
        <v>0</v>
      </c>
      <c r="CN626" s="2092"/>
      <c r="CO626" s="2092"/>
      <c r="CP626" s="2092"/>
      <c r="CQ626" s="2092"/>
      <c r="CR626" s="265"/>
      <c r="CS626" s="2107">
        <f t="shared" si="11"/>
        <v>0</v>
      </c>
      <c r="CT626" s="2107"/>
      <c r="CU626" s="2107"/>
      <c r="CV626" s="2107"/>
      <c r="CW626" s="2107"/>
      <c r="CX626" s="2107">
        <f t="shared" si="12"/>
        <v>0</v>
      </c>
      <c r="CY626" s="2107"/>
      <c r="CZ626" s="2107"/>
      <c r="DA626" s="2107"/>
      <c r="DB626" s="2107"/>
      <c r="DC626" s="2107">
        <f t="shared" si="13"/>
        <v>0</v>
      </c>
      <c r="DD626" s="2107"/>
      <c r="DE626" s="2107"/>
      <c r="DF626" s="2107"/>
      <c r="DG626" s="2107"/>
      <c r="DH626" s="2107">
        <f t="shared" si="14"/>
        <v>0</v>
      </c>
      <c r="DI626" s="2107"/>
      <c r="DJ626" s="2107"/>
      <c r="DK626" s="2107"/>
      <c r="DL626" s="2107"/>
      <c r="DM626" s="2107">
        <f t="shared" si="15"/>
        <v>0</v>
      </c>
      <c r="DN626" s="2107"/>
      <c r="DO626" s="2107"/>
      <c r="DP626" s="2107"/>
      <c r="DQ626" s="2107"/>
      <c r="DR626" s="2107">
        <f t="shared" si="16"/>
        <v>0</v>
      </c>
      <c r="DS626" s="2107"/>
      <c r="DT626" s="2107"/>
      <c r="DU626" s="2107"/>
      <c r="DV626" s="2107"/>
      <c r="DX626" s="2104" t="str">
        <f t="shared" si="17"/>
        <v xml:space="preserve"> </v>
      </c>
      <c r="DY626" s="2105"/>
      <c r="DZ626" s="2105"/>
      <c r="EA626" s="2105"/>
      <c r="EB626" s="2106"/>
      <c r="EC626" s="2104" t="str">
        <f t="shared" si="18"/>
        <v xml:space="preserve"> </v>
      </c>
      <c r="ED626" s="2105"/>
      <c r="EE626" s="2105"/>
      <c r="EF626" s="2105"/>
      <c r="EG626" s="2106"/>
      <c r="EH626" s="2104" t="str">
        <f t="shared" si="19"/>
        <v xml:space="preserve"> </v>
      </c>
      <c r="EI626" s="2105"/>
      <c r="EJ626" s="2105"/>
      <c r="EK626" s="2105"/>
      <c r="EL626" s="2106"/>
      <c r="EM626" s="2104" t="str">
        <f t="shared" si="20"/>
        <v xml:space="preserve"> </v>
      </c>
      <c r="EN626" s="2105"/>
      <c r="EO626" s="2105"/>
      <c r="EP626" s="2105"/>
      <c r="EQ626" s="2106"/>
      <c r="ER626" s="2104" t="str">
        <f t="shared" si="21"/>
        <v xml:space="preserve"> </v>
      </c>
      <c r="ES626" s="2105"/>
      <c r="ET626" s="2105"/>
      <c r="EU626" s="2105"/>
      <c r="EV626" s="2106"/>
      <c r="EW626" s="2104" t="str">
        <f t="shared" si="22"/>
        <v xml:space="preserve"> </v>
      </c>
      <c r="EX626" s="2105"/>
      <c r="EY626" s="2105"/>
      <c r="EZ626" s="2105"/>
      <c r="FA626" s="2106"/>
    </row>
    <row r="627" spans="1:157" ht="12.75" customHeight="1">
      <c r="A627" s="1901" t="s">
        <v>569</v>
      </c>
      <c r="B627" s="1901"/>
      <c r="C627" s="1901"/>
      <c r="D627" s="1901"/>
      <c r="E627" s="1901"/>
      <c r="F627" s="1901"/>
      <c r="G627" s="1901"/>
      <c r="H627" s="1901"/>
      <c r="I627" s="1901"/>
      <c r="J627" s="1901"/>
      <c r="K627" s="1901"/>
      <c r="L627" s="1901"/>
      <c r="M627" s="1901"/>
      <c r="N627" s="1901"/>
      <c r="O627" s="1901"/>
      <c r="P627" s="1901"/>
      <c r="Q627" s="1901"/>
      <c r="R627" s="1901"/>
      <c r="S627" s="1901"/>
      <c r="T627" s="1901"/>
      <c r="U627" s="1901"/>
      <c r="V627" s="1901"/>
      <c r="W627" s="1901"/>
      <c r="X627" s="1901"/>
      <c r="Y627" s="1901"/>
      <c r="Z627" s="1901"/>
      <c r="AA627" s="1901"/>
      <c r="AB627" s="1901"/>
      <c r="AC627" s="1901"/>
      <c r="AD627" s="1901"/>
      <c r="AE627" s="1901"/>
      <c r="AF627" s="1901"/>
      <c r="AG627" s="1901"/>
      <c r="AH627" s="1901"/>
      <c r="AI627" s="1901"/>
      <c r="AJ627" s="1901"/>
      <c r="AK627" s="1901"/>
      <c r="AL627" s="1901"/>
      <c r="AM627" s="1901"/>
      <c r="AN627" s="1901"/>
      <c r="AO627" s="1901"/>
      <c r="AP627" s="1901"/>
      <c r="AQ627" s="1901"/>
      <c r="AR627" s="1901"/>
      <c r="AS627" s="1901"/>
      <c r="AT627" s="1425"/>
      <c r="AU627" s="1425"/>
      <c r="AV627" s="1425"/>
      <c r="AW627" s="1425"/>
      <c r="AX627" s="1425"/>
      <c r="AY627" s="1425"/>
      <c r="AZ627" s="58"/>
      <c r="BA627" s="58"/>
      <c r="BB627" s="58"/>
      <c r="BC627" s="58"/>
      <c r="BD627" s="58"/>
      <c r="BE627" s="2104">
        <f t="shared" si="1"/>
        <v>0</v>
      </c>
      <c r="BF627" s="2106"/>
      <c r="BG627" s="2101">
        <f t="shared" si="2"/>
        <v>0</v>
      </c>
      <c r="BH627" s="2103"/>
      <c r="BI627" s="2104">
        <f t="shared" si="3"/>
        <v>0</v>
      </c>
      <c r="BJ627" s="2106"/>
      <c r="BK627" s="2101">
        <f t="shared" si="4"/>
        <v>0</v>
      </c>
      <c r="BL627" s="2103"/>
      <c r="BM627" s="58"/>
      <c r="BN627" s="2085">
        <f t="shared" si="5"/>
        <v>0</v>
      </c>
      <c r="BO627" s="2086"/>
      <c r="BP627" s="2086"/>
      <c r="BQ627" s="2086"/>
      <c r="BR627" s="2087"/>
      <c r="BS627" s="2092">
        <f t="shared" si="6"/>
        <v>0</v>
      </c>
      <c r="BT627" s="2092"/>
      <c r="BU627" s="2092"/>
      <c r="BV627" s="2092"/>
      <c r="BW627" s="2092"/>
      <c r="BX627" s="2092">
        <f t="shared" si="7"/>
        <v>0</v>
      </c>
      <c r="BY627" s="2092"/>
      <c r="BZ627" s="2092"/>
      <c r="CA627" s="2092"/>
      <c r="CB627" s="2092"/>
      <c r="CC627" s="2092">
        <f t="shared" si="8"/>
        <v>0</v>
      </c>
      <c r="CD627" s="2092"/>
      <c r="CE627" s="2092"/>
      <c r="CF627" s="2092"/>
      <c r="CG627" s="2092"/>
      <c r="CH627" s="2092">
        <f t="shared" si="9"/>
        <v>0</v>
      </c>
      <c r="CI627" s="2092"/>
      <c r="CJ627" s="2092"/>
      <c r="CK627" s="2092"/>
      <c r="CL627" s="2092"/>
      <c r="CM627" s="2092">
        <f t="shared" si="10"/>
        <v>0</v>
      </c>
      <c r="CN627" s="2092"/>
      <c r="CO627" s="2092"/>
      <c r="CP627" s="2092"/>
      <c r="CQ627" s="2092"/>
      <c r="CR627" s="265"/>
      <c r="CS627" s="2107">
        <f t="shared" si="11"/>
        <v>0</v>
      </c>
      <c r="CT627" s="2107"/>
      <c r="CU627" s="2107"/>
      <c r="CV627" s="2107"/>
      <c r="CW627" s="2107"/>
      <c r="CX627" s="2107">
        <f t="shared" si="12"/>
        <v>0</v>
      </c>
      <c r="CY627" s="2107"/>
      <c r="CZ627" s="2107"/>
      <c r="DA627" s="2107"/>
      <c r="DB627" s="2107"/>
      <c r="DC627" s="2107">
        <f t="shared" si="13"/>
        <v>0</v>
      </c>
      <c r="DD627" s="2107"/>
      <c r="DE627" s="2107"/>
      <c r="DF627" s="2107"/>
      <c r="DG627" s="2107"/>
      <c r="DH627" s="2107">
        <f t="shared" si="14"/>
        <v>0</v>
      </c>
      <c r="DI627" s="2107"/>
      <c r="DJ627" s="2107"/>
      <c r="DK627" s="2107"/>
      <c r="DL627" s="2107"/>
      <c r="DM627" s="2107">
        <f t="shared" si="15"/>
        <v>0</v>
      </c>
      <c r="DN627" s="2107"/>
      <c r="DO627" s="2107"/>
      <c r="DP627" s="2107"/>
      <c r="DQ627" s="2107"/>
      <c r="DR627" s="2107">
        <f t="shared" si="16"/>
        <v>0</v>
      </c>
      <c r="DS627" s="2107"/>
      <c r="DT627" s="2107"/>
      <c r="DU627" s="2107"/>
      <c r="DV627" s="2107"/>
      <c r="DX627" s="2104" t="str">
        <f t="shared" si="17"/>
        <v xml:space="preserve"> </v>
      </c>
      <c r="DY627" s="2105"/>
      <c r="DZ627" s="2105"/>
      <c r="EA627" s="2105"/>
      <c r="EB627" s="2106"/>
      <c r="EC627" s="2104" t="str">
        <f t="shared" si="18"/>
        <v xml:space="preserve"> </v>
      </c>
      <c r="ED627" s="2105"/>
      <c r="EE627" s="2105"/>
      <c r="EF627" s="2105"/>
      <c r="EG627" s="2106"/>
      <c r="EH627" s="2104" t="str">
        <f t="shared" si="19"/>
        <v xml:space="preserve"> </v>
      </c>
      <c r="EI627" s="2105"/>
      <c r="EJ627" s="2105"/>
      <c r="EK627" s="2105"/>
      <c r="EL627" s="2106"/>
      <c r="EM627" s="2104" t="str">
        <f t="shared" si="20"/>
        <v xml:space="preserve"> </v>
      </c>
      <c r="EN627" s="2105"/>
      <c r="EO627" s="2105"/>
      <c r="EP627" s="2105"/>
      <c r="EQ627" s="2106"/>
      <c r="ER627" s="2104" t="str">
        <f t="shared" si="21"/>
        <v xml:space="preserve"> </v>
      </c>
      <c r="ES627" s="2105"/>
      <c r="ET627" s="2105"/>
      <c r="EU627" s="2105"/>
      <c r="EV627" s="2106"/>
      <c r="EW627" s="2104" t="str">
        <f t="shared" si="22"/>
        <v xml:space="preserve"> </v>
      </c>
      <c r="EX627" s="2105"/>
      <c r="EY627" s="2105"/>
      <c r="EZ627" s="2105"/>
      <c r="FA627" s="2106"/>
    </row>
    <row r="628" spans="1:157" ht="12.75">
      <c r="A628" s="1901"/>
      <c r="B628" s="1901"/>
      <c r="C628" s="1901"/>
      <c r="D628" s="1901"/>
      <c r="E628" s="1901"/>
      <c r="F628" s="1901"/>
      <c r="G628" s="1901"/>
      <c r="H628" s="1901"/>
      <c r="I628" s="1901"/>
      <c r="J628" s="1901"/>
      <c r="K628" s="1901"/>
      <c r="L628" s="1901"/>
      <c r="M628" s="1901"/>
      <c r="N628" s="1901"/>
      <c r="O628" s="1901"/>
      <c r="P628" s="1901"/>
      <c r="Q628" s="1901"/>
      <c r="R628" s="1901"/>
      <c r="S628" s="1901"/>
      <c r="T628" s="1901"/>
      <c r="U628" s="1901"/>
      <c r="V628" s="1901"/>
      <c r="W628" s="1901"/>
      <c r="X628" s="1901"/>
      <c r="Y628" s="1901"/>
      <c r="Z628" s="1901"/>
      <c r="AA628" s="1901"/>
      <c r="AB628" s="1901"/>
      <c r="AC628" s="1901"/>
      <c r="AD628" s="1901"/>
      <c r="AE628" s="1901"/>
      <c r="AF628" s="1901"/>
      <c r="AG628" s="1901"/>
      <c r="AH628" s="1901"/>
      <c r="AI628" s="1901"/>
      <c r="AJ628" s="1901"/>
      <c r="AK628" s="1901"/>
      <c r="AL628" s="1901"/>
      <c r="AM628" s="1901"/>
      <c r="AN628" s="1901"/>
      <c r="AO628" s="1901"/>
      <c r="AP628" s="1901"/>
      <c r="AQ628" s="1901"/>
      <c r="AR628" s="1901"/>
      <c r="AS628" s="1901"/>
      <c r="AT628" s="1425"/>
      <c r="AU628" s="1425"/>
      <c r="AV628" s="1425"/>
      <c r="AW628" s="1425"/>
      <c r="AX628" s="1425"/>
      <c r="AY628" s="1425"/>
      <c r="AZ628" s="58"/>
      <c r="BA628" s="58"/>
      <c r="BB628" s="58"/>
      <c r="BC628" s="58"/>
      <c r="BD628" s="58"/>
      <c r="BE628" s="2104">
        <f t="shared" si="1"/>
        <v>0</v>
      </c>
      <c r="BF628" s="2106"/>
      <c r="BG628" s="2101">
        <f t="shared" si="2"/>
        <v>0</v>
      </c>
      <c r="BH628" s="2103"/>
      <c r="BI628" s="2104">
        <f t="shared" si="3"/>
        <v>0</v>
      </c>
      <c r="BJ628" s="2106"/>
      <c r="BK628" s="2101">
        <f t="shared" si="4"/>
        <v>0</v>
      </c>
      <c r="BL628" s="2103"/>
      <c r="BM628" s="58"/>
      <c r="BN628" s="2085">
        <f t="shared" si="5"/>
        <v>0</v>
      </c>
      <c r="BO628" s="2086"/>
      <c r="BP628" s="2086"/>
      <c r="BQ628" s="2086"/>
      <c r="BR628" s="2087"/>
      <c r="BS628" s="2092">
        <f t="shared" si="6"/>
        <v>0</v>
      </c>
      <c r="BT628" s="2092"/>
      <c r="BU628" s="2092"/>
      <c r="BV628" s="2092"/>
      <c r="BW628" s="2092"/>
      <c r="BX628" s="2092">
        <f t="shared" si="7"/>
        <v>0</v>
      </c>
      <c r="BY628" s="2092"/>
      <c r="BZ628" s="2092"/>
      <c r="CA628" s="2092"/>
      <c r="CB628" s="2092"/>
      <c r="CC628" s="2092">
        <f t="shared" si="8"/>
        <v>0</v>
      </c>
      <c r="CD628" s="2092"/>
      <c r="CE628" s="2092"/>
      <c r="CF628" s="2092"/>
      <c r="CG628" s="2092"/>
      <c r="CH628" s="2092">
        <f t="shared" si="9"/>
        <v>0</v>
      </c>
      <c r="CI628" s="2092"/>
      <c r="CJ628" s="2092"/>
      <c r="CK628" s="2092"/>
      <c r="CL628" s="2092"/>
      <c r="CM628" s="2092">
        <f t="shared" si="10"/>
        <v>0</v>
      </c>
      <c r="CN628" s="2092"/>
      <c r="CO628" s="2092"/>
      <c r="CP628" s="2092"/>
      <c r="CQ628" s="2092"/>
      <c r="CR628" s="265"/>
      <c r="CS628" s="2107">
        <f t="shared" si="11"/>
        <v>0</v>
      </c>
      <c r="CT628" s="2107"/>
      <c r="CU628" s="2107"/>
      <c r="CV628" s="2107"/>
      <c r="CW628" s="2107"/>
      <c r="CX628" s="2107">
        <f t="shared" si="12"/>
        <v>0</v>
      </c>
      <c r="CY628" s="2107"/>
      <c r="CZ628" s="2107"/>
      <c r="DA628" s="2107"/>
      <c r="DB628" s="2107"/>
      <c r="DC628" s="2107">
        <f t="shared" si="13"/>
        <v>0</v>
      </c>
      <c r="DD628" s="2107"/>
      <c r="DE628" s="2107"/>
      <c r="DF628" s="2107"/>
      <c r="DG628" s="2107"/>
      <c r="DH628" s="2107">
        <f t="shared" si="14"/>
        <v>0</v>
      </c>
      <c r="DI628" s="2107"/>
      <c r="DJ628" s="2107"/>
      <c r="DK628" s="2107"/>
      <c r="DL628" s="2107"/>
      <c r="DM628" s="2107">
        <f t="shared" si="15"/>
        <v>0</v>
      </c>
      <c r="DN628" s="2107"/>
      <c r="DO628" s="2107"/>
      <c r="DP628" s="2107"/>
      <c r="DQ628" s="2107"/>
      <c r="DR628" s="2107">
        <f t="shared" si="16"/>
        <v>0</v>
      </c>
      <c r="DS628" s="2107"/>
      <c r="DT628" s="2107"/>
      <c r="DU628" s="2107"/>
      <c r="DV628" s="2107"/>
      <c r="DX628" s="2104" t="str">
        <f t="shared" si="17"/>
        <v xml:space="preserve"> </v>
      </c>
      <c r="DY628" s="2105"/>
      <c r="DZ628" s="2105"/>
      <c r="EA628" s="2105"/>
      <c r="EB628" s="2106"/>
      <c r="EC628" s="2104" t="str">
        <f t="shared" si="18"/>
        <v xml:space="preserve"> </v>
      </c>
      <c r="ED628" s="2105"/>
      <c r="EE628" s="2105"/>
      <c r="EF628" s="2105"/>
      <c r="EG628" s="2106"/>
      <c r="EH628" s="2104" t="str">
        <f t="shared" si="19"/>
        <v xml:space="preserve"> </v>
      </c>
      <c r="EI628" s="2105"/>
      <c r="EJ628" s="2105"/>
      <c r="EK628" s="2105"/>
      <c r="EL628" s="2106"/>
      <c r="EM628" s="2104" t="str">
        <f t="shared" si="20"/>
        <v xml:space="preserve"> </v>
      </c>
      <c r="EN628" s="2105"/>
      <c r="EO628" s="2105"/>
      <c r="EP628" s="2105"/>
      <c r="EQ628" s="2106"/>
      <c r="ER628" s="2104" t="str">
        <f t="shared" si="21"/>
        <v xml:space="preserve"> </v>
      </c>
      <c r="ES628" s="2105"/>
      <c r="ET628" s="2105"/>
      <c r="EU628" s="2105"/>
      <c r="EV628" s="2106"/>
      <c r="EW628" s="2104" t="str">
        <f t="shared" si="22"/>
        <v xml:space="preserve"> </v>
      </c>
      <c r="EX628" s="2105"/>
      <c r="EY628" s="2105"/>
      <c r="EZ628" s="2105"/>
      <c r="FA628" s="2106"/>
    </row>
    <row r="629" spans="1:157" ht="12.75">
      <c r="A629" s="25"/>
      <c r="B629" s="25"/>
      <c r="C629" s="25"/>
      <c r="D629" s="25"/>
      <c r="E629" s="25"/>
      <c r="F629" s="25"/>
      <c r="G629" s="3"/>
      <c r="H629" s="25"/>
      <c r="AZ629" s="58"/>
      <c r="BA629" s="58"/>
      <c r="BB629" s="58"/>
      <c r="BC629" s="58"/>
      <c r="BD629" s="58"/>
      <c r="BE629" s="2104">
        <f t="shared" si="1"/>
        <v>0</v>
      </c>
      <c r="BF629" s="2106"/>
      <c r="BG629" s="2101">
        <f t="shared" si="2"/>
        <v>0</v>
      </c>
      <c r="BH629" s="2103"/>
      <c r="BI629" s="2104">
        <f t="shared" si="3"/>
        <v>0</v>
      </c>
      <c r="BJ629" s="2106"/>
      <c r="BK629" s="2101">
        <f t="shared" si="4"/>
        <v>0</v>
      </c>
      <c r="BL629" s="2103"/>
      <c r="BM629" s="58"/>
      <c r="BN629" s="2085">
        <f t="shared" si="5"/>
        <v>0</v>
      </c>
      <c r="BO629" s="2086"/>
      <c r="BP629" s="2086"/>
      <c r="BQ629" s="2086"/>
      <c r="BR629" s="2087"/>
      <c r="BS629" s="2092">
        <f t="shared" si="6"/>
        <v>0</v>
      </c>
      <c r="BT629" s="2092"/>
      <c r="BU629" s="2092"/>
      <c r="BV629" s="2092"/>
      <c r="BW629" s="2092"/>
      <c r="BX629" s="2092">
        <f t="shared" si="7"/>
        <v>0</v>
      </c>
      <c r="BY629" s="2092"/>
      <c r="BZ629" s="2092"/>
      <c r="CA629" s="2092"/>
      <c r="CB629" s="2092"/>
      <c r="CC629" s="2092">
        <f t="shared" si="8"/>
        <v>0</v>
      </c>
      <c r="CD629" s="2092"/>
      <c r="CE629" s="2092"/>
      <c r="CF629" s="2092"/>
      <c r="CG629" s="2092"/>
      <c r="CH629" s="2092">
        <f t="shared" si="9"/>
        <v>0</v>
      </c>
      <c r="CI629" s="2092"/>
      <c r="CJ629" s="2092"/>
      <c r="CK629" s="2092"/>
      <c r="CL629" s="2092"/>
      <c r="CM629" s="2092">
        <f t="shared" si="10"/>
        <v>0</v>
      </c>
      <c r="CN629" s="2092"/>
      <c r="CO629" s="2092"/>
      <c r="CP629" s="2092"/>
      <c r="CQ629" s="2092"/>
      <c r="CR629" s="265"/>
      <c r="CS629" s="2107">
        <f t="shared" si="11"/>
        <v>0</v>
      </c>
      <c r="CT629" s="2107"/>
      <c r="CU629" s="2107"/>
      <c r="CV629" s="2107"/>
      <c r="CW629" s="2107"/>
      <c r="CX629" s="2107">
        <f t="shared" si="12"/>
        <v>0</v>
      </c>
      <c r="CY629" s="2107"/>
      <c r="CZ629" s="2107"/>
      <c r="DA629" s="2107"/>
      <c r="DB629" s="2107"/>
      <c r="DC629" s="2107">
        <f t="shared" si="13"/>
        <v>0</v>
      </c>
      <c r="DD629" s="2107"/>
      <c r="DE629" s="2107"/>
      <c r="DF629" s="2107"/>
      <c r="DG629" s="2107"/>
      <c r="DH629" s="2107">
        <f t="shared" si="14"/>
        <v>0</v>
      </c>
      <c r="DI629" s="2107"/>
      <c r="DJ629" s="2107"/>
      <c r="DK629" s="2107"/>
      <c r="DL629" s="2107"/>
      <c r="DM629" s="2107">
        <f t="shared" si="15"/>
        <v>0</v>
      </c>
      <c r="DN629" s="2107"/>
      <c r="DO629" s="2107"/>
      <c r="DP629" s="2107"/>
      <c r="DQ629" s="2107"/>
      <c r="DR629" s="2107">
        <f t="shared" si="16"/>
        <v>0</v>
      </c>
      <c r="DS629" s="2107"/>
      <c r="DT629" s="2107"/>
      <c r="DU629" s="2107"/>
      <c r="DV629" s="2107"/>
      <c r="DX629" s="2104" t="str">
        <f t="shared" si="17"/>
        <v xml:space="preserve"> </v>
      </c>
      <c r="DY629" s="2105"/>
      <c r="DZ629" s="2105"/>
      <c r="EA629" s="2105"/>
      <c r="EB629" s="2106"/>
      <c r="EC629" s="2104" t="str">
        <f t="shared" si="18"/>
        <v xml:space="preserve"> </v>
      </c>
      <c r="ED629" s="2105"/>
      <c r="EE629" s="2105"/>
      <c r="EF629" s="2105"/>
      <c r="EG629" s="2106"/>
      <c r="EH629" s="2104" t="str">
        <f t="shared" si="19"/>
        <v xml:space="preserve"> </v>
      </c>
      <c r="EI629" s="2105"/>
      <c r="EJ629" s="2105"/>
      <c r="EK629" s="2105"/>
      <c r="EL629" s="2106"/>
      <c r="EM629" s="2104" t="str">
        <f t="shared" si="20"/>
        <v xml:space="preserve"> </v>
      </c>
      <c r="EN629" s="2105"/>
      <c r="EO629" s="2105"/>
      <c r="EP629" s="2105"/>
      <c r="EQ629" s="2106"/>
      <c r="ER629" s="2104" t="str">
        <f t="shared" si="21"/>
        <v xml:space="preserve"> </v>
      </c>
      <c r="ES629" s="2105"/>
      <c r="ET629" s="2105"/>
      <c r="EU629" s="2105"/>
      <c r="EV629" s="2106"/>
      <c r="EW629" s="2104" t="str">
        <f t="shared" si="22"/>
        <v xml:space="preserve"> </v>
      </c>
      <c r="EX629" s="2105"/>
      <c r="EY629" s="2105"/>
      <c r="EZ629" s="2105"/>
      <c r="FA629" s="2106"/>
    </row>
    <row r="630" spans="1:157" ht="12.75">
      <c r="A630" s="50" t="s">
        <v>324</v>
      </c>
      <c r="B630" s="50"/>
      <c r="C630" s="50" t="s">
        <v>21</v>
      </c>
      <c r="AZ630" s="58"/>
      <c r="BA630" s="58"/>
      <c r="BB630" s="58"/>
      <c r="BC630" s="58"/>
      <c r="BD630" s="58"/>
      <c r="BE630" s="2104">
        <f t="shared" si="1"/>
        <v>0</v>
      </c>
      <c r="BF630" s="2106"/>
      <c r="BG630" s="2101">
        <f t="shared" si="2"/>
        <v>0</v>
      </c>
      <c r="BH630" s="2103"/>
      <c r="BI630" s="2104">
        <f t="shared" si="3"/>
        <v>0</v>
      </c>
      <c r="BJ630" s="2106"/>
      <c r="BK630" s="2101">
        <f t="shared" si="4"/>
        <v>0</v>
      </c>
      <c r="BL630" s="2103"/>
      <c r="BM630" s="58"/>
      <c r="BN630" s="2085">
        <f t="shared" si="5"/>
        <v>0</v>
      </c>
      <c r="BO630" s="2086"/>
      <c r="BP630" s="2086"/>
      <c r="BQ630" s="2086"/>
      <c r="BR630" s="2087"/>
      <c r="BS630" s="2092">
        <f t="shared" si="6"/>
        <v>0</v>
      </c>
      <c r="BT630" s="2092"/>
      <c r="BU630" s="2092"/>
      <c r="BV630" s="2092"/>
      <c r="BW630" s="2092"/>
      <c r="BX630" s="2092">
        <f t="shared" si="7"/>
        <v>0</v>
      </c>
      <c r="BY630" s="2092"/>
      <c r="BZ630" s="2092"/>
      <c r="CA630" s="2092"/>
      <c r="CB630" s="2092"/>
      <c r="CC630" s="2092">
        <f t="shared" si="8"/>
        <v>0</v>
      </c>
      <c r="CD630" s="2092"/>
      <c r="CE630" s="2092"/>
      <c r="CF630" s="2092"/>
      <c r="CG630" s="2092"/>
      <c r="CH630" s="2092">
        <f t="shared" si="9"/>
        <v>0</v>
      </c>
      <c r="CI630" s="2092"/>
      <c r="CJ630" s="2092"/>
      <c r="CK630" s="2092"/>
      <c r="CL630" s="2092"/>
      <c r="CM630" s="2092">
        <f t="shared" si="10"/>
        <v>0</v>
      </c>
      <c r="CN630" s="2092"/>
      <c r="CO630" s="2092"/>
      <c r="CP630" s="2092"/>
      <c r="CQ630" s="2092"/>
      <c r="CR630" s="265"/>
      <c r="CS630" s="2107">
        <f t="shared" si="11"/>
        <v>0</v>
      </c>
      <c r="CT630" s="2107"/>
      <c r="CU630" s="2107"/>
      <c r="CV630" s="2107"/>
      <c r="CW630" s="2107"/>
      <c r="CX630" s="2107">
        <f t="shared" si="12"/>
        <v>0</v>
      </c>
      <c r="CY630" s="2107"/>
      <c r="CZ630" s="2107"/>
      <c r="DA630" s="2107"/>
      <c r="DB630" s="2107"/>
      <c r="DC630" s="2107">
        <f t="shared" si="13"/>
        <v>0</v>
      </c>
      <c r="DD630" s="2107"/>
      <c r="DE630" s="2107"/>
      <c r="DF630" s="2107"/>
      <c r="DG630" s="2107"/>
      <c r="DH630" s="2107">
        <f t="shared" si="14"/>
        <v>0</v>
      </c>
      <c r="DI630" s="2107"/>
      <c r="DJ630" s="2107"/>
      <c r="DK630" s="2107"/>
      <c r="DL630" s="2107"/>
      <c r="DM630" s="2107">
        <f t="shared" si="15"/>
        <v>0</v>
      </c>
      <c r="DN630" s="2107"/>
      <c r="DO630" s="2107"/>
      <c r="DP630" s="2107"/>
      <c r="DQ630" s="2107"/>
      <c r="DR630" s="2107">
        <f t="shared" si="16"/>
        <v>0</v>
      </c>
      <c r="DS630" s="2107"/>
      <c r="DT630" s="2107"/>
      <c r="DU630" s="2107"/>
      <c r="DV630" s="2107"/>
      <c r="DX630" s="2104" t="str">
        <f t="shared" si="17"/>
        <v xml:space="preserve"> </v>
      </c>
      <c r="DY630" s="2105"/>
      <c r="DZ630" s="2105"/>
      <c r="EA630" s="2105"/>
      <c r="EB630" s="2106"/>
      <c r="EC630" s="2104" t="str">
        <f t="shared" si="18"/>
        <v xml:space="preserve"> </v>
      </c>
      <c r="ED630" s="2105"/>
      <c r="EE630" s="2105"/>
      <c r="EF630" s="2105"/>
      <c r="EG630" s="2106"/>
      <c r="EH630" s="2104" t="str">
        <f t="shared" si="19"/>
        <v xml:space="preserve"> </v>
      </c>
      <c r="EI630" s="2105"/>
      <c r="EJ630" s="2105"/>
      <c r="EK630" s="2105"/>
      <c r="EL630" s="2106"/>
      <c r="EM630" s="2104" t="str">
        <f t="shared" si="20"/>
        <v xml:space="preserve"> </v>
      </c>
      <c r="EN630" s="2105"/>
      <c r="EO630" s="2105"/>
      <c r="EP630" s="2105"/>
      <c r="EQ630" s="2106"/>
      <c r="ER630" s="2104" t="str">
        <f t="shared" si="21"/>
        <v xml:space="preserve"> </v>
      </c>
      <c r="ES630" s="2105"/>
      <c r="ET630" s="2105"/>
      <c r="EU630" s="2105"/>
      <c r="EV630" s="2106"/>
      <c r="EW630" s="2104" t="str">
        <f t="shared" si="22"/>
        <v xml:space="preserve"> </v>
      </c>
      <c r="EX630" s="2105"/>
      <c r="EY630" s="2105"/>
      <c r="EZ630" s="2105"/>
      <c r="FA630" s="2106"/>
    </row>
    <row r="631" spans="1:157" ht="12.75">
      <c r="A631" s="50"/>
      <c r="B631" s="50"/>
      <c r="C631" s="50"/>
      <c r="AZ631" s="58"/>
      <c r="BA631" s="58"/>
      <c r="BB631" s="58"/>
      <c r="BC631" s="58"/>
      <c r="BD631" s="58"/>
      <c r="BE631" s="2104">
        <f t="shared" si="1"/>
        <v>0</v>
      </c>
      <c r="BF631" s="2106"/>
      <c r="BG631" s="2101">
        <f t="shared" si="2"/>
        <v>0</v>
      </c>
      <c r="BH631" s="2103"/>
      <c r="BI631" s="2104">
        <f t="shared" si="3"/>
        <v>0</v>
      </c>
      <c r="BJ631" s="2106"/>
      <c r="BK631" s="2101">
        <f t="shared" si="4"/>
        <v>0</v>
      </c>
      <c r="BL631" s="2103"/>
      <c r="BM631" s="58"/>
      <c r="BN631" s="2085">
        <f t="shared" si="5"/>
        <v>0</v>
      </c>
      <c r="BO631" s="2086"/>
      <c r="BP631" s="2086"/>
      <c r="BQ631" s="2086"/>
      <c r="BR631" s="2087"/>
      <c r="BS631" s="2092">
        <f t="shared" si="6"/>
        <v>0</v>
      </c>
      <c r="BT631" s="2092"/>
      <c r="BU631" s="2092"/>
      <c r="BV631" s="2092"/>
      <c r="BW631" s="2092"/>
      <c r="BX631" s="2092">
        <f t="shared" si="7"/>
        <v>0</v>
      </c>
      <c r="BY631" s="2092"/>
      <c r="BZ631" s="2092"/>
      <c r="CA631" s="2092"/>
      <c r="CB631" s="2092"/>
      <c r="CC631" s="2092">
        <f t="shared" si="8"/>
        <v>0</v>
      </c>
      <c r="CD631" s="2092"/>
      <c r="CE631" s="2092"/>
      <c r="CF631" s="2092"/>
      <c r="CG631" s="2092"/>
      <c r="CH631" s="2092">
        <f t="shared" si="9"/>
        <v>0</v>
      </c>
      <c r="CI631" s="2092"/>
      <c r="CJ631" s="2092"/>
      <c r="CK631" s="2092"/>
      <c r="CL631" s="2092"/>
      <c r="CM631" s="2092">
        <f t="shared" si="10"/>
        <v>0</v>
      </c>
      <c r="CN631" s="2092"/>
      <c r="CO631" s="2092"/>
      <c r="CP631" s="2092"/>
      <c r="CQ631" s="2092"/>
      <c r="CR631" s="265"/>
      <c r="CS631" s="2107">
        <f t="shared" si="11"/>
        <v>0</v>
      </c>
      <c r="CT631" s="2107"/>
      <c r="CU631" s="2107"/>
      <c r="CV631" s="2107"/>
      <c r="CW631" s="2107"/>
      <c r="CX631" s="2107">
        <f t="shared" si="12"/>
        <v>0</v>
      </c>
      <c r="CY631" s="2107"/>
      <c r="CZ631" s="2107"/>
      <c r="DA631" s="2107"/>
      <c r="DB631" s="2107"/>
      <c r="DC631" s="2107">
        <f t="shared" si="13"/>
        <v>0</v>
      </c>
      <c r="DD631" s="2107"/>
      <c r="DE631" s="2107"/>
      <c r="DF631" s="2107"/>
      <c r="DG631" s="2107"/>
      <c r="DH631" s="2107">
        <f t="shared" si="14"/>
        <v>0</v>
      </c>
      <c r="DI631" s="2107"/>
      <c r="DJ631" s="2107"/>
      <c r="DK631" s="2107"/>
      <c r="DL631" s="2107"/>
      <c r="DM631" s="2107">
        <f t="shared" si="15"/>
        <v>0</v>
      </c>
      <c r="DN631" s="2107"/>
      <c r="DO631" s="2107"/>
      <c r="DP631" s="2107"/>
      <c r="DQ631" s="2107"/>
      <c r="DR631" s="2107">
        <f t="shared" si="16"/>
        <v>0</v>
      </c>
      <c r="DS631" s="2107"/>
      <c r="DT631" s="2107"/>
      <c r="DU631" s="2107"/>
      <c r="DV631" s="2107"/>
      <c r="DX631" s="2104" t="str">
        <f t="shared" si="17"/>
        <v xml:space="preserve"> </v>
      </c>
      <c r="DY631" s="2105"/>
      <c r="DZ631" s="2105"/>
      <c r="EA631" s="2105"/>
      <c r="EB631" s="2106"/>
      <c r="EC631" s="2104" t="str">
        <f t="shared" si="18"/>
        <v xml:space="preserve"> </v>
      </c>
      <c r="ED631" s="2105"/>
      <c r="EE631" s="2105"/>
      <c r="EF631" s="2105"/>
      <c r="EG631" s="2106"/>
      <c r="EH631" s="2104" t="str">
        <f t="shared" si="19"/>
        <v xml:space="preserve"> </v>
      </c>
      <c r="EI631" s="2105"/>
      <c r="EJ631" s="2105"/>
      <c r="EK631" s="2105"/>
      <c r="EL631" s="2106"/>
      <c r="EM631" s="2104" t="str">
        <f t="shared" si="20"/>
        <v xml:space="preserve"> </v>
      </c>
      <c r="EN631" s="2105"/>
      <c r="EO631" s="2105"/>
      <c r="EP631" s="2105"/>
      <c r="EQ631" s="2106"/>
      <c r="ER631" s="2104" t="str">
        <f t="shared" si="21"/>
        <v xml:space="preserve"> </v>
      </c>
      <c r="ES631" s="2105"/>
      <c r="ET631" s="2105"/>
      <c r="EU631" s="2105"/>
      <c r="EV631" s="2106"/>
      <c r="EW631" s="2104" t="str">
        <f t="shared" si="22"/>
        <v xml:space="preserve"> </v>
      </c>
      <c r="EX631" s="2105"/>
      <c r="EY631" s="2105"/>
      <c r="EZ631" s="2105"/>
      <c r="FA631" s="210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04">
        <f t="shared" si="1"/>
        <v>0</v>
      </c>
      <c r="BF632" s="2106"/>
      <c r="BG632" s="2101">
        <f t="shared" si="2"/>
        <v>0</v>
      </c>
      <c r="BH632" s="2103"/>
      <c r="BI632" s="2104">
        <f t="shared" si="3"/>
        <v>0</v>
      </c>
      <c r="BJ632" s="2106"/>
      <c r="BK632" s="2101">
        <f t="shared" si="4"/>
        <v>0</v>
      </c>
      <c r="BL632" s="2103"/>
      <c r="BM632" s="58"/>
      <c r="BN632" s="2085">
        <f t="shared" si="5"/>
        <v>0</v>
      </c>
      <c r="BO632" s="2086"/>
      <c r="BP632" s="2086"/>
      <c r="BQ632" s="2086"/>
      <c r="BR632" s="2087"/>
      <c r="BS632" s="2092">
        <f t="shared" si="6"/>
        <v>0</v>
      </c>
      <c r="BT632" s="2092"/>
      <c r="BU632" s="2092"/>
      <c r="BV632" s="2092"/>
      <c r="BW632" s="2092"/>
      <c r="BX632" s="2092">
        <f t="shared" si="7"/>
        <v>0</v>
      </c>
      <c r="BY632" s="2092"/>
      <c r="BZ632" s="2092"/>
      <c r="CA632" s="2092"/>
      <c r="CB632" s="2092"/>
      <c r="CC632" s="2092">
        <f t="shared" si="8"/>
        <v>0</v>
      </c>
      <c r="CD632" s="2092"/>
      <c r="CE632" s="2092"/>
      <c r="CF632" s="2092"/>
      <c r="CG632" s="2092"/>
      <c r="CH632" s="2092">
        <f t="shared" si="9"/>
        <v>0</v>
      </c>
      <c r="CI632" s="2092"/>
      <c r="CJ632" s="2092"/>
      <c r="CK632" s="2092"/>
      <c r="CL632" s="2092"/>
      <c r="CM632" s="2092">
        <f t="shared" si="10"/>
        <v>0</v>
      </c>
      <c r="CN632" s="2092"/>
      <c r="CO632" s="2092"/>
      <c r="CP632" s="2092"/>
      <c r="CQ632" s="2092"/>
      <c r="CR632" s="265"/>
      <c r="CS632" s="2107">
        <f t="shared" si="11"/>
        <v>0</v>
      </c>
      <c r="CT632" s="2107"/>
      <c r="CU632" s="2107"/>
      <c r="CV632" s="2107"/>
      <c r="CW632" s="2107"/>
      <c r="CX632" s="2107">
        <f t="shared" si="12"/>
        <v>0</v>
      </c>
      <c r="CY632" s="2107"/>
      <c r="CZ632" s="2107"/>
      <c r="DA632" s="2107"/>
      <c r="DB632" s="2107"/>
      <c r="DC632" s="2107">
        <f t="shared" si="13"/>
        <v>0</v>
      </c>
      <c r="DD632" s="2107"/>
      <c r="DE632" s="2107"/>
      <c r="DF632" s="2107"/>
      <c r="DG632" s="2107"/>
      <c r="DH632" s="2107">
        <f t="shared" si="14"/>
        <v>0</v>
      </c>
      <c r="DI632" s="2107"/>
      <c r="DJ632" s="2107"/>
      <c r="DK632" s="2107"/>
      <c r="DL632" s="2107"/>
      <c r="DM632" s="2107">
        <f t="shared" si="15"/>
        <v>0</v>
      </c>
      <c r="DN632" s="2107"/>
      <c r="DO632" s="2107"/>
      <c r="DP632" s="2107"/>
      <c r="DQ632" s="2107"/>
      <c r="DR632" s="2107">
        <f t="shared" si="16"/>
        <v>0</v>
      </c>
      <c r="DS632" s="2107"/>
      <c r="DT632" s="2107"/>
      <c r="DU632" s="2107"/>
      <c r="DV632" s="2107"/>
      <c r="DX632" s="2104" t="str">
        <f t="shared" si="17"/>
        <v xml:space="preserve"> </v>
      </c>
      <c r="DY632" s="2105"/>
      <c r="DZ632" s="2105"/>
      <c r="EA632" s="2105"/>
      <c r="EB632" s="2106"/>
      <c r="EC632" s="2104" t="str">
        <f t="shared" si="18"/>
        <v xml:space="preserve"> </v>
      </c>
      <c r="ED632" s="2105"/>
      <c r="EE632" s="2105"/>
      <c r="EF632" s="2105"/>
      <c r="EG632" s="2106"/>
      <c r="EH632" s="2104" t="str">
        <f t="shared" si="19"/>
        <v xml:space="preserve"> </v>
      </c>
      <c r="EI632" s="2105"/>
      <c r="EJ632" s="2105"/>
      <c r="EK632" s="2105"/>
      <c r="EL632" s="2106"/>
      <c r="EM632" s="2104" t="str">
        <f t="shared" si="20"/>
        <v xml:space="preserve"> </v>
      </c>
      <c r="EN632" s="2105"/>
      <c r="EO632" s="2105"/>
      <c r="EP632" s="2105"/>
      <c r="EQ632" s="2106"/>
      <c r="ER632" s="2104" t="str">
        <f t="shared" si="21"/>
        <v xml:space="preserve"> </v>
      </c>
      <c r="ES632" s="2105"/>
      <c r="ET632" s="2105"/>
      <c r="EU632" s="2105"/>
      <c r="EV632" s="2106"/>
      <c r="EW632" s="2104" t="str">
        <f t="shared" si="22"/>
        <v xml:space="preserve"> </v>
      </c>
      <c r="EX632" s="2105"/>
      <c r="EY632" s="2105"/>
      <c r="EZ632" s="2105"/>
      <c r="FA632" s="210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04">
        <f t="shared" si="1"/>
        <v>0</v>
      </c>
      <c r="BF633" s="2106"/>
      <c r="BG633" s="2101">
        <f t="shared" si="2"/>
        <v>0</v>
      </c>
      <c r="BH633" s="2103"/>
      <c r="BI633" s="2104">
        <f t="shared" si="3"/>
        <v>0</v>
      </c>
      <c r="BJ633" s="2106"/>
      <c r="BK633" s="2101">
        <f t="shared" si="4"/>
        <v>0</v>
      </c>
      <c r="BL633" s="2103"/>
      <c r="BM633" s="58"/>
      <c r="BN633" s="2085">
        <f t="shared" si="5"/>
        <v>0</v>
      </c>
      <c r="BO633" s="2086"/>
      <c r="BP633" s="2086"/>
      <c r="BQ633" s="2086"/>
      <c r="BR633" s="2087"/>
      <c r="BS633" s="2092">
        <f t="shared" si="6"/>
        <v>0</v>
      </c>
      <c r="BT633" s="2092"/>
      <c r="BU633" s="2092"/>
      <c r="BV633" s="2092"/>
      <c r="BW633" s="2092"/>
      <c r="BX633" s="2092">
        <f t="shared" si="7"/>
        <v>0</v>
      </c>
      <c r="BY633" s="2092"/>
      <c r="BZ633" s="2092"/>
      <c r="CA633" s="2092"/>
      <c r="CB633" s="2092"/>
      <c r="CC633" s="2092">
        <f t="shared" si="8"/>
        <v>0</v>
      </c>
      <c r="CD633" s="2092"/>
      <c r="CE633" s="2092"/>
      <c r="CF633" s="2092"/>
      <c r="CG633" s="2092"/>
      <c r="CH633" s="2092">
        <f t="shared" si="9"/>
        <v>0</v>
      </c>
      <c r="CI633" s="2092"/>
      <c r="CJ633" s="2092"/>
      <c r="CK633" s="2092"/>
      <c r="CL633" s="2092"/>
      <c r="CM633" s="2092">
        <f t="shared" si="10"/>
        <v>0</v>
      </c>
      <c r="CN633" s="2092"/>
      <c r="CO633" s="2092"/>
      <c r="CP633" s="2092"/>
      <c r="CQ633" s="2092"/>
      <c r="CR633" s="265"/>
      <c r="CS633" s="2107">
        <f t="shared" si="11"/>
        <v>0</v>
      </c>
      <c r="CT633" s="2107"/>
      <c r="CU633" s="2107"/>
      <c r="CV633" s="2107"/>
      <c r="CW633" s="2107"/>
      <c r="CX633" s="2107">
        <f t="shared" si="12"/>
        <v>0</v>
      </c>
      <c r="CY633" s="2107"/>
      <c r="CZ633" s="2107"/>
      <c r="DA633" s="2107"/>
      <c r="DB633" s="2107"/>
      <c r="DC633" s="2107">
        <f t="shared" si="13"/>
        <v>0</v>
      </c>
      <c r="DD633" s="2107"/>
      <c r="DE633" s="2107"/>
      <c r="DF633" s="2107"/>
      <c r="DG633" s="2107"/>
      <c r="DH633" s="2107">
        <f t="shared" si="14"/>
        <v>0</v>
      </c>
      <c r="DI633" s="2107"/>
      <c r="DJ633" s="2107"/>
      <c r="DK633" s="2107"/>
      <c r="DL633" s="2107"/>
      <c r="DM633" s="2107">
        <f t="shared" si="15"/>
        <v>0</v>
      </c>
      <c r="DN633" s="2107"/>
      <c r="DO633" s="2107"/>
      <c r="DP633" s="2107"/>
      <c r="DQ633" s="2107"/>
      <c r="DR633" s="2107">
        <f t="shared" si="16"/>
        <v>0</v>
      </c>
      <c r="DS633" s="2107"/>
      <c r="DT633" s="2107"/>
      <c r="DU633" s="2107"/>
      <c r="DV633" s="2107"/>
      <c r="DX633" s="2104" t="str">
        <f t="shared" si="17"/>
        <v xml:space="preserve"> </v>
      </c>
      <c r="DY633" s="2105"/>
      <c r="DZ633" s="2105"/>
      <c r="EA633" s="2105"/>
      <c r="EB633" s="2106"/>
      <c r="EC633" s="2104" t="str">
        <f t="shared" si="18"/>
        <v xml:space="preserve"> </v>
      </c>
      <c r="ED633" s="2105"/>
      <c r="EE633" s="2105"/>
      <c r="EF633" s="2105"/>
      <c r="EG633" s="2106"/>
      <c r="EH633" s="2104" t="str">
        <f t="shared" si="19"/>
        <v xml:space="preserve"> </v>
      </c>
      <c r="EI633" s="2105"/>
      <c r="EJ633" s="2105"/>
      <c r="EK633" s="2105"/>
      <c r="EL633" s="2106"/>
      <c r="EM633" s="2104" t="str">
        <f t="shared" si="20"/>
        <v xml:space="preserve"> </v>
      </c>
      <c r="EN633" s="2105"/>
      <c r="EO633" s="2105"/>
      <c r="EP633" s="2105"/>
      <c r="EQ633" s="2106"/>
      <c r="ER633" s="2104" t="str">
        <f t="shared" si="21"/>
        <v xml:space="preserve"> </v>
      </c>
      <c r="ES633" s="2105"/>
      <c r="ET633" s="2105"/>
      <c r="EU633" s="2105"/>
      <c r="EV633" s="2106"/>
      <c r="EW633" s="2104" t="str">
        <f t="shared" si="22"/>
        <v xml:space="preserve"> </v>
      </c>
      <c r="EX633" s="2105"/>
      <c r="EY633" s="2105"/>
      <c r="EZ633" s="2105"/>
      <c r="FA633" s="2106"/>
    </row>
    <row r="634" spans="1:157" s="1661" customFormat="1" ht="12.75" customHeight="1">
      <c r="B634" s="2275" t="s">
        <v>477</v>
      </c>
      <c r="C634" s="2276"/>
      <c r="D634" s="2276"/>
      <c r="E634" s="2276"/>
      <c r="F634" s="2276"/>
      <c r="G634" s="2276"/>
      <c r="H634" s="2276"/>
      <c r="I634" s="2276"/>
      <c r="J634" s="2276"/>
      <c r="K634" s="2276"/>
      <c r="L634" s="2276"/>
      <c r="M634" s="2276"/>
      <c r="N634" s="2277"/>
      <c r="O634" s="2135" t="s">
        <v>2170</v>
      </c>
      <c r="P634" s="2136"/>
      <c r="Q634" s="2137"/>
      <c r="R634" s="2135" t="s">
        <v>2168</v>
      </c>
      <c r="S634" s="2136"/>
      <c r="T634" s="2137"/>
      <c r="U634" s="2126" t="s">
        <v>478</v>
      </c>
      <c r="V634" s="2126"/>
      <c r="W634" s="2127"/>
      <c r="X634" s="2135" t="s">
        <v>1989</v>
      </c>
      <c r="Y634" s="2136"/>
      <c r="Z634" s="2136"/>
      <c r="AA634" s="2136"/>
      <c r="AB634" s="2137"/>
      <c r="AC634" s="2381" t="s">
        <v>1987</v>
      </c>
      <c r="AD634" s="2382"/>
      <c r="AE634" s="2383"/>
      <c r="AF634" s="2135" t="s">
        <v>2381</v>
      </c>
      <c r="AG634" s="2136"/>
      <c r="AH634" s="2136"/>
      <c r="AI634" s="2136"/>
      <c r="AJ634" s="2137"/>
      <c r="AK634" s="2369" t="s">
        <v>2382</v>
      </c>
      <c r="AL634" s="2370"/>
      <c r="AM634" s="2370"/>
      <c r="AN634" s="2371"/>
      <c r="AO634" s="2440" t="s">
        <v>479</v>
      </c>
      <c r="AP634" s="2440"/>
      <c r="AQ634" s="2440"/>
      <c r="AR634" s="2440"/>
      <c r="AS634" s="2440"/>
      <c r="AT634" s="1662"/>
      <c r="AU634" s="1662"/>
      <c r="AV634" s="1662"/>
      <c r="AW634" s="1662"/>
      <c r="AX634" s="1662"/>
      <c r="AY634" s="1662"/>
      <c r="AZ634" s="181"/>
      <c r="BA634" s="181"/>
      <c r="BB634" s="181"/>
      <c r="BC634" s="181"/>
      <c r="BD634" s="181"/>
      <c r="BE634" s="2104">
        <f t="shared" si="1"/>
        <v>0</v>
      </c>
      <c r="BF634" s="2106"/>
      <c r="BG634" s="2101">
        <f t="shared" si="2"/>
        <v>0</v>
      </c>
      <c r="BH634" s="2103"/>
      <c r="BI634" s="2104">
        <f t="shared" si="3"/>
        <v>0</v>
      </c>
      <c r="BJ634" s="2106"/>
      <c r="BK634" s="2101">
        <f t="shared" si="4"/>
        <v>0</v>
      </c>
      <c r="BL634" s="2103"/>
      <c r="BM634" s="181"/>
      <c r="BN634" s="2085">
        <f t="shared" si="5"/>
        <v>0</v>
      </c>
      <c r="BO634" s="2086"/>
      <c r="BP634" s="2086"/>
      <c r="BQ634" s="2086"/>
      <c r="BR634" s="2087"/>
      <c r="BS634" s="2092">
        <f t="shared" si="6"/>
        <v>0</v>
      </c>
      <c r="BT634" s="2092"/>
      <c r="BU634" s="2092"/>
      <c r="BV634" s="2092"/>
      <c r="BW634" s="2092"/>
      <c r="BX634" s="2092">
        <f t="shared" si="7"/>
        <v>0</v>
      </c>
      <c r="BY634" s="2092"/>
      <c r="BZ634" s="2092"/>
      <c r="CA634" s="2092"/>
      <c r="CB634" s="2092"/>
      <c r="CC634" s="2092">
        <f t="shared" si="8"/>
        <v>0</v>
      </c>
      <c r="CD634" s="2092"/>
      <c r="CE634" s="2092"/>
      <c r="CF634" s="2092"/>
      <c r="CG634" s="2092"/>
      <c r="CH634" s="2092">
        <f t="shared" si="9"/>
        <v>0</v>
      </c>
      <c r="CI634" s="2092"/>
      <c r="CJ634" s="2092"/>
      <c r="CK634" s="2092"/>
      <c r="CL634" s="2092"/>
      <c r="CM634" s="2092">
        <f t="shared" si="10"/>
        <v>0</v>
      </c>
      <c r="CN634" s="2092"/>
      <c r="CO634" s="2092"/>
      <c r="CP634" s="2092"/>
      <c r="CQ634" s="2092"/>
      <c r="CR634" s="265"/>
      <c r="CS634" s="2107">
        <f t="shared" si="11"/>
        <v>0</v>
      </c>
      <c r="CT634" s="2107"/>
      <c r="CU634" s="2107"/>
      <c r="CV634" s="2107"/>
      <c r="CW634" s="2107"/>
      <c r="CX634" s="2107">
        <f t="shared" si="12"/>
        <v>0</v>
      </c>
      <c r="CY634" s="2107"/>
      <c r="CZ634" s="2107"/>
      <c r="DA634" s="2107"/>
      <c r="DB634" s="2107"/>
      <c r="DC634" s="2107">
        <f t="shared" si="13"/>
        <v>0</v>
      </c>
      <c r="DD634" s="2107"/>
      <c r="DE634" s="2107"/>
      <c r="DF634" s="2107"/>
      <c r="DG634" s="2107"/>
      <c r="DH634" s="2107">
        <f t="shared" si="14"/>
        <v>0</v>
      </c>
      <c r="DI634" s="2107"/>
      <c r="DJ634" s="2107"/>
      <c r="DK634" s="2107"/>
      <c r="DL634" s="2107"/>
      <c r="DM634" s="2107">
        <f t="shared" si="15"/>
        <v>0</v>
      </c>
      <c r="DN634" s="2107"/>
      <c r="DO634" s="2107"/>
      <c r="DP634" s="2107"/>
      <c r="DQ634" s="2107"/>
      <c r="DR634" s="2107">
        <f t="shared" si="16"/>
        <v>0</v>
      </c>
      <c r="DS634" s="2107"/>
      <c r="DT634" s="2107"/>
      <c r="DU634" s="2107"/>
      <c r="DV634" s="2107"/>
      <c r="DX634" s="2104" t="str">
        <f t="shared" si="17"/>
        <v xml:space="preserve"> </v>
      </c>
      <c r="DY634" s="2105"/>
      <c r="DZ634" s="2105"/>
      <c r="EA634" s="2105"/>
      <c r="EB634" s="2106"/>
      <c r="EC634" s="2104" t="str">
        <f t="shared" si="18"/>
        <v xml:space="preserve"> </v>
      </c>
      <c r="ED634" s="2105"/>
      <c r="EE634" s="2105"/>
      <c r="EF634" s="2105"/>
      <c r="EG634" s="2106"/>
      <c r="EH634" s="2104" t="str">
        <f t="shared" si="19"/>
        <v xml:space="preserve"> </v>
      </c>
      <c r="EI634" s="2105"/>
      <c r="EJ634" s="2105"/>
      <c r="EK634" s="2105"/>
      <c r="EL634" s="2106"/>
      <c r="EM634" s="2104" t="str">
        <f t="shared" si="20"/>
        <v xml:space="preserve"> </v>
      </c>
      <c r="EN634" s="2105"/>
      <c r="EO634" s="2105"/>
      <c r="EP634" s="2105"/>
      <c r="EQ634" s="2106"/>
      <c r="ER634" s="2104" t="str">
        <f t="shared" si="21"/>
        <v xml:space="preserve"> </v>
      </c>
      <c r="ES634" s="2105"/>
      <c r="ET634" s="2105"/>
      <c r="EU634" s="2105"/>
      <c r="EV634" s="2106"/>
      <c r="EW634" s="2104" t="str">
        <f t="shared" si="22"/>
        <v xml:space="preserve"> </v>
      </c>
      <c r="EX634" s="2105"/>
      <c r="EY634" s="2105"/>
      <c r="EZ634" s="2105"/>
      <c r="FA634" s="2106"/>
    </row>
    <row r="635" spans="1:157" s="1661" customFormat="1" ht="12.75">
      <c r="B635" s="2436"/>
      <c r="C635" s="2437"/>
      <c r="D635" s="2437"/>
      <c r="E635" s="2437"/>
      <c r="F635" s="2437"/>
      <c r="G635" s="2437"/>
      <c r="H635" s="2437"/>
      <c r="I635" s="2437"/>
      <c r="J635" s="2437"/>
      <c r="K635" s="2437"/>
      <c r="L635" s="2437"/>
      <c r="M635" s="2437"/>
      <c r="N635" s="2438"/>
      <c r="O635" s="2138"/>
      <c r="P635" s="2139"/>
      <c r="Q635" s="2140"/>
      <c r="R635" s="2138"/>
      <c r="S635" s="2139"/>
      <c r="T635" s="2140"/>
      <c r="U635" s="2128"/>
      <c r="V635" s="2128"/>
      <c r="W635" s="2129"/>
      <c r="X635" s="2138"/>
      <c r="Y635" s="2139"/>
      <c r="Z635" s="2139"/>
      <c r="AA635" s="2139"/>
      <c r="AB635" s="2140"/>
      <c r="AC635" s="2384"/>
      <c r="AD635" s="2385"/>
      <c r="AE635" s="2386"/>
      <c r="AF635" s="2138"/>
      <c r="AG635" s="2139"/>
      <c r="AH635" s="2139"/>
      <c r="AI635" s="2139"/>
      <c r="AJ635" s="2140"/>
      <c r="AK635" s="2372"/>
      <c r="AL635" s="2373"/>
      <c r="AM635" s="2373"/>
      <c r="AN635" s="2374"/>
      <c r="AO635" s="2440"/>
      <c r="AP635" s="2440"/>
      <c r="AQ635" s="2440"/>
      <c r="AR635" s="2440"/>
      <c r="AS635" s="2440"/>
      <c r="AT635" s="1662"/>
      <c r="AU635" s="1662"/>
      <c r="AV635" s="1662"/>
      <c r="AW635" s="1662"/>
      <c r="AX635" s="1662"/>
      <c r="AY635" s="1662"/>
      <c r="AZ635" s="181"/>
      <c r="BA635" s="181"/>
      <c r="BB635" s="181"/>
      <c r="BC635" s="181"/>
      <c r="BD635" s="181"/>
      <c r="BE635" s="181"/>
      <c r="BF635" s="181"/>
      <c r="BG635" s="2104">
        <f>SUM(BG610:BH634)</f>
        <v>22</v>
      </c>
      <c r="BH635" s="2106"/>
      <c r="BI635" s="181"/>
      <c r="BJ635" s="181"/>
      <c r="BK635" s="2104">
        <f>SUM(BK610:BL634)</f>
        <v>20</v>
      </c>
      <c r="BL635" s="2106"/>
      <c r="BM635" s="181"/>
      <c r="BN635" s="2104">
        <f>SUM(BN610:BR634)</f>
        <v>17</v>
      </c>
      <c r="BO635" s="2105"/>
      <c r="BP635" s="2105"/>
      <c r="BQ635" s="2105"/>
      <c r="BR635" s="2106"/>
      <c r="BS635" s="2108">
        <f>SUM(BS610:BW634)</f>
        <v>30</v>
      </c>
      <c r="BT635" s="2108"/>
      <c r="BU635" s="2108"/>
      <c r="BV635" s="2108"/>
      <c r="BW635" s="2108"/>
      <c r="BX635" s="2108">
        <f>SUM(BX610:CB634)</f>
        <v>0</v>
      </c>
      <c r="BY635" s="2108"/>
      <c r="BZ635" s="2108"/>
      <c r="CA635" s="2108"/>
      <c r="CB635" s="2108"/>
      <c r="CC635" s="2108">
        <f>SUM(CC610:CG634)</f>
        <v>0</v>
      </c>
      <c r="CD635" s="2108"/>
      <c r="CE635" s="2108"/>
      <c r="CF635" s="2108"/>
      <c r="CG635" s="2108"/>
      <c r="CH635" s="2108">
        <f>SUM(CH610:CL634)</f>
        <v>0</v>
      </c>
      <c r="CI635" s="2108"/>
      <c r="CJ635" s="2108"/>
      <c r="CK635" s="2108"/>
      <c r="CL635" s="2108"/>
      <c r="CM635" s="2108">
        <f>SUM(CM610:CQ634)</f>
        <v>0</v>
      </c>
      <c r="CN635" s="2108"/>
      <c r="CO635" s="2108"/>
      <c r="CP635" s="2108"/>
      <c r="CQ635" s="2108"/>
      <c r="CR635" s="689"/>
      <c r="CS635" s="2108">
        <f>SUM(CS610:CW634)</f>
        <v>8</v>
      </c>
      <c r="CT635" s="2108"/>
      <c r="CU635" s="2108"/>
      <c r="CV635" s="2108"/>
      <c r="CW635" s="2108"/>
      <c r="CX635" s="2108">
        <f>SUM(CX610:DB634)</f>
        <v>12</v>
      </c>
      <c r="CY635" s="2108"/>
      <c r="CZ635" s="2108"/>
      <c r="DA635" s="2108"/>
      <c r="DB635" s="2108"/>
      <c r="DC635" s="2108">
        <f>SUM(DC610:DG634)</f>
        <v>0</v>
      </c>
      <c r="DD635" s="2108"/>
      <c r="DE635" s="2108"/>
      <c r="DF635" s="2108"/>
      <c r="DG635" s="2108"/>
      <c r="DH635" s="2108">
        <f>SUM(DH610:DL634)</f>
        <v>0</v>
      </c>
      <c r="DI635" s="2108"/>
      <c r="DJ635" s="2108"/>
      <c r="DK635" s="2108"/>
      <c r="DL635" s="2108"/>
      <c r="DM635" s="2108">
        <f>SUM(DM610:DQ634)</f>
        <v>0</v>
      </c>
      <c r="DN635" s="2108"/>
      <c r="DO635" s="2108"/>
      <c r="DP635" s="2108"/>
      <c r="DQ635" s="2108"/>
      <c r="DR635" s="2108">
        <f>SUM(DR610:DV634)</f>
        <v>0</v>
      </c>
      <c r="DS635" s="2108"/>
      <c r="DT635" s="2108"/>
      <c r="DU635" s="2108"/>
      <c r="DV635" s="2108"/>
      <c r="DX635" s="2108">
        <f>SUM(DX610:EB634)</f>
        <v>3938</v>
      </c>
      <c r="DY635" s="2108"/>
      <c r="DZ635" s="2108"/>
      <c r="EA635" s="2108"/>
      <c r="EB635" s="2108"/>
      <c r="EC635" s="2108">
        <f>SUM(EC610:EG634)</f>
        <v>3548</v>
      </c>
      <c r="ED635" s="2108"/>
      <c r="EE635" s="2108"/>
      <c r="EF635" s="2108"/>
      <c r="EG635" s="2108"/>
      <c r="EH635" s="2108">
        <f>SUM(EH610:EL634)</f>
        <v>0</v>
      </c>
      <c r="EI635" s="2108"/>
      <c r="EJ635" s="2108"/>
      <c r="EK635" s="2108"/>
      <c r="EL635" s="2108"/>
      <c r="EM635" s="2108">
        <f>SUM(EM610:EQ634)</f>
        <v>0</v>
      </c>
      <c r="EN635" s="2108"/>
      <c r="EO635" s="2108"/>
      <c r="EP635" s="2108"/>
      <c r="EQ635" s="2108"/>
      <c r="ER635" s="2108">
        <f>SUM(ER610:EV634)</f>
        <v>0</v>
      </c>
      <c r="ES635" s="2108"/>
      <c r="ET635" s="2108"/>
      <c r="EU635" s="2108"/>
      <c r="EV635" s="2108"/>
      <c r="EW635" s="2108">
        <f>SUM(EW610:FA634)</f>
        <v>0</v>
      </c>
      <c r="EX635" s="2108"/>
      <c r="EY635" s="2108"/>
      <c r="EZ635" s="2108"/>
      <c r="FA635" s="2108"/>
    </row>
    <row r="636" spans="1:157" s="1661" customFormat="1" ht="12.75">
      <c r="B636" s="2439"/>
      <c r="C636" s="2437"/>
      <c r="D636" s="2437"/>
      <c r="E636" s="2437"/>
      <c r="F636" s="2437"/>
      <c r="G636" s="2437"/>
      <c r="H636" s="2437"/>
      <c r="I636" s="2437"/>
      <c r="J636" s="2437"/>
      <c r="K636" s="2437"/>
      <c r="L636" s="2437"/>
      <c r="M636" s="2437"/>
      <c r="N636" s="2438"/>
      <c r="O636" s="2141"/>
      <c r="P636" s="2142"/>
      <c r="Q636" s="2143"/>
      <c r="R636" s="2141"/>
      <c r="S636" s="2142"/>
      <c r="T636" s="2143"/>
      <c r="U636" s="2130"/>
      <c r="V636" s="2130"/>
      <c r="W636" s="2131"/>
      <c r="X636" s="2141"/>
      <c r="Y636" s="2142"/>
      <c r="Z636" s="2142"/>
      <c r="AA636" s="2142"/>
      <c r="AB636" s="2143"/>
      <c r="AC636" s="2387"/>
      <c r="AD636" s="2388"/>
      <c r="AE636" s="2389"/>
      <c r="AF636" s="2141"/>
      <c r="AG636" s="2142"/>
      <c r="AH636" s="2142"/>
      <c r="AI636" s="2142"/>
      <c r="AJ636" s="2143"/>
      <c r="AK636" s="2375"/>
      <c r="AL636" s="2376"/>
      <c r="AM636" s="2376"/>
      <c r="AN636" s="2377"/>
      <c r="AO636" s="2440"/>
      <c r="AP636" s="2440"/>
      <c r="AQ636" s="2440"/>
      <c r="AR636" s="2440"/>
      <c r="AS636" s="244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104">
        <f>BN635+BS635+BX635+CC635+CH635+CM635</f>
        <v>47</v>
      </c>
      <c r="CN636" s="2105"/>
      <c r="CO636" s="2105"/>
      <c r="CP636" s="2105"/>
      <c r="CQ636" s="2106"/>
      <c r="CR636" s="689"/>
      <c r="CS636" s="181"/>
      <c r="CT636" s="181"/>
      <c r="CU636" s="181"/>
      <c r="CV636" s="181"/>
      <c r="CW636" s="181"/>
      <c r="CX636" s="181"/>
      <c r="CY636" s="181"/>
      <c r="CZ636" s="181"/>
      <c r="DA636" s="181"/>
      <c r="DB636" s="181"/>
      <c r="DC636" s="181"/>
      <c r="DD636" s="181"/>
      <c r="DE636" s="181"/>
      <c r="DF636" s="181"/>
    </row>
    <row r="637" spans="1:157" ht="12.75">
      <c r="B637" s="83" t="s">
        <v>117</v>
      </c>
      <c r="C637" s="2153" t="s">
        <v>2714</v>
      </c>
      <c r="D637" s="2094"/>
      <c r="E637" s="2094"/>
      <c r="F637" s="2094"/>
      <c r="G637" s="2094"/>
      <c r="H637" s="2094"/>
      <c r="I637" s="2094"/>
      <c r="J637" s="2094"/>
      <c r="K637" s="2094"/>
      <c r="L637" s="2094"/>
      <c r="M637" s="2094"/>
      <c r="N637" s="2379"/>
      <c r="O637" s="2123">
        <v>204</v>
      </c>
      <c r="P637" s="2124"/>
      <c r="Q637" s="2125"/>
      <c r="R637" s="2109">
        <v>420</v>
      </c>
      <c r="S637" s="2110"/>
      <c r="T637" s="2111"/>
      <c r="U637" s="2116">
        <v>6.2659999999999993E-2</v>
      </c>
      <c r="V637" s="2117"/>
      <c r="W637" s="2118"/>
      <c r="X637" s="2112" t="s">
        <v>1988</v>
      </c>
      <c r="Y637" s="2113"/>
      <c r="Z637" s="2113"/>
      <c r="AA637" s="2113"/>
      <c r="AB637" s="2114"/>
      <c r="AC637" s="2132">
        <v>1</v>
      </c>
      <c r="AD637" s="2133"/>
      <c r="AE637" s="2134"/>
      <c r="AF637" s="2119">
        <v>252040</v>
      </c>
      <c r="AG637" s="2120"/>
      <c r="AH637" s="2120"/>
      <c r="AI637" s="2120"/>
      <c r="AJ637" s="2121"/>
      <c r="AK637" s="2144"/>
      <c r="AL637" s="2145"/>
      <c r="AM637" s="2145"/>
      <c r="AN637" s="2146"/>
      <c r="AO637" s="2115">
        <v>3571000</v>
      </c>
      <c r="AP637" s="2115"/>
      <c r="AQ637" s="2115"/>
      <c r="AR637" s="2115"/>
      <c r="AS637" s="2115"/>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17</v>
      </c>
      <c r="BS637" s="58"/>
      <c r="BT637" s="58"/>
      <c r="BU637" s="58"/>
      <c r="BV637" s="58"/>
      <c r="BW637" s="1369">
        <f>BS635*1</f>
        <v>30</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47</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3" t="s">
        <v>2715</v>
      </c>
      <c r="D638" s="2094"/>
      <c r="E638" s="2094"/>
      <c r="F638" s="2094"/>
      <c r="G638" s="2094"/>
      <c r="H638" s="2094"/>
      <c r="I638" s="2094"/>
      <c r="J638" s="2094"/>
      <c r="K638" s="2094"/>
      <c r="L638" s="2094"/>
      <c r="M638" s="2094"/>
      <c r="N638" s="2379"/>
      <c r="O638" s="2123">
        <v>660</v>
      </c>
      <c r="P638" s="2124"/>
      <c r="Q638" s="2125"/>
      <c r="R638" s="2109">
        <v>660</v>
      </c>
      <c r="S638" s="2110"/>
      <c r="T638" s="2111"/>
      <c r="U638" s="2116">
        <v>0.03</v>
      </c>
      <c r="V638" s="2117"/>
      <c r="W638" s="2118"/>
      <c r="X638" s="2112" t="s">
        <v>482</v>
      </c>
      <c r="Y638" s="2113"/>
      <c r="Z638" s="2113"/>
      <c r="AA638" s="2113"/>
      <c r="AB638" s="2114"/>
      <c r="AC638" s="2132">
        <v>2</v>
      </c>
      <c r="AD638" s="2133"/>
      <c r="AE638" s="2134"/>
      <c r="AF638" s="2119">
        <v>35288</v>
      </c>
      <c r="AG638" s="2120"/>
      <c r="AH638" s="2120"/>
      <c r="AI638" s="2120"/>
      <c r="AJ638" s="2121"/>
      <c r="AK638" s="2144"/>
      <c r="AL638" s="2145"/>
      <c r="AM638" s="2145"/>
      <c r="AN638" s="2146"/>
      <c r="AO638" s="2115">
        <v>8401939</v>
      </c>
      <c r="AP638" s="2115"/>
      <c r="AQ638" s="2115"/>
      <c r="AR638" s="2115"/>
      <c r="AS638" s="2115"/>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93">
        <f t="shared" ref="DX638:DX662" si="23">DX610*(BN610/$BN$635)</f>
        <v>238.41176470588235</v>
      </c>
      <c r="DY638" s="2093"/>
      <c r="DZ638" s="2093"/>
      <c r="EA638" s="2093"/>
      <c r="EB638" s="2093"/>
      <c r="EC638" s="2093" t="e">
        <f t="shared" ref="EC638:EC662" si="24">EC610*(BS610/$BS$635)</f>
        <v>#VALUE!</v>
      </c>
      <c r="ED638" s="2093"/>
      <c r="EE638" s="2093"/>
      <c r="EF638" s="2093"/>
      <c r="EG638" s="2093"/>
      <c r="EH638" s="2093" t="e">
        <f t="shared" ref="EH638:EH662" si="25">EH610*(BX610/$BX$635)</f>
        <v>#VALUE!</v>
      </c>
      <c r="EI638" s="2093"/>
      <c r="EJ638" s="2093"/>
      <c r="EK638" s="2093"/>
      <c r="EL638" s="2093"/>
      <c r="EM638" s="2093" t="e">
        <f t="shared" ref="EM638:EM662" si="26">EM610*(CC610/$CC$635)</f>
        <v>#VALUE!</v>
      </c>
      <c r="EN638" s="2093"/>
      <c r="EO638" s="2093"/>
      <c r="EP638" s="2093"/>
      <c r="EQ638" s="2093"/>
      <c r="ER638" s="2093" t="e">
        <f t="shared" ref="ER638:ER662" si="27">ER610*(CH610/$CH$635)</f>
        <v>#VALUE!</v>
      </c>
      <c r="ES638" s="2093"/>
      <c r="ET638" s="2093"/>
      <c r="EU638" s="2093"/>
      <c r="EV638" s="2093"/>
      <c r="EW638" s="2093" t="e">
        <f t="shared" ref="EW638:EW662" si="28">EW610*(CM610/$CM$635)</f>
        <v>#VALUE!</v>
      </c>
      <c r="EX638" s="2093"/>
      <c r="EY638" s="2093"/>
      <c r="EZ638" s="2093"/>
      <c r="FA638" s="2093"/>
    </row>
    <row r="639" spans="1:157" ht="12.75" customHeight="1">
      <c r="B639" s="84" t="s">
        <v>124</v>
      </c>
      <c r="C639" s="2153" t="s">
        <v>2708</v>
      </c>
      <c r="D639" s="2094"/>
      <c r="E639" s="2094"/>
      <c r="F639" s="2094"/>
      <c r="G639" s="2094"/>
      <c r="H639" s="2094"/>
      <c r="I639" s="2094"/>
      <c r="J639" s="2094"/>
      <c r="K639" s="2094"/>
      <c r="L639" s="2094"/>
      <c r="M639" s="2094"/>
      <c r="N639" s="2379"/>
      <c r="O639" s="2123">
        <v>660</v>
      </c>
      <c r="P639" s="2124"/>
      <c r="Q639" s="2125"/>
      <c r="R639" s="2109">
        <v>660</v>
      </c>
      <c r="S639" s="2110"/>
      <c r="T639" s="2111"/>
      <c r="U639" s="2116">
        <v>0.03</v>
      </c>
      <c r="V639" s="2117"/>
      <c r="W639" s="2118"/>
      <c r="X639" s="2112" t="s">
        <v>482</v>
      </c>
      <c r="Y639" s="2113"/>
      <c r="Z639" s="2113"/>
      <c r="AA639" s="2113"/>
      <c r="AB639" s="2114"/>
      <c r="AC639" s="2132">
        <v>3</v>
      </c>
      <c r="AD639" s="2133"/>
      <c r="AE639" s="2134"/>
      <c r="AF639" s="2119"/>
      <c r="AG639" s="2120"/>
      <c r="AH639" s="2120"/>
      <c r="AI639" s="2120"/>
      <c r="AJ639" s="2121"/>
      <c r="AK639" s="2144"/>
      <c r="AL639" s="2145"/>
      <c r="AM639" s="2145"/>
      <c r="AN639" s="2146"/>
      <c r="AO639" s="2115">
        <v>5000000</v>
      </c>
      <c r="AP639" s="2115"/>
      <c r="AQ639" s="2115"/>
      <c r="AR639" s="2115"/>
      <c r="AS639" s="2115"/>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93" t="e">
        <f t="shared" si="23"/>
        <v>#VALUE!</v>
      </c>
      <c r="DY639" s="2093"/>
      <c r="DZ639" s="2093"/>
      <c r="EA639" s="2093"/>
      <c r="EB639" s="2093"/>
      <c r="EC639" s="2093">
        <f t="shared" si="24"/>
        <v>182.4</v>
      </c>
      <c r="ED639" s="2093"/>
      <c r="EE639" s="2093"/>
      <c r="EF639" s="2093"/>
      <c r="EG639" s="2093"/>
      <c r="EH639" s="2093" t="e">
        <f t="shared" si="25"/>
        <v>#VALUE!</v>
      </c>
      <c r="EI639" s="2093"/>
      <c r="EJ639" s="2093"/>
      <c r="EK639" s="2093"/>
      <c r="EL639" s="2093"/>
      <c r="EM639" s="2093" t="e">
        <f t="shared" si="26"/>
        <v>#VALUE!</v>
      </c>
      <c r="EN639" s="2093"/>
      <c r="EO639" s="2093"/>
      <c r="EP639" s="2093"/>
      <c r="EQ639" s="2093"/>
      <c r="ER639" s="2093" t="e">
        <f t="shared" si="27"/>
        <v>#VALUE!</v>
      </c>
      <c r="ES639" s="2093"/>
      <c r="ET639" s="2093"/>
      <c r="EU639" s="2093"/>
      <c r="EV639" s="2093"/>
      <c r="EW639" s="2093" t="e">
        <f t="shared" si="28"/>
        <v>#VALUE!</v>
      </c>
      <c r="EX639" s="2093"/>
      <c r="EY639" s="2093"/>
      <c r="EZ639" s="2093"/>
      <c r="FA639" s="2093"/>
    </row>
    <row r="640" spans="1:157" ht="12.75">
      <c r="B640" s="84" t="s">
        <v>607</v>
      </c>
      <c r="C640" s="2153" t="s">
        <v>2709</v>
      </c>
      <c r="D640" s="2094"/>
      <c r="E640" s="2094"/>
      <c r="F640" s="2094"/>
      <c r="G640" s="2094"/>
      <c r="H640" s="2094"/>
      <c r="I640" s="2094"/>
      <c r="J640" s="2094"/>
      <c r="K640" s="2094"/>
      <c r="L640" s="2094"/>
      <c r="M640" s="2094"/>
      <c r="N640" s="2379"/>
      <c r="O640" s="2123"/>
      <c r="P640" s="2124"/>
      <c r="Q640" s="2125"/>
      <c r="R640" s="2109"/>
      <c r="S640" s="2110"/>
      <c r="T640" s="2111"/>
      <c r="U640" s="2116"/>
      <c r="V640" s="2117"/>
      <c r="W640" s="2118"/>
      <c r="X640" s="2112" t="s">
        <v>483</v>
      </c>
      <c r="Y640" s="2113"/>
      <c r="Z640" s="2113"/>
      <c r="AA640" s="2113"/>
      <c r="AB640" s="2114"/>
      <c r="AC640" s="2132"/>
      <c r="AD640" s="2133"/>
      <c r="AE640" s="2134"/>
      <c r="AF640" s="2119"/>
      <c r="AG640" s="2120"/>
      <c r="AH640" s="2120"/>
      <c r="AI640" s="2120"/>
      <c r="AJ640" s="2121"/>
      <c r="AK640" s="2144"/>
      <c r="AL640" s="2145"/>
      <c r="AM640" s="2145"/>
      <c r="AN640" s="2146"/>
      <c r="AO640" s="2115">
        <v>213779</v>
      </c>
      <c r="AP640" s="2115"/>
      <c r="AQ640" s="2115"/>
      <c r="AR640" s="2115"/>
      <c r="AS640" s="211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85">
        <f>IF(J772="SRO/Studio",O772,0)</f>
        <v>0</v>
      </c>
      <c r="BO640" s="2086"/>
      <c r="BP640" s="2086"/>
      <c r="BQ640" s="2086"/>
      <c r="BR640" s="2087"/>
      <c r="BS640" s="2092">
        <f>IF(J772="1 Bedroom",O772,0)</f>
        <v>0</v>
      </c>
      <c r="BT640" s="2092"/>
      <c r="BU640" s="2092"/>
      <c r="BV640" s="2092"/>
      <c r="BW640" s="2092"/>
      <c r="BX640" s="2092">
        <f>IF(J772="2 Bedrooms",O772,0)</f>
        <v>1</v>
      </c>
      <c r="BY640" s="2092"/>
      <c r="BZ640" s="2092"/>
      <c r="CA640" s="2092"/>
      <c r="CB640" s="2092"/>
      <c r="CC640" s="2092">
        <f>IF(J772="3 Bedrooms",O772,0)</f>
        <v>0</v>
      </c>
      <c r="CD640" s="2092"/>
      <c r="CE640" s="2092"/>
      <c r="CF640" s="2092"/>
      <c r="CG640" s="2092"/>
      <c r="CH640" s="2092">
        <f>IF(J772="4 Bedrooms",O772,0)</f>
        <v>0</v>
      </c>
      <c r="CI640" s="2092"/>
      <c r="CJ640" s="2092"/>
      <c r="CK640" s="2092"/>
      <c r="CL640" s="2092"/>
      <c r="CM640" s="2092">
        <f>IF(J772="5 Bedrooms",O772,0)</f>
        <v>0</v>
      </c>
      <c r="CN640" s="2092"/>
      <c r="CO640" s="2092"/>
      <c r="CP640" s="2092"/>
      <c r="CQ640" s="2092"/>
      <c r="CR640" s="265"/>
      <c r="CS640" s="58"/>
      <c r="CT640" s="58"/>
      <c r="CU640" s="58"/>
      <c r="CV640" s="58"/>
      <c r="CW640" s="58"/>
      <c r="CX640" s="58"/>
      <c r="CY640" s="58"/>
      <c r="CZ640" s="58"/>
      <c r="DA640" s="58"/>
      <c r="DB640" s="58"/>
      <c r="DC640" s="58"/>
      <c r="DD640" s="58"/>
      <c r="DE640" s="58"/>
      <c r="DF640" s="58"/>
      <c r="DX640" s="2093">
        <f t="shared" si="23"/>
        <v>34.058823529411761</v>
      </c>
      <c r="DY640" s="2093"/>
      <c r="DZ640" s="2093"/>
      <c r="EA640" s="2093"/>
      <c r="EB640" s="2093"/>
      <c r="EC640" s="2093" t="e">
        <f t="shared" si="24"/>
        <v>#VALUE!</v>
      </c>
      <c r="ED640" s="2093"/>
      <c r="EE640" s="2093"/>
      <c r="EF640" s="2093"/>
      <c r="EG640" s="2093"/>
      <c r="EH640" s="2093" t="e">
        <f t="shared" si="25"/>
        <v>#VALUE!</v>
      </c>
      <c r="EI640" s="2093"/>
      <c r="EJ640" s="2093"/>
      <c r="EK640" s="2093"/>
      <c r="EL640" s="2093"/>
      <c r="EM640" s="2093" t="e">
        <f t="shared" si="26"/>
        <v>#VALUE!</v>
      </c>
      <c r="EN640" s="2093"/>
      <c r="EO640" s="2093"/>
      <c r="EP640" s="2093"/>
      <c r="EQ640" s="2093"/>
      <c r="ER640" s="2093" t="e">
        <f t="shared" si="27"/>
        <v>#VALUE!</v>
      </c>
      <c r="ES640" s="2093"/>
      <c r="ET640" s="2093"/>
      <c r="EU640" s="2093"/>
      <c r="EV640" s="2093"/>
      <c r="EW640" s="2093" t="e">
        <f t="shared" si="28"/>
        <v>#VALUE!</v>
      </c>
      <c r="EX640" s="2093"/>
      <c r="EY640" s="2093"/>
      <c r="EZ640" s="2093"/>
      <c r="FA640" s="2093"/>
    </row>
    <row r="641" spans="1:157" ht="12.75">
      <c r="B641" s="84" t="s">
        <v>805</v>
      </c>
      <c r="C641" s="2153" t="s">
        <v>2706</v>
      </c>
      <c r="D641" s="2094"/>
      <c r="E641" s="2094"/>
      <c r="F641" s="2094"/>
      <c r="G641" s="2094"/>
      <c r="H641" s="2094"/>
      <c r="I641" s="2094"/>
      <c r="J641" s="2094"/>
      <c r="K641" s="2094"/>
      <c r="L641" s="2094"/>
      <c r="M641" s="2094"/>
      <c r="N641" s="2379"/>
      <c r="O641" s="2123">
        <v>660</v>
      </c>
      <c r="P641" s="2124"/>
      <c r="Q641" s="2125"/>
      <c r="R641" s="2109">
        <v>660</v>
      </c>
      <c r="S641" s="2110"/>
      <c r="T641" s="2111"/>
      <c r="U641" s="2116">
        <v>0.03</v>
      </c>
      <c r="V641" s="2117"/>
      <c r="W641" s="2118"/>
      <c r="X641" s="2112" t="s">
        <v>482</v>
      </c>
      <c r="Y641" s="2113"/>
      <c r="Z641" s="2113"/>
      <c r="AA641" s="2113"/>
      <c r="AB641" s="2114"/>
      <c r="AC641" s="2132">
        <v>4</v>
      </c>
      <c r="AD641" s="2133"/>
      <c r="AE641" s="2134"/>
      <c r="AF641" s="2119"/>
      <c r="AG641" s="2120"/>
      <c r="AH641" s="2120"/>
      <c r="AI641" s="2120"/>
      <c r="AJ641" s="2121"/>
      <c r="AK641" s="2144"/>
      <c r="AL641" s="2145"/>
      <c r="AM641" s="2145"/>
      <c r="AN641" s="2146"/>
      <c r="AO641" s="2115">
        <v>2000000</v>
      </c>
      <c r="AP641" s="2115"/>
      <c r="AQ641" s="2115"/>
      <c r="AR641" s="2115"/>
      <c r="AS641" s="2115"/>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85">
        <f>IF(J773="SRO/Studio",O773,0)</f>
        <v>0</v>
      </c>
      <c r="BO641" s="2086"/>
      <c r="BP641" s="2086"/>
      <c r="BQ641" s="2086"/>
      <c r="BR641" s="2087"/>
      <c r="BS641" s="2092">
        <f>IF(J773="1 Bedroom",O773,0)</f>
        <v>0</v>
      </c>
      <c r="BT641" s="2092"/>
      <c r="BU641" s="2092"/>
      <c r="BV641" s="2092"/>
      <c r="BW641" s="2092"/>
      <c r="BX641" s="2092">
        <f>IF(J773="2 Bedrooms",O773,0)</f>
        <v>0</v>
      </c>
      <c r="BY641" s="2092"/>
      <c r="BZ641" s="2092"/>
      <c r="CA641" s="2092"/>
      <c r="CB641" s="2092"/>
      <c r="CC641" s="2092">
        <f>IF(J773="3 Bedrooms",O773,0)</f>
        <v>0</v>
      </c>
      <c r="CD641" s="2092"/>
      <c r="CE641" s="2092"/>
      <c r="CF641" s="2092"/>
      <c r="CG641" s="2092"/>
      <c r="CH641" s="2092">
        <f>IF(J773="4 Bedrooms",O773,0)</f>
        <v>0</v>
      </c>
      <c r="CI641" s="2092"/>
      <c r="CJ641" s="2092"/>
      <c r="CK641" s="2092"/>
      <c r="CL641" s="2092"/>
      <c r="CM641" s="2092">
        <f>IF(J773="5 Bedrooms",O773,0)</f>
        <v>0</v>
      </c>
      <c r="CN641" s="2092"/>
      <c r="CO641" s="2092"/>
      <c r="CP641" s="2092"/>
      <c r="CQ641" s="2092"/>
      <c r="CR641" s="265"/>
      <c r="CS641" s="58"/>
      <c r="CT641" s="58"/>
      <c r="CU641" s="58"/>
      <c r="CV641" s="58"/>
      <c r="CW641" s="58"/>
      <c r="CX641" s="58"/>
      <c r="CY641" s="58"/>
      <c r="CZ641" s="58"/>
      <c r="DA641" s="58"/>
      <c r="DB641" s="58"/>
      <c r="DC641" s="58"/>
      <c r="DD641" s="58"/>
      <c r="DE641" s="58"/>
      <c r="DF641" s="58"/>
      <c r="DX641" s="2093" t="e">
        <f t="shared" si="23"/>
        <v>#VALUE!</v>
      </c>
      <c r="DY641" s="2093"/>
      <c r="DZ641" s="2093"/>
      <c r="EA641" s="2093"/>
      <c r="EB641" s="2093"/>
      <c r="EC641" s="2093">
        <f t="shared" si="24"/>
        <v>60.800000000000004</v>
      </c>
      <c r="ED641" s="2093"/>
      <c r="EE641" s="2093"/>
      <c r="EF641" s="2093"/>
      <c r="EG641" s="2093"/>
      <c r="EH641" s="2093" t="e">
        <f t="shared" si="25"/>
        <v>#VALUE!</v>
      </c>
      <c r="EI641" s="2093"/>
      <c r="EJ641" s="2093"/>
      <c r="EK641" s="2093"/>
      <c r="EL641" s="2093"/>
      <c r="EM641" s="2093" t="e">
        <f t="shared" si="26"/>
        <v>#VALUE!</v>
      </c>
      <c r="EN641" s="2093"/>
      <c r="EO641" s="2093"/>
      <c r="EP641" s="2093"/>
      <c r="EQ641" s="2093"/>
      <c r="ER641" s="2093" t="e">
        <f t="shared" si="27"/>
        <v>#VALUE!</v>
      </c>
      <c r="ES641" s="2093"/>
      <c r="ET641" s="2093"/>
      <c r="EU641" s="2093"/>
      <c r="EV641" s="2093"/>
      <c r="EW641" s="2093" t="e">
        <f t="shared" si="28"/>
        <v>#VALUE!</v>
      </c>
      <c r="EX641" s="2093"/>
      <c r="EY641" s="2093"/>
      <c r="EZ641" s="2093"/>
      <c r="FA641" s="2093"/>
    </row>
    <row r="642" spans="1:157" ht="12.75">
      <c r="B642" s="84" t="s">
        <v>610</v>
      </c>
      <c r="C642" s="2153" t="s">
        <v>2707</v>
      </c>
      <c r="D642" s="2094"/>
      <c r="E642" s="2094"/>
      <c r="F642" s="2094"/>
      <c r="G642" s="2094"/>
      <c r="H642" s="2094"/>
      <c r="I642" s="2094"/>
      <c r="J642" s="2094"/>
      <c r="K642" s="2094"/>
      <c r="L642" s="2094"/>
      <c r="M642" s="2094"/>
      <c r="N642" s="2379"/>
      <c r="O642" s="2123"/>
      <c r="P642" s="2124"/>
      <c r="Q642" s="2125"/>
      <c r="R642" s="2109"/>
      <c r="S642" s="2110"/>
      <c r="T642" s="2111"/>
      <c r="U642" s="2116"/>
      <c r="V642" s="2117"/>
      <c r="W642" s="2118"/>
      <c r="X642" s="2112" t="s">
        <v>483</v>
      </c>
      <c r="Y642" s="2113"/>
      <c r="Z642" s="2113"/>
      <c r="AA642" s="2113"/>
      <c r="AB642" s="2114"/>
      <c r="AC642" s="2132"/>
      <c r="AD642" s="2133"/>
      <c r="AE642" s="2134"/>
      <c r="AF642" s="2119"/>
      <c r="AG642" s="2120"/>
      <c r="AH642" s="2120"/>
      <c r="AI642" s="2120"/>
      <c r="AJ642" s="2121"/>
      <c r="AK642" s="2144"/>
      <c r="AL642" s="2145"/>
      <c r="AM642" s="2145"/>
      <c r="AN642" s="2146"/>
      <c r="AO642" s="2115">
        <v>85512</v>
      </c>
      <c r="AP642" s="2115"/>
      <c r="AQ642" s="2115"/>
      <c r="AR642" s="2115"/>
      <c r="AS642" s="211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85">
        <f>IF(J774="SRO/Studio",O774,0)</f>
        <v>0</v>
      </c>
      <c r="BO642" s="2086"/>
      <c r="BP642" s="2086"/>
      <c r="BQ642" s="2086"/>
      <c r="BR642" s="2087"/>
      <c r="BS642" s="2092">
        <f>IF(J774="1 Bedroom",O774,0)</f>
        <v>0</v>
      </c>
      <c r="BT642" s="2092"/>
      <c r="BU642" s="2092"/>
      <c r="BV642" s="2092"/>
      <c r="BW642" s="2092"/>
      <c r="BX642" s="2092">
        <f>IF(J774="2 Bedrooms",O774,0)</f>
        <v>0</v>
      </c>
      <c r="BY642" s="2092"/>
      <c r="BZ642" s="2092"/>
      <c r="CA642" s="2092"/>
      <c r="CB642" s="2092"/>
      <c r="CC642" s="2092">
        <f>IF(J774="3 Bedrooms",O774,0)</f>
        <v>0</v>
      </c>
      <c r="CD642" s="2092"/>
      <c r="CE642" s="2092"/>
      <c r="CF642" s="2092"/>
      <c r="CG642" s="2092"/>
      <c r="CH642" s="2092">
        <f>IF(J774="4 Bedrooms",O774,0)</f>
        <v>0</v>
      </c>
      <c r="CI642" s="2092"/>
      <c r="CJ642" s="2092"/>
      <c r="CK642" s="2092"/>
      <c r="CL642" s="2092"/>
      <c r="CM642" s="2092">
        <f>IF(J774="5 Bedrooms",O774,0)</f>
        <v>0</v>
      </c>
      <c r="CN642" s="2092"/>
      <c r="CO642" s="2092"/>
      <c r="CP642" s="2092"/>
      <c r="CQ642" s="2092"/>
      <c r="CR642" s="1649"/>
      <c r="CV642" s="58"/>
      <c r="CW642" s="58"/>
      <c r="CX642" s="58"/>
      <c r="CY642" s="58"/>
      <c r="CZ642" s="58"/>
      <c r="DA642" s="58"/>
      <c r="DB642" s="58"/>
      <c r="DC642" s="58"/>
      <c r="DD642" s="58"/>
      <c r="DE642" s="58"/>
      <c r="DF642" s="58"/>
      <c r="DX642" s="2093">
        <f t="shared" si="23"/>
        <v>117.17647058823529</v>
      </c>
      <c r="DY642" s="2093"/>
      <c r="DZ642" s="2093"/>
      <c r="EA642" s="2093"/>
      <c r="EB642" s="2093"/>
      <c r="EC642" s="2093" t="e">
        <f t="shared" si="24"/>
        <v>#VALUE!</v>
      </c>
      <c r="ED642" s="2093"/>
      <c r="EE642" s="2093"/>
      <c r="EF642" s="2093"/>
      <c r="EG642" s="2093"/>
      <c r="EH642" s="2093" t="e">
        <f t="shared" si="25"/>
        <v>#VALUE!</v>
      </c>
      <c r="EI642" s="2093"/>
      <c r="EJ642" s="2093"/>
      <c r="EK642" s="2093"/>
      <c r="EL642" s="2093"/>
      <c r="EM642" s="2093" t="e">
        <f t="shared" si="26"/>
        <v>#VALUE!</v>
      </c>
      <c r="EN642" s="2093"/>
      <c r="EO642" s="2093"/>
      <c r="EP642" s="2093"/>
      <c r="EQ642" s="2093"/>
      <c r="ER642" s="2093" t="e">
        <f t="shared" si="27"/>
        <v>#VALUE!</v>
      </c>
      <c r="ES642" s="2093"/>
      <c r="ET642" s="2093"/>
      <c r="EU642" s="2093"/>
      <c r="EV642" s="2093"/>
      <c r="EW642" s="2093" t="e">
        <f t="shared" si="28"/>
        <v>#VALUE!</v>
      </c>
      <c r="EX642" s="2093"/>
      <c r="EY642" s="2093"/>
      <c r="EZ642" s="2093"/>
      <c r="FA642" s="2093"/>
    </row>
    <row r="643" spans="1:157" ht="12.75">
      <c r="B643" s="84" t="s">
        <v>480</v>
      </c>
      <c r="C643" s="2153" t="s">
        <v>1964</v>
      </c>
      <c r="D643" s="2094"/>
      <c r="E643" s="2094"/>
      <c r="F643" s="2094"/>
      <c r="G643" s="2094"/>
      <c r="H643" s="2094"/>
      <c r="I643" s="2094"/>
      <c r="J643" s="2094"/>
      <c r="K643" s="2094"/>
      <c r="L643" s="2094"/>
      <c r="M643" s="2094"/>
      <c r="N643" s="2379"/>
      <c r="O643" s="2123"/>
      <c r="P643" s="2124"/>
      <c r="Q643" s="2125"/>
      <c r="R643" s="2109"/>
      <c r="S643" s="2110"/>
      <c r="T643" s="2111"/>
      <c r="U643" s="2116"/>
      <c r="V643" s="2117"/>
      <c r="W643" s="2118"/>
      <c r="X643" s="2112" t="s">
        <v>483</v>
      </c>
      <c r="Y643" s="2113"/>
      <c r="Z643" s="2113"/>
      <c r="AA643" s="2113"/>
      <c r="AB643" s="2114"/>
      <c r="AC643" s="2132"/>
      <c r="AD643" s="2133"/>
      <c r="AE643" s="2134"/>
      <c r="AF643" s="2119"/>
      <c r="AG643" s="2120"/>
      <c r="AH643" s="2120"/>
      <c r="AI643" s="2120"/>
      <c r="AJ643" s="2121"/>
      <c r="AK643" s="2144"/>
      <c r="AL643" s="2145"/>
      <c r="AM643" s="2145"/>
      <c r="AN643" s="2146"/>
      <c r="AO643" s="2115">
        <v>300000</v>
      </c>
      <c r="AP643" s="2115"/>
      <c r="AQ643" s="2115"/>
      <c r="AR643" s="2115"/>
      <c r="AS643" s="211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85">
        <f>IF(J775="SRO/Studio",O775,0)</f>
        <v>0</v>
      </c>
      <c r="BO643" s="2086"/>
      <c r="BP643" s="2086"/>
      <c r="BQ643" s="2086"/>
      <c r="BR643" s="2087"/>
      <c r="BS643" s="2092">
        <f>IF(J775="1 Bedroom",O775,0)</f>
        <v>0</v>
      </c>
      <c r="BT643" s="2092"/>
      <c r="BU643" s="2092"/>
      <c r="BV643" s="2092"/>
      <c r="BW643" s="2092"/>
      <c r="BX643" s="2092">
        <f>IF(J775="2 Bedrooms",O775,0)</f>
        <v>0</v>
      </c>
      <c r="BY643" s="2092"/>
      <c r="BZ643" s="2092"/>
      <c r="CA643" s="2092"/>
      <c r="CB643" s="2092"/>
      <c r="CC643" s="2092">
        <f>IF(J775="3 Bedrooms",O775,0)</f>
        <v>0</v>
      </c>
      <c r="CD643" s="2092"/>
      <c r="CE643" s="2092"/>
      <c r="CF643" s="2092"/>
      <c r="CG643" s="2092"/>
      <c r="CH643" s="2092">
        <f>IF(J775="4 Bedrooms",O775,0)</f>
        <v>0</v>
      </c>
      <c r="CI643" s="2092"/>
      <c r="CJ643" s="2092"/>
      <c r="CK643" s="2092"/>
      <c r="CL643" s="2092"/>
      <c r="CM643" s="2092">
        <f>IF(J775="5 Bedrooms",O775,0)</f>
        <v>0</v>
      </c>
      <c r="CN643" s="2092"/>
      <c r="CO643" s="2092"/>
      <c r="CP643" s="2092"/>
      <c r="CQ643" s="2092"/>
      <c r="CV643" s="58"/>
      <c r="CW643" s="58"/>
      <c r="CX643" s="58"/>
      <c r="CY643" s="58"/>
      <c r="CZ643" s="58"/>
      <c r="DA643" s="58"/>
      <c r="DB643" s="58"/>
      <c r="DC643" s="58"/>
      <c r="DD643" s="58"/>
      <c r="DE643" s="58"/>
      <c r="DF643" s="58"/>
      <c r="DX643" s="2093" t="e">
        <f t="shared" si="23"/>
        <v>#VALUE!</v>
      </c>
      <c r="DY643" s="2093"/>
      <c r="DZ643" s="2093"/>
      <c r="EA643" s="2093"/>
      <c r="EB643" s="2093"/>
      <c r="EC643" s="2093">
        <f t="shared" si="24"/>
        <v>456.73333333333335</v>
      </c>
      <c r="ED643" s="2093"/>
      <c r="EE643" s="2093"/>
      <c r="EF643" s="2093"/>
      <c r="EG643" s="2093"/>
      <c r="EH643" s="2093" t="e">
        <f t="shared" si="25"/>
        <v>#VALUE!</v>
      </c>
      <c r="EI643" s="2093"/>
      <c r="EJ643" s="2093"/>
      <c r="EK643" s="2093"/>
      <c r="EL643" s="2093"/>
      <c r="EM643" s="2093" t="e">
        <f t="shared" si="26"/>
        <v>#VALUE!</v>
      </c>
      <c r="EN643" s="2093"/>
      <c r="EO643" s="2093"/>
      <c r="EP643" s="2093"/>
      <c r="EQ643" s="2093"/>
      <c r="ER643" s="2093" t="e">
        <f t="shared" si="27"/>
        <v>#VALUE!</v>
      </c>
      <c r="ES643" s="2093"/>
      <c r="ET643" s="2093"/>
      <c r="EU643" s="2093"/>
      <c r="EV643" s="2093"/>
      <c r="EW643" s="2093" t="e">
        <f t="shared" si="28"/>
        <v>#VALUE!</v>
      </c>
      <c r="EX643" s="2093"/>
      <c r="EY643" s="2093"/>
      <c r="EZ643" s="2093"/>
      <c r="FA643" s="2093"/>
    </row>
    <row r="644" spans="1:157" ht="12.75">
      <c r="B644" s="84" t="s">
        <v>481</v>
      </c>
      <c r="C644" s="2153" t="s">
        <v>2761</v>
      </c>
      <c r="D644" s="2094"/>
      <c r="E644" s="2094"/>
      <c r="F644" s="2094"/>
      <c r="G644" s="2094"/>
      <c r="H644" s="2094"/>
      <c r="I644" s="2094"/>
      <c r="J644" s="2094"/>
      <c r="K644" s="2094"/>
      <c r="L644" s="2094"/>
      <c r="M644" s="2094"/>
      <c r="N644" s="2379"/>
      <c r="O644" s="2123"/>
      <c r="P644" s="2124"/>
      <c r="Q644" s="2125"/>
      <c r="R644" s="2109"/>
      <c r="S644" s="2110"/>
      <c r="T644" s="2111"/>
      <c r="U644" s="2116"/>
      <c r="V644" s="2117"/>
      <c r="W644" s="2118"/>
      <c r="X644" s="2112" t="s">
        <v>1348</v>
      </c>
      <c r="Y644" s="2113"/>
      <c r="Z644" s="2113"/>
      <c r="AA644" s="2113"/>
      <c r="AB644" s="2114"/>
      <c r="AC644" s="2132"/>
      <c r="AD644" s="2133"/>
      <c r="AE644" s="2134"/>
      <c r="AF644" s="2119"/>
      <c r="AG644" s="2120"/>
      <c r="AH644" s="2120"/>
      <c r="AI644" s="2120"/>
      <c r="AJ644" s="2121"/>
      <c r="AK644" s="2144"/>
      <c r="AL644" s="2145"/>
      <c r="AM644" s="2145"/>
      <c r="AN644" s="2146"/>
      <c r="AO644" s="2115">
        <v>1329476</v>
      </c>
      <c r="AP644" s="2115"/>
      <c r="AQ644" s="2115"/>
      <c r="AR644" s="2115"/>
      <c r="AS644" s="2115"/>
      <c r="AT644" s="239"/>
      <c r="AU644" s="239"/>
      <c r="AV644" s="239"/>
      <c r="AW644" s="239"/>
      <c r="AX644" s="239"/>
      <c r="AY644" s="239"/>
      <c r="AZ644" s="61"/>
      <c r="BA644" s="61"/>
      <c r="BB644" s="61"/>
      <c r="BC644" s="61"/>
      <c r="BD644" s="61"/>
      <c r="BE644" s="61"/>
      <c r="BF644" s="61"/>
      <c r="BG644" s="61"/>
      <c r="BH644" s="61"/>
      <c r="BI644" s="61"/>
      <c r="BJ644" s="61"/>
      <c r="BK644" s="61"/>
      <c r="BL644" s="61"/>
      <c r="BM644" s="61"/>
      <c r="BN644" s="2101">
        <f>SUM(BN640:BR643)</f>
        <v>0</v>
      </c>
      <c r="BO644" s="2102"/>
      <c r="BP644" s="2102"/>
      <c r="BQ644" s="2102"/>
      <c r="BR644" s="2103"/>
      <c r="BS644" s="2096">
        <f>SUM(BS640:BW643)</f>
        <v>0</v>
      </c>
      <c r="BT644" s="2097"/>
      <c r="BU644" s="2097"/>
      <c r="BV644" s="2097"/>
      <c r="BW644" s="2098"/>
      <c r="BX644" s="2096">
        <f>SUM(BX640:CB643)</f>
        <v>1</v>
      </c>
      <c r="BY644" s="2097"/>
      <c r="BZ644" s="2097"/>
      <c r="CA644" s="2097"/>
      <c r="CB644" s="2098"/>
      <c r="CC644" s="2096">
        <f>SUM(CC640:CG643)</f>
        <v>0</v>
      </c>
      <c r="CD644" s="2097"/>
      <c r="CE644" s="2097"/>
      <c r="CF644" s="2097"/>
      <c r="CG644" s="2098"/>
      <c r="CH644" s="2096">
        <f>SUM(CH640:CL643)</f>
        <v>0</v>
      </c>
      <c r="CI644" s="2097"/>
      <c r="CJ644" s="2097"/>
      <c r="CK644" s="2097"/>
      <c r="CL644" s="2098"/>
      <c r="CM644" s="2096">
        <f>SUM(CM640:CQ643)</f>
        <v>0</v>
      </c>
      <c r="CN644" s="2097"/>
      <c r="CO644" s="2097"/>
      <c r="CP644" s="2097"/>
      <c r="CQ644" s="2098"/>
      <c r="CS644" s="1369">
        <f>BN644+BS644+BX644+CC644+CH644+CM644</f>
        <v>1</v>
      </c>
      <c r="CT644" s="134" t="s">
        <v>2177</v>
      </c>
      <c r="CU644" s="58"/>
      <c r="CV644" s="58"/>
      <c r="CW644" s="58"/>
      <c r="CX644" s="58"/>
      <c r="CY644" s="58"/>
      <c r="CZ644" s="58"/>
      <c r="DA644" s="58"/>
      <c r="DB644" s="58"/>
      <c r="DC644" s="58"/>
      <c r="DD644" s="58"/>
      <c r="DE644" s="58"/>
      <c r="DF644" s="58"/>
      <c r="DX644" s="2093">
        <f t="shared" si="23"/>
        <v>292.94117647058823</v>
      </c>
      <c r="DY644" s="2093"/>
      <c r="DZ644" s="2093"/>
      <c r="EA644" s="2093"/>
      <c r="EB644" s="2093"/>
      <c r="EC644" s="2093" t="e">
        <f t="shared" si="24"/>
        <v>#VALUE!</v>
      </c>
      <c r="ED644" s="2093"/>
      <c r="EE644" s="2093"/>
      <c r="EF644" s="2093"/>
      <c r="EG644" s="2093"/>
      <c r="EH644" s="2093" t="e">
        <f t="shared" si="25"/>
        <v>#VALUE!</v>
      </c>
      <c r="EI644" s="2093"/>
      <c r="EJ644" s="2093"/>
      <c r="EK644" s="2093"/>
      <c r="EL644" s="2093"/>
      <c r="EM644" s="2093" t="e">
        <f t="shared" si="26"/>
        <v>#VALUE!</v>
      </c>
      <c r="EN644" s="2093"/>
      <c r="EO644" s="2093"/>
      <c r="EP644" s="2093"/>
      <c r="EQ644" s="2093"/>
      <c r="ER644" s="2093" t="e">
        <f t="shared" si="27"/>
        <v>#VALUE!</v>
      </c>
      <c r="ES644" s="2093"/>
      <c r="ET644" s="2093"/>
      <c r="EU644" s="2093"/>
      <c r="EV644" s="2093"/>
      <c r="EW644" s="2093" t="e">
        <f t="shared" si="28"/>
        <v>#VALUE!</v>
      </c>
      <c r="EX644" s="2093"/>
      <c r="EY644" s="2093"/>
      <c r="EZ644" s="2093"/>
      <c r="FA644" s="2093"/>
    </row>
    <row r="645" spans="1:157" ht="12.75">
      <c r="B645" s="84" t="s">
        <v>486</v>
      </c>
      <c r="C645" s="2094"/>
      <c r="D645" s="2094"/>
      <c r="E645" s="2094"/>
      <c r="F645" s="2094"/>
      <c r="G645" s="2094"/>
      <c r="H645" s="2094"/>
      <c r="I645" s="2094"/>
      <c r="J645" s="2094"/>
      <c r="K645" s="2094"/>
      <c r="L645" s="2094"/>
      <c r="M645" s="2094"/>
      <c r="N645" s="2379"/>
      <c r="O645" s="2123"/>
      <c r="P645" s="2124"/>
      <c r="Q645" s="2125"/>
      <c r="R645" s="2109"/>
      <c r="S645" s="2110"/>
      <c r="T645" s="2111"/>
      <c r="U645" s="2116"/>
      <c r="V645" s="2117"/>
      <c r="W645" s="2118"/>
      <c r="X645" s="2112" t="s">
        <v>1348</v>
      </c>
      <c r="Y645" s="2113"/>
      <c r="Z645" s="2113"/>
      <c r="AA645" s="2113"/>
      <c r="AB645" s="2114"/>
      <c r="AC645" s="2132"/>
      <c r="AD645" s="2133"/>
      <c r="AE645" s="2134"/>
      <c r="AF645" s="2119"/>
      <c r="AG645" s="2120"/>
      <c r="AH645" s="2120"/>
      <c r="AI645" s="2120"/>
      <c r="AJ645" s="2121"/>
      <c r="AK645" s="2144"/>
      <c r="AL645" s="2145"/>
      <c r="AM645" s="2145"/>
      <c r="AN645" s="2146"/>
      <c r="AO645" s="2115"/>
      <c r="AP645" s="2115"/>
      <c r="AQ645" s="2115"/>
      <c r="AR645" s="2115"/>
      <c r="AS645" s="211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93" t="e">
        <f t="shared" si="23"/>
        <v>#VALUE!</v>
      </c>
      <c r="DY645" s="2093"/>
      <c r="DZ645" s="2093"/>
      <c r="EA645" s="2093"/>
      <c r="EB645" s="2093"/>
      <c r="EC645" s="2093">
        <f t="shared" si="24"/>
        <v>213</v>
      </c>
      <c r="ED645" s="2093"/>
      <c r="EE645" s="2093"/>
      <c r="EF645" s="2093"/>
      <c r="EG645" s="2093"/>
      <c r="EH645" s="2093" t="e">
        <f t="shared" si="25"/>
        <v>#VALUE!</v>
      </c>
      <c r="EI645" s="2093"/>
      <c r="EJ645" s="2093"/>
      <c r="EK645" s="2093"/>
      <c r="EL645" s="2093"/>
      <c r="EM645" s="2093" t="e">
        <f t="shared" si="26"/>
        <v>#VALUE!</v>
      </c>
      <c r="EN645" s="2093"/>
      <c r="EO645" s="2093"/>
      <c r="EP645" s="2093"/>
      <c r="EQ645" s="2093"/>
      <c r="ER645" s="2093" t="e">
        <f t="shared" si="27"/>
        <v>#VALUE!</v>
      </c>
      <c r="ES645" s="2093"/>
      <c r="ET645" s="2093"/>
      <c r="EU645" s="2093"/>
      <c r="EV645" s="2093"/>
      <c r="EW645" s="2093" t="e">
        <f t="shared" si="28"/>
        <v>#VALUE!</v>
      </c>
      <c r="EX645" s="2093"/>
      <c r="EY645" s="2093"/>
      <c r="EZ645" s="2093"/>
      <c r="FA645" s="2093"/>
    </row>
    <row r="646" spans="1:157" ht="12.75">
      <c r="B646" s="84" t="s">
        <v>672</v>
      </c>
      <c r="C646" s="2094"/>
      <c r="D646" s="2094"/>
      <c r="E646" s="2094"/>
      <c r="F646" s="2094"/>
      <c r="G646" s="2094"/>
      <c r="H646" s="2094"/>
      <c r="I646" s="2094"/>
      <c r="J646" s="2094"/>
      <c r="K646" s="2094"/>
      <c r="L646" s="2094"/>
      <c r="M646" s="2094"/>
      <c r="N646" s="2379"/>
      <c r="O646" s="2123"/>
      <c r="P646" s="2124"/>
      <c r="Q646" s="2125"/>
      <c r="R646" s="2109"/>
      <c r="S646" s="2110"/>
      <c r="T646" s="2111"/>
      <c r="U646" s="2116"/>
      <c r="V646" s="2117"/>
      <c r="W646" s="2118"/>
      <c r="X646" s="2112" t="s">
        <v>1348</v>
      </c>
      <c r="Y646" s="2113"/>
      <c r="Z646" s="2113"/>
      <c r="AA646" s="2113"/>
      <c r="AB646" s="2114"/>
      <c r="AC646" s="2132"/>
      <c r="AD646" s="2133"/>
      <c r="AE646" s="2134"/>
      <c r="AF646" s="2119"/>
      <c r="AG646" s="2120"/>
      <c r="AH646" s="2120"/>
      <c r="AI646" s="2120"/>
      <c r="AJ646" s="2121"/>
      <c r="AK646" s="2144"/>
      <c r="AL646" s="2145"/>
      <c r="AM646" s="2145"/>
      <c r="AN646" s="2146"/>
      <c r="AO646" s="2115"/>
      <c r="AP646" s="2115"/>
      <c r="AQ646" s="2115"/>
      <c r="AR646" s="2115"/>
      <c r="AS646" s="211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93">
        <f t="shared" si="23"/>
        <v>92.705882352941174</v>
      </c>
      <c r="DY646" s="2093"/>
      <c r="DZ646" s="2093"/>
      <c r="EA646" s="2093"/>
      <c r="EB646" s="2093"/>
      <c r="EC646" s="2093" t="e">
        <f t="shared" si="24"/>
        <v>#VALUE!</v>
      </c>
      <c r="ED646" s="2093"/>
      <c r="EE646" s="2093"/>
      <c r="EF646" s="2093"/>
      <c r="EG646" s="2093"/>
      <c r="EH646" s="2093" t="e">
        <f t="shared" si="25"/>
        <v>#VALUE!</v>
      </c>
      <c r="EI646" s="2093"/>
      <c r="EJ646" s="2093"/>
      <c r="EK646" s="2093"/>
      <c r="EL646" s="2093"/>
      <c r="EM646" s="2093" t="e">
        <f t="shared" si="26"/>
        <v>#VALUE!</v>
      </c>
      <c r="EN646" s="2093"/>
      <c r="EO646" s="2093"/>
      <c r="EP646" s="2093"/>
      <c r="EQ646" s="2093"/>
      <c r="ER646" s="2093" t="e">
        <f t="shared" si="27"/>
        <v>#VALUE!</v>
      </c>
      <c r="ES646" s="2093"/>
      <c r="ET646" s="2093"/>
      <c r="EU646" s="2093"/>
      <c r="EV646" s="2093"/>
      <c r="EW646" s="2093" t="e">
        <f t="shared" si="28"/>
        <v>#VALUE!</v>
      </c>
      <c r="EX646" s="2093"/>
      <c r="EY646" s="2093"/>
      <c r="EZ646" s="2093"/>
      <c r="FA646" s="2093"/>
    </row>
    <row r="647" spans="1:157" ht="12.75">
      <c r="B647" s="84" t="s">
        <v>368</v>
      </c>
      <c r="C647" s="2094"/>
      <c r="D647" s="2094"/>
      <c r="E647" s="2094"/>
      <c r="F647" s="2094"/>
      <c r="G647" s="2094"/>
      <c r="H647" s="2094"/>
      <c r="I647" s="2094"/>
      <c r="J647" s="2094"/>
      <c r="K647" s="2094"/>
      <c r="L647" s="2094"/>
      <c r="M647" s="2094"/>
      <c r="N647" s="2379"/>
      <c r="O647" s="2123"/>
      <c r="P647" s="2124"/>
      <c r="Q647" s="2125"/>
      <c r="R647" s="2109"/>
      <c r="S647" s="2110"/>
      <c r="T647" s="2111"/>
      <c r="U647" s="2116"/>
      <c r="V647" s="2117"/>
      <c r="W647" s="2118"/>
      <c r="X647" s="2112" t="s">
        <v>1348</v>
      </c>
      <c r="Y647" s="2113"/>
      <c r="Z647" s="2113"/>
      <c r="AA647" s="2113"/>
      <c r="AB647" s="2114"/>
      <c r="AC647" s="2132"/>
      <c r="AD647" s="2133"/>
      <c r="AE647" s="2134"/>
      <c r="AF647" s="2119"/>
      <c r="AG647" s="2120"/>
      <c r="AH647" s="2120"/>
      <c r="AI647" s="2120"/>
      <c r="AJ647" s="2121"/>
      <c r="AK647" s="2144"/>
      <c r="AL647" s="2145"/>
      <c r="AM647" s="2145"/>
      <c r="AN647" s="2146"/>
      <c r="AO647" s="2115"/>
      <c r="AP647" s="2115"/>
      <c r="AQ647" s="2115"/>
      <c r="AR647" s="2115"/>
      <c r="AS647" s="211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93" t="e">
        <f t="shared" si="23"/>
        <v>#VALUE!</v>
      </c>
      <c r="DY647" s="2093"/>
      <c r="DZ647" s="2093"/>
      <c r="EA647" s="2093"/>
      <c r="EB647" s="2093"/>
      <c r="EC647" s="2093" t="e">
        <f t="shared" si="24"/>
        <v>#VALUE!</v>
      </c>
      <c r="ED647" s="2093"/>
      <c r="EE647" s="2093"/>
      <c r="EF647" s="2093"/>
      <c r="EG647" s="2093"/>
      <c r="EH647" s="2093" t="e">
        <f t="shared" si="25"/>
        <v>#VALUE!</v>
      </c>
      <c r="EI647" s="2093"/>
      <c r="EJ647" s="2093"/>
      <c r="EK647" s="2093"/>
      <c r="EL647" s="2093"/>
      <c r="EM647" s="2093" t="e">
        <f t="shared" si="26"/>
        <v>#VALUE!</v>
      </c>
      <c r="EN647" s="2093"/>
      <c r="EO647" s="2093"/>
      <c r="EP647" s="2093"/>
      <c r="EQ647" s="2093"/>
      <c r="ER647" s="2093" t="e">
        <f t="shared" si="27"/>
        <v>#VALUE!</v>
      </c>
      <c r="ES647" s="2093"/>
      <c r="ET647" s="2093"/>
      <c r="EU647" s="2093"/>
      <c r="EV647" s="2093"/>
      <c r="EW647" s="2093" t="e">
        <f t="shared" si="28"/>
        <v>#VALUE!</v>
      </c>
      <c r="EX647" s="2093"/>
      <c r="EY647" s="2093"/>
      <c r="EZ647" s="2093"/>
      <c r="FA647" s="2093"/>
    </row>
    <row r="648" spans="1:157" ht="12.75">
      <c r="B648" s="84" t="s">
        <v>369</v>
      </c>
      <c r="C648" s="2094"/>
      <c r="D648" s="2094"/>
      <c r="E648" s="2094"/>
      <c r="F648" s="2094"/>
      <c r="G648" s="2094"/>
      <c r="H648" s="2094"/>
      <c r="I648" s="2094"/>
      <c r="J648" s="2094"/>
      <c r="K648" s="2094"/>
      <c r="L648" s="2094"/>
      <c r="M648" s="2094"/>
      <c r="N648" s="2379"/>
      <c r="O648" s="2123"/>
      <c r="P648" s="2124"/>
      <c r="Q648" s="2125"/>
      <c r="R648" s="2109"/>
      <c r="S648" s="2110"/>
      <c r="T648" s="2111"/>
      <c r="U648" s="2116"/>
      <c r="V648" s="2117"/>
      <c r="W648" s="2118"/>
      <c r="X648" s="2112" t="s">
        <v>1348</v>
      </c>
      <c r="Y648" s="2113"/>
      <c r="Z648" s="2113"/>
      <c r="AA648" s="2113"/>
      <c r="AB648" s="2114"/>
      <c r="AC648" s="2132"/>
      <c r="AD648" s="2133"/>
      <c r="AE648" s="2134"/>
      <c r="AF648" s="2119"/>
      <c r="AG648" s="2120"/>
      <c r="AH648" s="2120"/>
      <c r="AI648" s="2120"/>
      <c r="AJ648" s="2121"/>
      <c r="AK648" s="2144"/>
      <c r="AL648" s="2145"/>
      <c r="AM648" s="2145"/>
      <c r="AN648" s="2146"/>
      <c r="AO648" s="2115"/>
      <c r="AP648" s="2115"/>
      <c r="AQ648" s="2115"/>
      <c r="AR648" s="2115"/>
      <c r="AS648" s="211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85">
        <f t="shared" ref="BN648:BN657" si="29">IF(J786="SRO/Studio",O786,0)</f>
        <v>0</v>
      </c>
      <c r="BO648" s="2086"/>
      <c r="BP648" s="2086"/>
      <c r="BQ648" s="2086"/>
      <c r="BR648" s="2087"/>
      <c r="BS648" s="2092">
        <f t="shared" ref="BS648:BS657" si="30">IF(J786="1 Bedroom",O786,0)</f>
        <v>0</v>
      </c>
      <c r="BT648" s="2092"/>
      <c r="BU648" s="2092"/>
      <c r="BV648" s="2092"/>
      <c r="BW648" s="2092"/>
      <c r="BX648" s="2092">
        <f t="shared" ref="BX648:BX657" si="31">IF(J786="2 Bedrooms",O786,0)</f>
        <v>0</v>
      </c>
      <c r="BY648" s="2092"/>
      <c r="BZ648" s="2092"/>
      <c r="CA648" s="2092"/>
      <c r="CB648" s="2092"/>
      <c r="CC648" s="2092">
        <f t="shared" ref="CC648:CC657" si="32">IF(J786="3 Bedrooms",O786,0)</f>
        <v>0</v>
      </c>
      <c r="CD648" s="2092"/>
      <c r="CE648" s="2092"/>
      <c r="CF648" s="2092"/>
      <c r="CG648" s="2092"/>
      <c r="CH648" s="2092">
        <f t="shared" ref="CH648:CH657" si="33">IF(J786="4 Bedrooms",O786,0)</f>
        <v>0</v>
      </c>
      <c r="CI648" s="2092"/>
      <c r="CJ648" s="2092"/>
      <c r="CK648" s="2092"/>
      <c r="CL648" s="2092"/>
      <c r="CM648" s="2092">
        <f t="shared" ref="CM648:CM657" si="34">IF(J786="5 Bedrooms",O786,0)</f>
        <v>0</v>
      </c>
      <c r="CN648" s="2092"/>
      <c r="CO648" s="2092"/>
      <c r="CP648" s="2092"/>
      <c r="CQ648" s="2092"/>
      <c r="CR648" s="265"/>
      <c r="CS648" s="2085">
        <f>IF(AND(BN648&gt;=1,AH786&gt;=0.1,AH786&lt;=1),O786,0)</f>
        <v>0</v>
      </c>
      <c r="CT648" s="2086"/>
      <c r="CU648" s="2086"/>
      <c r="CV648" s="2086"/>
      <c r="CW648" s="2087"/>
      <c r="CX648" s="2085">
        <f>IF(AND(BS648&gt;=1,AH786&gt;=0.1,AH786&lt;=1),O786,0)</f>
        <v>0</v>
      </c>
      <c r="CY648" s="2086"/>
      <c r="CZ648" s="2086"/>
      <c r="DA648" s="2086"/>
      <c r="DB648" s="2087"/>
      <c r="DC648" s="2085">
        <f>IF(AND(BX648&gt;=1,AH786&gt;=0.1,AH786&lt;=1),O786,0)</f>
        <v>0</v>
      </c>
      <c r="DD648" s="2086"/>
      <c r="DE648" s="2086"/>
      <c r="DF648" s="2086"/>
      <c r="DG648" s="2087"/>
      <c r="DH648" s="2085">
        <f>IF(AND(CC648&gt;=1,AH786&gt;=0.1,AH786&lt;=1),O786,0)</f>
        <v>0</v>
      </c>
      <c r="DI648" s="2086"/>
      <c r="DJ648" s="2086"/>
      <c r="DK648" s="2086"/>
      <c r="DL648" s="2087"/>
      <c r="DM648" s="2085">
        <f>IF(AND(CH648&gt;=1,AH786&gt;=0.1,AH786&lt;=1),O786,0)</f>
        <v>0</v>
      </c>
      <c r="DN648" s="2086"/>
      <c r="DO648" s="2086"/>
      <c r="DP648" s="2086"/>
      <c r="DQ648" s="2087"/>
      <c r="DR648" s="2085">
        <f>IF(AND(CM648&gt;=1,AH786&gt;=0.1,AH786&lt;=1),O786,0)</f>
        <v>0</v>
      </c>
      <c r="DS648" s="2086"/>
      <c r="DT648" s="2086"/>
      <c r="DU648" s="2086"/>
      <c r="DV648" s="2087"/>
      <c r="DX648" s="2093" t="e">
        <f t="shared" si="23"/>
        <v>#VALUE!</v>
      </c>
      <c r="DY648" s="2093"/>
      <c r="DZ648" s="2093"/>
      <c r="EA648" s="2093"/>
      <c r="EB648" s="2093"/>
      <c r="EC648" s="2093" t="e">
        <f t="shared" si="24"/>
        <v>#VALUE!</v>
      </c>
      <c r="ED648" s="2093"/>
      <c r="EE648" s="2093"/>
      <c r="EF648" s="2093"/>
      <c r="EG648" s="2093"/>
      <c r="EH648" s="2093" t="e">
        <f t="shared" si="25"/>
        <v>#VALUE!</v>
      </c>
      <c r="EI648" s="2093"/>
      <c r="EJ648" s="2093"/>
      <c r="EK648" s="2093"/>
      <c r="EL648" s="2093"/>
      <c r="EM648" s="2093" t="e">
        <f t="shared" si="26"/>
        <v>#VALUE!</v>
      </c>
      <c r="EN648" s="2093"/>
      <c r="EO648" s="2093"/>
      <c r="EP648" s="2093"/>
      <c r="EQ648" s="2093"/>
      <c r="ER648" s="2093" t="e">
        <f t="shared" si="27"/>
        <v>#VALUE!</v>
      </c>
      <c r="ES648" s="2093"/>
      <c r="ET648" s="2093"/>
      <c r="EU648" s="2093"/>
      <c r="EV648" s="2093"/>
      <c r="EW648" s="2093" t="e">
        <f t="shared" si="28"/>
        <v>#VALUE!</v>
      </c>
      <c r="EX648" s="2093"/>
      <c r="EY648" s="2093"/>
      <c r="EZ648" s="2093"/>
      <c r="FA648" s="2093"/>
    </row>
    <row r="649" spans="1:157" ht="12.75">
      <c r="B649" s="2409" t="s">
        <v>133</v>
      </c>
      <c r="C649" s="2410"/>
      <c r="D649" s="2410"/>
      <c r="E649" s="2410"/>
      <c r="F649" s="2410"/>
      <c r="G649" s="2410"/>
      <c r="H649" s="2410"/>
      <c r="I649" s="2410"/>
      <c r="J649" s="2410"/>
      <c r="K649" s="2410"/>
      <c r="L649" s="2410"/>
      <c r="M649" s="2410"/>
      <c r="N649" s="2410"/>
      <c r="O649" s="2410"/>
      <c r="P649" s="2410"/>
      <c r="Q649" s="2410"/>
      <c r="R649" s="2410"/>
      <c r="S649" s="2410"/>
      <c r="T649" s="2410"/>
      <c r="U649" s="2410"/>
      <c r="V649" s="2410"/>
      <c r="W649" s="2410"/>
      <c r="X649" s="2410"/>
      <c r="Y649" s="2410"/>
      <c r="Z649" s="2410"/>
      <c r="AA649" s="2410"/>
      <c r="AB649" s="2410"/>
      <c r="AC649" s="2410"/>
      <c r="AD649" s="2410"/>
      <c r="AE649" s="2410"/>
      <c r="AF649" s="2410"/>
      <c r="AG649" s="2410"/>
      <c r="AH649" s="2410"/>
      <c r="AI649" s="2410"/>
      <c r="AJ649" s="2410"/>
      <c r="AK649" s="2410"/>
      <c r="AL649" s="2410"/>
      <c r="AM649" s="2410"/>
      <c r="AN649" s="2411"/>
      <c r="AO649" s="2414">
        <f>SUM(AO637:AR648)</f>
        <v>20901706</v>
      </c>
      <c r="AP649" s="2415"/>
      <c r="AQ649" s="2415"/>
      <c r="AR649" s="2415"/>
      <c r="AS649" s="2416"/>
      <c r="AZ649" s="58"/>
      <c r="BA649" s="58"/>
      <c r="BB649" s="58"/>
      <c r="BC649" s="58"/>
      <c r="BD649" s="58"/>
      <c r="BE649" s="58"/>
      <c r="BF649" s="58"/>
      <c r="BG649" s="58"/>
      <c r="BH649" s="58"/>
      <c r="BI649" s="58"/>
      <c r="BJ649" s="58"/>
      <c r="BK649" s="58"/>
      <c r="BL649" s="58"/>
      <c r="BM649" s="58"/>
      <c r="BN649" s="2085">
        <f t="shared" si="29"/>
        <v>0</v>
      </c>
      <c r="BO649" s="2086"/>
      <c r="BP649" s="2086"/>
      <c r="BQ649" s="2086"/>
      <c r="BR649" s="2087"/>
      <c r="BS649" s="2092">
        <f t="shared" si="30"/>
        <v>0</v>
      </c>
      <c r="BT649" s="2092"/>
      <c r="BU649" s="2092"/>
      <c r="BV649" s="2092"/>
      <c r="BW649" s="2092"/>
      <c r="BX649" s="2092">
        <f t="shared" si="31"/>
        <v>0</v>
      </c>
      <c r="BY649" s="2092"/>
      <c r="BZ649" s="2092"/>
      <c r="CA649" s="2092"/>
      <c r="CB649" s="2092"/>
      <c r="CC649" s="2092">
        <f t="shared" si="32"/>
        <v>0</v>
      </c>
      <c r="CD649" s="2092"/>
      <c r="CE649" s="2092"/>
      <c r="CF649" s="2092"/>
      <c r="CG649" s="2092"/>
      <c r="CH649" s="2092">
        <f t="shared" si="33"/>
        <v>0</v>
      </c>
      <c r="CI649" s="2092"/>
      <c r="CJ649" s="2092"/>
      <c r="CK649" s="2092"/>
      <c r="CL649" s="2092"/>
      <c r="CM649" s="2092">
        <f t="shared" si="34"/>
        <v>0</v>
      </c>
      <c r="CN649" s="2092"/>
      <c r="CO649" s="2092"/>
      <c r="CP649" s="2092"/>
      <c r="CQ649" s="2092"/>
      <c r="CR649" s="265"/>
      <c r="CS649" s="2085">
        <f t="shared" ref="CS649:CS657" si="35">IF(AND(BN649&gt;=1,AH787&gt;=0.1,AH787&lt;=1),O787,0)</f>
        <v>0</v>
      </c>
      <c r="CT649" s="2086"/>
      <c r="CU649" s="2086"/>
      <c r="CV649" s="2086"/>
      <c r="CW649" s="2087"/>
      <c r="CX649" s="2085">
        <f t="shared" ref="CX649:CX657" si="36">IF(AND(BS649&gt;=1,AH787&gt;=0.1,AH787&lt;=1),O787,0)</f>
        <v>0</v>
      </c>
      <c r="CY649" s="2086"/>
      <c r="CZ649" s="2086"/>
      <c r="DA649" s="2086"/>
      <c r="DB649" s="2087"/>
      <c r="DC649" s="2085">
        <f t="shared" ref="DC649:DC657" si="37">IF(AND(BX649&gt;=1,AH787&gt;=0.1,AH787&lt;=1),O787,0)</f>
        <v>0</v>
      </c>
      <c r="DD649" s="2086"/>
      <c r="DE649" s="2086"/>
      <c r="DF649" s="2086"/>
      <c r="DG649" s="2087"/>
      <c r="DH649" s="2085">
        <f t="shared" ref="DH649:DH657" si="38">IF(AND(CC649&gt;=1,AH787&gt;=0.1,AH787&lt;=1),O787,0)</f>
        <v>0</v>
      </c>
      <c r="DI649" s="2086"/>
      <c r="DJ649" s="2086"/>
      <c r="DK649" s="2086"/>
      <c r="DL649" s="2087"/>
      <c r="DM649" s="2085">
        <f t="shared" ref="DM649:DM657" si="39">IF(AND(CH649&gt;=1,AH787&gt;=0.1,AH787&lt;=1),O787,0)</f>
        <v>0</v>
      </c>
      <c r="DN649" s="2086"/>
      <c r="DO649" s="2086"/>
      <c r="DP649" s="2086"/>
      <c r="DQ649" s="2087"/>
      <c r="DR649" s="2085">
        <f t="shared" ref="DR649:DR657" si="40">IF(AND(CM649&gt;=1,AH787&gt;=0.1,AH787&lt;=1),O787,0)</f>
        <v>0</v>
      </c>
      <c r="DS649" s="2086"/>
      <c r="DT649" s="2086"/>
      <c r="DU649" s="2086"/>
      <c r="DV649" s="2087"/>
      <c r="DX649" s="2093" t="e">
        <f t="shared" si="23"/>
        <v>#VALUE!</v>
      </c>
      <c r="DY649" s="2093"/>
      <c r="DZ649" s="2093"/>
      <c r="EA649" s="2093"/>
      <c r="EB649" s="2093"/>
      <c r="EC649" s="2093" t="e">
        <f t="shared" si="24"/>
        <v>#VALUE!</v>
      </c>
      <c r="ED649" s="2093"/>
      <c r="EE649" s="2093"/>
      <c r="EF649" s="2093"/>
      <c r="EG649" s="2093"/>
      <c r="EH649" s="2093" t="e">
        <f t="shared" si="25"/>
        <v>#VALUE!</v>
      </c>
      <c r="EI649" s="2093"/>
      <c r="EJ649" s="2093"/>
      <c r="EK649" s="2093"/>
      <c r="EL649" s="2093"/>
      <c r="EM649" s="2093" t="e">
        <f t="shared" si="26"/>
        <v>#VALUE!</v>
      </c>
      <c r="EN649" s="2093"/>
      <c r="EO649" s="2093"/>
      <c r="EP649" s="2093"/>
      <c r="EQ649" s="2093"/>
      <c r="ER649" s="2093" t="e">
        <f t="shared" si="27"/>
        <v>#VALUE!</v>
      </c>
      <c r="ES649" s="2093"/>
      <c r="ET649" s="2093"/>
      <c r="EU649" s="2093"/>
      <c r="EV649" s="2093"/>
      <c r="EW649" s="2093" t="e">
        <f t="shared" si="28"/>
        <v>#VALUE!</v>
      </c>
      <c r="EX649" s="2093"/>
      <c r="EY649" s="2093"/>
      <c r="EZ649" s="2093"/>
      <c r="FA649" s="2093"/>
    </row>
    <row r="650" spans="1:157" ht="12.75" customHeight="1">
      <c r="B650" s="2409" t="s">
        <v>272</v>
      </c>
      <c r="C650" s="2410"/>
      <c r="D650" s="2410"/>
      <c r="E650" s="2410"/>
      <c r="F650" s="2410"/>
      <c r="G650" s="2410"/>
      <c r="H650" s="2410"/>
      <c r="I650" s="2410"/>
      <c r="J650" s="2410"/>
      <c r="K650" s="2410"/>
      <c r="L650" s="2410"/>
      <c r="M650" s="2410"/>
      <c r="N650" s="2410"/>
      <c r="O650" s="2410"/>
      <c r="P650" s="2410"/>
      <c r="Q650" s="2410"/>
      <c r="R650" s="2410"/>
      <c r="S650" s="2410"/>
      <c r="T650" s="2410"/>
      <c r="U650" s="2410"/>
      <c r="V650" s="2410"/>
      <c r="W650" s="2410"/>
      <c r="X650" s="2410"/>
      <c r="Y650" s="2410"/>
      <c r="Z650" s="2410"/>
      <c r="AA650" s="2410"/>
      <c r="AB650" s="2410"/>
      <c r="AC650" s="2410"/>
      <c r="AD650" s="2410"/>
      <c r="AE650" s="2410"/>
      <c r="AF650" s="2410"/>
      <c r="AG650" s="2410"/>
      <c r="AH650" s="2410"/>
      <c r="AI650" s="2410"/>
      <c r="AJ650" s="2410"/>
      <c r="AK650" s="2410"/>
      <c r="AL650" s="2410"/>
      <c r="AM650" s="2410"/>
      <c r="AN650" s="2411"/>
      <c r="AO650" s="2258">
        <v>13972335</v>
      </c>
      <c r="AP650" s="2259"/>
      <c r="AQ650" s="2259"/>
      <c r="AR650" s="2259"/>
      <c r="AS650" s="2260"/>
      <c r="AZ650" s="61"/>
      <c r="BA650" s="61"/>
      <c r="BB650" s="61"/>
      <c r="BC650" s="61"/>
      <c r="BD650" s="61"/>
      <c r="BE650" s="61"/>
      <c r="BF650" s="61"/>
      <c r="BG650" s="61"/>
      <c r="BH650" s="61"/>
      <c r="BI650" s="61"/>
      <c r="BJ650" s="61"/>
      <c r="BK650" s="61"/>
      <c r="BL650" s="61"/>
      <c r="BM650" s="61"/>
      <c r="BN650" s="2085">
        <f t="shared" si="29"/>
        <v>0</v>
      </c>
      <c r="BO650" s="2086"/>
      <c r="BP650" s="2086"/>
      <c r="BQ650" s="2086"/>
      <c r="BR650" s="2087"/>
      <c r="BS650" s="2092">
        <f t="shared" si="30"/>
        <v>0</v>
      </c>
      <c r="BT650" s="2092"/>
      <c r="BU650" s="2092"/>
      <c r="BV650" s="2092"/>
      <c r="BW650" s="2092"/>
      <c r="BX650" s="2092">
        <f t="shared" si="31"/>
        <v>0</v>
      </c>
      <c r="BY650" s="2092"/>
      <c r="BZ650" s="2092"/>
      <c r="CA650" s="2092"/>
      <c r="CB650" s="2092"/>
      <c r="CC650" s="2092">
        <f t="shared" si="32"/>
        <v>0</v>
      </c>
      <c r="CD650" s="2092"/>
      <c r="CE650" s="2092"/>
      <c r="CF650" s="2092"/>
      <c r="CG650" s="2092"/>
      <c r="CH650" s="2092">
        <f t="shared" si="33"/>
        <v>0</v>
      </c>
      <c r="CI650" s="2092"/>
      <c r="CJ650" s="2092"/>
      <c r="CK650" s="2092"/>
      <c r="CL650" s="2092"/>
      <c r="CM650" s="2092">
        <f t="shared" si="34"/>
        <v>0</v>
      </c>
      <c r="CN650" s="2092"/>
      <c r="CO650" s="2092"/>
      <c r="CP650" s="2092"/>
      <c r="CQ650" s="2092"/>
      <c r="CR650" s="265"/>
      <c r="CS650" s="2085">
        <f t="shared" si="35"/>
        <v>0</v>
      </c>
      <c r="CT650" s="2086"/>
      <c r="CU650" s="2086"/>
      <c r="CV650" s="2086"/>
      <c r="CW650" s="2087"/>
      <c r="CX650" s="2085">
        <f t="shared" si="36"/>
        <v>0</v>
      </c>
      <c r="CY650" s="2086"/>
      <c r="CZ650" s="2086"/>
      <c r="DA650" s="2086"/>
      <c r="DB650" s="2087"/>
      <c r="DC650" s="2085">
        <f t="shared" si="37"/>
        <v>0</v>
      </c>
      <c r="DD650" s="2086"/>
      <c r="DE650" s="2086"/>
      <c r="DF650" s="2086"/>
      <c r="DG650" s="2087"/>
      <c r="DH650" s="2085">
        <f t="shared" si="38"/>
        <v>0</v>
      </c>
      <c r="DI650" s="2086"/>
      <c r="DJ650" s="2086"/>
      <c r="DK650" s="2086"/>
      <c r="DL650" s="2087"/>
      <c r="DM650" s="2085">
        <f t="shared" si="39"/>
        <v>0</v>
      </c>
      <c r="DN650" s="2086"/>
      <c r="DO650" s="2086"/>
      <c r="DP650" s="2086"/>
      <c r="DQ650" s="2087"/>
      <c r="DR650" s="2085">
        <f t="shared" si="40"/>
        <v>0</v>
      </c>
      <c r="DS650" s="2086"/>
      <c r="DT650" s="2086"/>
      <c r="DU650" s="2086"/>
      <c r="DV650" s="2087"/>
      <c r="DX650" s="2093" t="e">
        <f t="shared" si="23"/>
        <v>#VALUE!</v>
      </c>
      <c r="DY650" s="2093"/>
      <c r="DZ650" s="2093"/>
      <c r="EA650" s="2093"/>
      <c r="EB650" s="2093"/>
      <c r="EC650" s="2093" t="e">
        <f t="shared" si="24"/>
        <v>#VALUE!</v>
      </c>
      <c r="ED650" s="2093"/>
      <c r="EE650" s="2093"/>
      <c r="EF650" s="2093"/>
      <c r="EG650" s="2093"/>
      <c r="EH650" s="2093" t="e">
        <f t="shared" si="25"/>
        <v>#VALUE!</v>
      </c>
      <c r="EI650" s="2093"/>
      <c r="EJ650" s="2093"/>
      <c r="EK650" s="2093"/>
      <c r="EL650" s="2093"/>
      <c r="EM650" s="2093" t="e">
        <f t="shared" si="26"/>
        <v>#VALUE!</v>
      </c>
      <c r="EN650" s="2093"/>
      <c r="EO650" s="2093"/>
      <c r="EP650" s="2093"/>
      <c r="EQ650" s="2093"/>
      <c r="ER650" s="2093" t="e">
        <f t="shared" si="27"/>
        <v>#VALUE!</v>
      </c>
      <c r="ES650" s="2093"/>
      <c r="ET650" s="2093"/>
      <c r="EU650" s="2093"/>
      <c r="EV650" s="2093"/>
      <c r="EW650" s="2093" t="e">
        <f t="shared" si="28"/>
        <v>#VALUE!</v>
      </c>
      <c r="EX650" s="2093"/>
      <c r="EY650" s="2093"/>
      <c r="EZ650" s="2093"/>
      <c r="FA650" s="2093"/>
    </row>
    <row r="651" spans="1:157" ht="12.75" customHeight="1">
      <c r="B651" s="2508" t="s">
        <v>273</v>
      </c>
      <c r="C651" s="2509"/>
      <c r="D651" s="2509"/>
      <c r="E651" s="2509"/>
      <c r="F651" s="2509"/>
      <c r="G651" s="2509"/>
      <c r="H651" s="2509"/>
      <c r="I651" s="2509"/>
      <c r="J651" s="2509"/>
      <c r="K651" s="2509"/>
      <c r="L651" s="2509"/>
      <c r="M651" s="2509"/>
      <c r="N651" s="2509"/>
      <c r="O651" s="2509"/>
      <c r="P651" s="2509"/>
      <c r="Q651" s="2509"/>
      <c r="R651" s="2509"/>
      <c r="S651" s="2509"/>
      <c r="T651" s="2509"/>
      <c r="U651" s="2509"/>
      <c r="V651" s="2509"/>
      <c r="W651" s="2509"/>
      <c r="X651" s="2509"/>
      <c r="Y651" s="2509"/>
      <c r="Z651" s="2509"/>
      <c r="AA651" s="2509"/>
      <c r="AB651" s="2509"/>
      <c r="AC651" s="2509"/>
      <c r="AD651" s="2509"/>
      <c r="AE651" s="2509"/>
      <c r="AF651" s="2509"/>
      <c r="AG651" s="2509"/>
      <c r="AH651" s="2509"/>
      <c r="AI651" s="2509"/>
      <c r="AJ651" s="2509"/>
      <c r="AK651" s="2509"/>
      <c r="AL651" s="2509"/>
      <c r="AM651" s="2509"/>
      <c r="AN651" s="2510"/>
      <c r="AO651" s="2414">
        <f>AO649+AO650</f>
        <v>34874041</v>
      </c>
      <c r="AP651" s="2415"/>
      <c r="AQ651" s="2415"/>
      <c r="AR651" s="2415"/>
      <c r="AS651" s="2416"/>
      <c r="AZ651" s="61"/>
      <c r="BA651" s="61"/>
      <c r="BB651" s="61"/>
      <c r="BC651" s="61"/>
      <c r="BD651" s="61"/>
      <c r="BE651" s="61"/>
      <c r="BF651" s="61"/>
      <c r="BG651" s="61"/>
      <c r="BH651" s="61"/>
      <c r="BI651" s="61"/>
      <c r="BJ651" s="61"/>
      <c r="BK651" s="61"/>
      <c r="BL651" s="61"/>
      <c r="BM651" s="61"/>
      <c r="BN651" s="2085">
        <f t="shared" si="29"/>
        <v>0</v>
      </c>
      <c r="BO651" s="2086"/>
      <c r="BP651" s="2086"/>
      <c r="BQ651" s="2086"/>
      <c r="BR651" s="2087"/>
      <c r="BS651" s="2092">
        <f t="shared" si="30"/>
        <v>0</v>
      </c>
      <c r="BT651" s="2092"/>
      <c r="BU651" s="2092"/>
      <c r="BV651" s="2092"/>
      <c r="BW651" s="2092"/>
      <c r="BX651" s="2092">
        <f t="shared" si="31"/>
        <v>0</v>
      </c>
      <c r="BY651" s="2092"/>
      <c r="BZ651" s="2092"/>
      <c r="CA651" s="2092"/>
      <c r="CB651" s="2092"/>
      <c r="CC651" s="2092">
        <f t="shared" si="32"/>
        <v>0</v>
      </c>
      <c r="CD651" s="2092"/>
      <c r="CE651" s="2092"/>
      <c r="CF651" s="2092"/>
      <c r="CG651" s="2092"/>
      <c r="CH651" s="2092">
        <f t="shared" si="33"/>
        <v>0</v>
      </c>
      <c r="CI651" s="2092"/>
      <c r="CJ651" s="2092"/>
      <c r="CK651" s="2092"/>
      <c r="CL651" s="2092"/>
      <c r="CM651" s="2092">
        <f t="shared" si="34"/>
        <v>0</v>
      </c>
      <c r="CN651" s="2092"/>
      <c r="CO651" s="2092"/>
      <c r="CP651" s="2092"/>
      <c r="CQ651" s="2092"/>
      <c r="CR651" s="265"/>
      <c r="CS651" s="2085">
        <f t="shared" si="35"/>
        <v>0</v>
      </c>
      <c r="CT651" s="2086"/>
      <c r="CU651" s="2086"/>
      <c r="CV651" s="2086"/>
      <c r="CW651" s="2087"/>
      <c r="CX651" s="2085">
        <f t="shared" si="36"/>
        <v>0</v>
      </c>
      <c r="CY651" s="2086"/>
      <c r="CZ651" s="2086"/>
      <c r="DA651" s="2086"/>
      <c r="DB651" s="2087"/>
      <c r="DC651" s="2085">
        <f t="shared" si="37"/>
        <v>0</v>
      </c>
      <c r="DD651" s="2086"/>
      <c r="DE651" s="2086"/>
      <c r="DF651" s="2086"/>
      <c r="DG651" s="2087"/>
      <c r="DH651" s="2085">
        <f t="shared" si="38"/>
        <v>0</v>
      </c>
      <c r="DI651" s="2086"/>
      <c r="DJ651" s="2086"/>
      <c r="DK651" s="2086"/>
      <c r="DL651" s="2087"/>
      <c r="DM651" s="2085">
        <f t="shared" si="39"/>
        <v>0</v>
      </c>
      <c r="DN651" s="2086"/>
      <c r="DO651" s="2086"/>
      <c r="DP651" s="2086"/>
      <c r="DQ651" s="2087"/>
      <c r="DR651" s="2085">
        <f t="shared" si="40"/>
        <v>0</v>
      </c>
      <c r="DS651" s="2086"/>
      <c r="DT651" s="2086"/>
      <c r="DU651" s="2086"/>
      <c r="DV651" s="2087"/>
      <c r="DX651" s="2093" t="e">
        <f t="shared" si="23"/>
        <v>#VALUE!</v>
      </c>
      <c r="DY651" s="2093"/>
      <c r="DZ651" s="2093"/>
      <c r="EA651" s="2093"/>
      <c r="EB651" s="2093"/>
      <c r="EC651" s="2093" t="e">
        <f t="shared" si="24"/>
        <v>#VALUE!</v>
      </c>
      <c r="ED651" s="2093"/>
      <c r="EE651" s="2093"/>
      <c r="EF651" s="2093"/>
      <c r="EG651" s="2093"/>
      <c r="EH651" s="2093" t="e">
        <f t="shared" si="25"/>
        <v>#VALUE!</v>
      </c>
      <c r="EI651" s="2093"/>
      <c r="EJ651" s="2093"/>
      <c r="EK651" s="2093"/>
      <c r="EL651" s="2093"/>
      <c r="EM651" s="2093" t="e">
        <f t="shared" si="26"/>
        <v>#VALUE!</v>
      </c>
      <c r="EN651" s="2093"/>
      <c r="EO651" s="2093"/>
      <c r="EP651" s="2093"/>
      <c r="EQ651" s="2093"/>
      <c r="ER651" s="2093" t="e">
        <f t="shared" si="27"/>
        <v>#VALUE!</v>
      </c>
      <c r="ES651" s="2093"/>
      <c r="ET651" s="2093"/>
      <c r="EU651" s="2093"/>
      <c r="EV651" s="2093"/>
      <c r="EW651" s="2093" t="e">
        <f t="shared" si="28"/>
        <v>#VALUE!</v>
      </c>
      <c r="EX651" s="2093"/>
      <c r="EY651" s="2093"/>
      <c r="EZ651" s="2093"/>
      <c r="FA651" s="209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85">
        <f t="shared" si="29"/>
        <v>0</v>
      </c>
      <c r="BO652" s="2086"/>
      <c r="BP652" s="2086"/>
      <c r="BQ652" s="2086"/>
      <c r="BR652" s="2087"/>
      <c r="BS652" s="2092">
        <f t="shared" si="30"/>
        <v>0</v>
      </c>
      <c r="BT652" s="2092"/>
      <c r="BU652" s="2092"/>
      <c r="BV652" s="2092"/>
      <c r="BW652" s="2092"/>
      <c r="BX652" s="2092">
        <f t="shared" si="31"/>
        <v>0</v>
      </c>
      <c r="BY652" s="2092"/>
      <c r="BZ652" s="2092"/>
      <c r="CA652" s="2092"/>
      <c r="CB652" s="2092"/>
      <c r="CC652" s="2092">
        <f t="shared" si="32"/>
        <v>0</v>
      </c>
      <c r="CD652" s="2092"/>
      <c r="CE652" s="2092"/>
      <c r="CF652" s="2092"/>
      <c r="CG652" s="2092"/>
      <c r="CH652" s="2092">
        <f t="shared" si="33"/>
        <v>0</v>
      </c>
      <c r="CI652" s="2092"/>
      <c r="CJ652" s="2092"/>
      <c r="CK652" s="2092"/>
      <c r="CL652" s="2092"/>
      <c r="CM652" s="2092">
        <f t="shared" si="34"/>
        <v>0</v>
      </c>
      <c r="CN652" s="2092"/>
      <c r="CO652" s="2092"/>
      <c r="CP652" s="2092"/>
      <c r="CQ652" s="2092"/>
      <c r="CR652" s="265"/>
      <c r="CS652" s="2085">
        <f t="shared" si="35"/>
        <v>0</v>
      </c>
      <c r="CT652" s="2086"/>
      <c r="CU652" s="2086"/>
      <c r="CV652" s="2086"/>
      <c r="CW652" s="2087"/>
      <c r="CX652" s="2085">
        <f t="shared" si="36"/>
        <v>0</v>
      </c>
      <c r="CY652" s="2086"/>
      <c r="CZ652" s="2086"/>
      <c r="DA652" s="2086"/>
      <c r="DB652" s="2087"/>
      <c r="DC652" s="2085">
        <f t="shared" si="37"/>
        <v>0</v>
      </c>
      <c r="DD652" s="2086"/>
      <c r="DE652" s="2086"/>
      <c r="DF652" s="2086"/>
      <c r="DG652" s="2087"/>
      <c r="DH652" s="2085">
        <f t="shared" si="38"/>
        <v>0</v>
      </c>
      <c r="DI652" s="2086"/>
      <c r="DJ652" s="2086"/>
      <c r="DK652" s="2086"/>
      <c r="DL652" s="2087"/>
      <c r="DM652" s="2085">
        <f t="shared" si="39"/>
        <v>0</v>
      </c>
      <c r="DN652" s="2086"/>
      <c r="DO652" s="2086"/>
      <c r="DP652" s="2086"/>
      <c r="DQ652" s="2087"/>
      <c r="DR652" s="2085">
        <f t="shared" si="40"/>
        <v>0</v>
      </c>
      <c r="DS652" s="2086"/>
      <c r="DT652" s="2086"/>
      <c r="DU652" s="2086"/>
      <c r="DV652" s="2087"/>
      <c r="DX652" s="2093" t="e">
        <f t="shared" si="23"/>
        <v>#VALUE!</v>
      </c>
      <c r="DY652" s="2093"/>
      <c r="DZ652" s="2093"/>
      <c r="EA652" s="2093"/>
      <c r="EB652" s="2093"/>
      <c r="EC652" s="2093" t="e">
        <f t="shared" si="24"/>
        <v>#VALUE!</v>
      </c>
      <c r="ED652" s="2093"/>
      <c r="EE652" s="2093"/>
      <c r="EF652" s="2093"/>
      <c r="EG652" s="2093"/>
      <c r="EH652" s="2093" t="e">
        <f t="shared" si="25"/>
        <v>#VALUE!</v>
      </c>
      <c r="EI652" s="2093"/>
      <c r="EJ652" s="2093"/>
      <c r="EK652" s="2093"/>
      <c r="EL652" s="2093"/>
      <c r="EM652" s="2093" t="e">
        <f t="shared" si="26"/>
        <v>#VALUE!</v>
      </c>
      <c r="EN652" s="2093"/>
      <c r="EO652" s="2093"/>
      <c r="EP652" s="2093"/>
      <c r="EQ652" s="2093"/>
      <c r="ER652" s="2093" t="e">
        <f t="shared" si="27"/>
        <v>#VALUE!</v>
      </c>
      <c r="ES652" s="2093"/>
      <c r="ET652" s="2093"/>
      <c r="EU652" s="2093"/>
      <c r="EV652" s="2093"/>
      <c r="EW652" s="2093" t="e">
        <f t="shared" si="28"/>
        <v>#VALUE!</v>
      </c>
      <c r="EX652" s="2093"/>
      <c r="EY652" s="2093"/>
      <c r="EZ652" s="2093"/>
      <c r="FA652" s="2093"/>
    </row>
    <row r="653" spans="1:157" ht="12.75">
      <c r="A653" s="87" t="s">
        <v>117</v>
      </c>
      <c r="B653" s="12" t="s">
        <v>488</v>
      </c>
      <c r="G653" s="2088" t="str">
        <f>C637</f>
        <v>Tax-Exempt Permanent Loan</v>
      </c>
      <c r="H653" s="2088"/>
      <c r="I653" s="2088"/>
      <c r="J653" s="2088"/>
      <c r="K653" s="2088"/>
      <c r="L653" s="2088"/>
      <c r="M653" s="2088"/>
      <c r="N653" s="2088"/>
      <c r="O653" s="2088"/>
      <c r="P653" s="2088"/>
      <c r="Q653" s="2088"/>
      <c r="R653" s="2088"/>
      <c r="S653" s="14"/>
      <c r="T653" s="87" t="s">
        <v>118</v>
      </c>
      <c r="U653" s="12" t="s">
        <v>488</v>
      </c>
      <c r="Z653" s="2088" t="str">
        <f>C638</f>
        <v>CA HCD - VHHP</v>
      </c>
      <c r="AA653" s="2088"/>
      <c r="AB653" s="2088"/>
      <c r="AC653" s="2088"/>
      <c r="AD653" s="2088"/>
      <c r="AE653" s="2088"/>
      <c r="AF653" s="2088"/>
      <c r="AG653" s="2088"/>
      <c r="AH653" s="2088"/>
      <c r="AI653" s="2088"/>
      <c r="AJ653" s="2088"/>
      <c r="AK653" s="2088"/>
      <c r="AZ653" s="61"/>
      <c r="BA653" s="61"/>
      <c r="BB653" s="61"/>
      <c r="BC653" s="61"/>
      <c r="BD653" s="61"/>
      <c r="BE653" s="61"/>
      <c r="BF653" s="61"/>
      <c r="BG653" s="61"/>
      <c r="BH653" s="61"/>
      <c r="BI653" s="61"/>
      <c r="BJ653" s="61"/>
      <c r="BK653" s="61"/>
      <c r="BL653" s="61"/>
      <c r="BM653" s="61"/>
      <c r="BN653" s="2085">
        <f t="shared" si="29"/>
        <v>0</v>
      </c>
      <c r="BO653" s="2086"/>
      <c r="BP653" s="2086"/>
      <c r="BQ653" s="2086"/>
      <c r="BR653" s="2087"/>
      <c r="BS653" s="2092">
        <f t="shared" si="30"/>
        <v>0</v>
      </c>
      <c r="BT653" s="2092"/>
      <c r="BU653" s="2092"/>
      <c r="BV653" s="2092"/>
      <c r="BW653" s="2092"/>
      <c r="BX653" s="2092">
        <f t="shared" si="31"/>
        <v>0</v>
      </c>
      <c r="BY653" s="2092"/>
      <c r="BZ653" s="2092"/>
      <c r="CA653" s="2092"/>
      <c r="CB653" s="2092"/>
      <c r="CC653" s="2092">
        <f t="shared" si="32"/>
        <v>0</v>
      </c>
      <c r="CD653" s="2092"/>
      <c r="CE653" s="2092"/>
      <c r="CF653" s="2092"/>
      <c r="CG653" s="2092"/>
      <c r="CH653" s="2092">
        <f t="shared" si="33"/>
        <v>0</v>
      </c>
      <c r="CI653" s="2092"/>
      <c r="CJ653" s="2092"/>
      <c r="CK653" s="2092"/>
      <c r="CL653" s="2092"/>
      <c r="CM653" s="2092">
        <f t="shared" si="34"/>
        <v>0</v>
      </c>
      <c r="CN653" s="2092"/>
      <c r="CO653" s="2092"/>
      <c r="CP653" s="2092"/>
      <c r="CQ653" s="2092"/>
      <c r="CR653" s="265"/>
      <c r="CS653" s="2085">
        <f t="shared" si="35"/>
        <v>0</v>
      </c>
      <c r="CT653" s="2086"/>
      <c r="CU653" s="2086"/>
      <c r="CV653" s="2086"/>
      <c r="CW653" s="2087"/>
      <c r="CX653" s="2085">
        <f t="shared" si="36"/>
        <v>0</v>
      </c>
      <c r="CY653" s="2086"/>
      <c r="CZ653" s="2086"/>
      <c r="DA653" s="2086"/>
      <c r="DB653" s="2087"/>
      <c r="DC653" s="2085">
        <f t="shared" si="37"/>
        <v>0</v>
      </c>
      <c r="DD653" s="2086"/>
      <c r="DE653" s="2086"/>
      <c r="DF653" s="2086"/>
      <c r="DG653" s="2087"/>
      <c r="DH653" s="2085">
        <f t="shared" si="38"/>
        <v>0</v>
      </c>
      <c r="DI653" s="2086"/>
      <c r="DJ653" s="2086"/>
      <c r="DK653" s="2086"/>
      <c r="DL653" s="2087"/>
      <c r="DM653" s="2085">
        <f t="shared" si="39"/>
        <v>0</v>
      </c>
      <c r="DN653" s="2086"/>
      <c r="DO653" s="2086"/>
      <c r="DP653" s="2086"/>
      <c r="DQ653" s="2087"/>
      <c r="DR653" s="2085">
        <f t="shared" si="40"/>
        <v>0</v>
      </c>
      <c r="DS653" s="2086"/>
      <c r="DT653" s="2086"/>
      <c r="DU653" s="2086"/>
      <c r="DV653" s="2087"/>
      <c r="DX653" s="2093" t="e">
        <f t="shared" si="23"/>
        <v>#VALUE!</v>
      </c>
      <c r="DY653" s="2093"/>
      <c r="DZ653" s="2093"/>
      <c r="EA653" s="2093"/>
      <c r="EB653" s="2093"/>
      <c r="EC653" s="2093" t="e">
        <f t="shared" si="24"/>
        <v>#VALUE!</v>
      </c>
      <c r="ED653" s="2093"/>
      <c r="EE653" s="2093"/>
      <c r="EF653" s="2093"/>
      <c r="EG653" s="2093"/>
      <c r="EH653" s="2093" t="e">
        <f t="shared" si="25"/>
        <v>#VALUE!</v>
      </c>
      <c r="EI653" s="2093"/>
      <c r="EJ653" s="2093"/>
      <c r="EK653" s="2093"/>
      <c r="EL653" s="2093"/>
      <c r="EM653" s="2093" t="e">
        <f t="shared" si="26"/>
        <v>#VALUE!</v>
      </c>
      <c r="EN653" s="2093"/>
      <c r="EO653" s="2093"/>
      <c r="EP653" s="2093"/>
      <c r="EQ653" s="2093"/>
      <c r="ER653" s="2093" t="e">
        <f t="shared" si="27"/>
        <v>#VALUE!</v>
      </c>
      <c r="ES653" s="2093"/>
      <c r="ET653" s="2093"/>
      <c r="EU653" s="2093"/>
      <c r="EV653" s="2093"/>
      <c r="EW653" s="2093" t="e">
        <f t="shared" si="28"/>
        <v>#VALUE!</v>
      </c>
      <c r="EX653" s="2093"/>
      <c r="EY653" s="2093"/>
      <c r="EZ653" s="2093"/>
      <c r="FA653" s="2093"/>
    </row>
    <row r="654" spans="1:157" ht="12.75">
      <c r="A654" s="35"/>
      <c r="B654" s="12" t="s">
        <v>90</v>
      </c>
      <c r="G654" s="2122" t="str">
        <f>G579</f>
        <v>300 South Grand Avenue, Ste 3110</v>
      </c>
      <c r="H654" s="2122"/>
      <c r="I654" s="2122"/>
      <c r="J654" s="2122"/>
      <c r="K654" s="2122"/>
      <c r="L654" s="2122"/>
      <c r="M654" s="2122"/>
      <c r="N654" s="2122"/>
      <c r="O654" s="2122"/>
      <c r="P654" s="2122"/>
      <c r="Q654" s="2122"/>
      <c r="R654" s="2122"/>
      <c r="S654" s="14"/>
      <c r="T654" s="35"/>
      <c r="U654" s="12" t="s">
        <v>90</v>
      </c>
      <c r="Z654" s="2122" t="s">
        <v>2743</v>
      </c>
      <c r="AA654" s="2122"/>
      <c r="AB654" s="2122"/>
      <c r="AC654" s="2122"/>
      <c r="AD654" s="2122"/>
      <c r="AE654" s="2122"/>
      <c r="AF654" s="2122"/>
      <c r="AG654" s="2122"/>
      <c r="AH654" s="2122"/>
      <c r="AI654" s="2122"/>
      <c r="AJ654" s="2122"/>
      <c r="AK654" s="2122"/>
      <c r="AZ654" s="61"/>
      <c r="BA654" s="61"/>
      <c r="BB654" s="61"/>
      <c r="BC654" s="61"/>
      <c r="BD654" s="61"/>
      <c r="BE654" s="61"/>
      <c r="BF654" s="61"/>
      <c r="BG654" s="61"/>
      <c r="BH654" s="61"/>
      <c r="BI654" s="61"/>
      <c r="BJ654" s="61"/>
      <c r="BK654" s="61"/>
      <c r="BL654" s="61"/>
      <c r="BM654" s="61"/>
      <c r="BN654" s="2085">
        <f t="shared" si="29"/>
        <v>0</v>
      </c>
      <c r="BO654" s="2086"/>
      <c r="BP654" s="2086"/>
      <c r="BQ654" s="2086"/>
      <c r="BR654" s="2087"/>
      <c r="BS654" s="2092">
        <f t="shared" si="30"/>
        <v>0</v>
      </c>
      <c r="BT654" s="2092"/>
      <c r="BU654" s="2092"/>
      <c r="BV654" s="2092"/>
      <c r="BW654" s="2092"/>
      <c r="BX654" s="2092">
        <f t="shared" si="31"/>
        <v>0</v>
      </c>
      <c r="BY654" s="2092"/>
      <c r="BZ654" s="2092"/>
      <c r="CA654" s="2092"/>
      <c r="CB654" s="2092"/>
      <c r="CC654" s="2092">
        <f t="shared" si="32"/>
        <v>0</v>
      </c>
      <c r="CD654" s="2092"/>
      <c r="CE654" s="2092"/>
      <c r="CF654" s="2092"/>
      <c r="CG654" s="2092"/>
      <c r="CH654" s="2092">
        <f t="shared" si="33"/>
        <v>0</v>
      </c>
      <c r="CI654" s="2092"/>
      <c r="CJ654" s="2092"/>
      <c r="CK654" s="2092"/>
      <c r="CL654" s="2092"/>
      <c r="CM654" s="2092">
        <f t="shared" si="34"/>
        <v>0</v>
      </c>
      <c r="CN654" s="2092"/>
      <c r="CO654" s="2092"/>
      <c r="CP654" s="2092"/>
      <c r="CQ654" s="2092"/>
      <c r="CR654" s="265"/>
      <c r="CS654" s="2085">
        <f t="shared" si="35"/>
        <v>0</v>
      </c>
      <c r="CT654" s="2086"/>
      <c r="CU654" s="2086"/>
      <c r="CV654" s="2086"/>
      <c r="CW654" s="2087"/>
      <c r="CX654" s="2085">
        <f t="shared" si="36"/>
        <v>0</v>
      </c>
      <c r="CY654" s="2086"/>
      <c r="CZ654" s="2086"/>
      <c r="DA654" s="2086"/>
      <c r="DB654" s="2087"/>
      <c r="DC654" s="2085">
        <f t="shared" si="37"/>
        <v>0</v>
      </c>
      <c r="DD654" s="2086"/>
      <c r="DE654" s="2086"/>
      <c r="DF654" s="2086"/>
      <c r="DG654" s="2087"/>
      <c r="DH654" s="2085">
        <f t="shared" si="38"/>
        <v>0</v>
      </c>
      <c r="DI654" s="2086"/>
      <c r="DJ654" s="2086"/>
      <c r="DK654" s="2086"/>
      <c r="DL654" s="2087"/>
      <c r="DM654" s="2085">
        <f t="shared" si="39"/>
        <v>0</v>
      </c>
      <c r="DN654" s="2086"/>
      <c r="DO654" s="2086"/>
      <c r="DP654" s="2086"/>
      <c r="DQ654" s="2087"/>
      <c r="DR654" s="2085">
        <f t="shared" si="40"/>
        <v>0</v>
      </c>
      <c r="DS654" s="2086"/>
      <c r="DT654" s="2086"/>
      <c r="DU654" s="2086"/>
      <c r="DV654" s="2087"/>
      <c r="DX654" s="2093" t="e">
        <f t="shared" si="23"/>
        <v>#VALUE!</v>
      </c>
      <c r="DY654" s="2093"/>
      <c r="DZ654" s="2093"/>
      <c r="EA654" s="2093"/>
      <c r="EB654" s="2093"/>
      <c r="EC654" s="2093" t="e">
        <f t="shared" si="24"/>
        <v>#VALUE!</v>
      </c>
      <c r="ED654" s="2093"/>
      <c r="EE654" s="2093"/>
      <c r="EF654" s="2093"/>
      <c r="EG654" s="2093"/>
      <c r="EH654" s="2093" t="e">
        <f t="shared" si="25"/>
        <v>#VALUE!</v>
      </c>
      <c r="EI654" s="2093"/>
      <c r="EJ654" s="2093"/>
      <c r="EK654" s="2093"/>
      <c r="EL654" s="2093"/>
      <c r="EM654" s="2093" t="e">
        <f t="shared" si="26"/>
        <v>#VALUE!</v>
      </c>
      <c r="EN654" s="2093"/>
      <c r="EO654" s="2093"/>
      <c r="EP654" s="2093"/>
      <c r="EQ654" s="2093"/>
      <c r="ER654" s="2093" t="e">
        <f t="shared" si="27"/>
        <v>#VALUE!</v>
      </c>
      <c r="ES654" s="2093"/>
      <c r="ET654" s="2093"/>
      <c r="EU654" s="2093"/>
      <c r="EV654" s="2093"/>
      <c r="EW654" s="2093" t="e">
        <f t="shared" si="28"/>
        <v>#VALUE!</v>
      </c>
      <c r="EX654" s="2093"/>
      <c r="EY654" s="2093"/>
      <c r="EZ654" s="2093"/>
      <c r="FA654" s="2093"/>
    </row>
    <row r="655" spans="1:157" ht="12.75">
      <c r="A655" s="35"/>
      <c r="B655" s="12" t="s">
        <v>606</v>
      </c>
      <c r="G655" s="2122" t="str">
        <f>G580</f>
        <v>Los Angeles, CA 90071</v>
      </c>
      <c r="H655" s="2122"/>
      <c r="I655" s="2122"/>
      <c r="J655" s="2122"/>
      <c r="K655" s="2122"/>
      <c r="L655" s="2122"/>
      <c r="M655" s="2122"/>
      <c r="N655" s="2122"/>
      <c r="O655" s="2122"/>
      <c r="P655" s="2122"/>
      <c r="Q655" s="2122"/>
      <c r="R655" s="2122"/>
      <c r="S655" s="88"/>
      <c r="T655" s="35"/>
      <c r="U655" s="12" t="s">
        <v>606</v>
      </c>
      <c r="Z655" s="2095" t="s">
        <v>2744</v>
      </c>
      <c r="AA655" s="2095"/>
      <c r="AB655" s="2095"/>
      <c r="AC655" s="2095"/>
      <c r="AD655" s="2095"/>
      <c r="AE655" s="2095"/>
      <c r="AF655" s="2095"/>
      <c r="AG655" s="2095"/>
      <c r="AH655" s="2095"/>
      <c r="AI655" s="2095"/>
      <c r="AJ655" s="2095"/>
      <c r="AK655" s="2095"/>
      <c r="AZ655" s="61"/>
      <c r="BA655" s="61"/>
      <c r="BB655" s="61"/>
      <c r="BC655" s="61"/>
      <c r="BD655" s="61"/>
      <c r="BE655" s="61"/>
      <c r="BF655" s="61"/>
      <c r="BG655" s="61"/>
      <c r="BH655" s="61"/>
      <c r="BI655" s="61"/>
      <c r="BJ655" s="61"/>
      <c r="BK655" s="61"/>
      <c r="BL655" s="61"/>
      <c r="BM655" s="61"/>
      <c r="BN655" s="2085">
        <f t="shared" si="29"/>
        <v>0</v>
      </c>
      <c r="BO655" s="2086"/>
      <c r="BP655" s="2086"/>
      <c r="BQ655" s="2086"/>
      <c r="BR655" s="2087"/>
      <c r="BS655" s="2092">
        <f t="shared" si="30"/>
        <v>0</v>
      </c>
      <c r="BT655" s="2092"/>
      <c r="BU655" s="2092"/>
      <c r="BV655" s="2092"/>
      <c r="BW655" s="2092"/>
      <c r="BX655" s="2092">
        <f t="shared" si="31"/>
        <v>0</v>
      </c>
      <c r="BY655" s="2092"/>
      <c r="BZ655" s="2092"/>
      <c r="CA655" s="2092"/>
      <c r="CB655" s="2092"/>
      <c r="CC655" s="2092">
        <f t="shared" si="32"/>
        <v>0</v>
      </c>
      <c r="CD655" s="2092"/>
      <c r="CE655" s="2092"/>
      <c r="CF655" s="2092"/>
      <c r="CG655" s="2092"/>
      <c r="CH655" s="2092">
        <f t="shared" si="33"/>
        <v>0</v>
      </c>
      <c r="CI655" s="2092"/>
      <c r="CJ655" s="2092"/>
      <c r="CK655" s="2092"/>
      <c r="CL655" s="2092"/>
      <c r="CM655" s="2092">
        <f t="shared" si="34"/>
        <v>0</v>
      </c>
      <c r="CN655" s="2092"/>
      <c r="CO655" s="2092"/>
      <c r="CP655" s="2092"/>
      <c r="CQ655" s="2092"/>
      <c r="CR655" s="265"/>
      <c r="CS655" s="2085">
        <f t="shared" si="35"/>
        <v>0</v>
      </c>
      <c r="CT655" s="2086"/>
      <c r="CU655" s="2086"/>
      <c r="CV655" s="2086"/>
      <c r="CW655" s="2087"/>
      <c r="CX655" s="2085">
        <f t="shared" si="36"/>
        <v>0</v>
      </c>
      <c r="CY655" s="2086"/>
      <c r="CZ655" s="2086"/>
      <c r="DA655" s="2086"/>
      <c r="DB655" s="2087"/>
      <c r="DC655" s="2085">
        <f t="shared" si="37"/>
        <v>0</v>
      </c>
      <c r="DD655" s="2086"/>
      <c r="DE655" s="2086"/>
      <c r="DF655" s="2086"/>
      <c r="DG655" s="2087"/>
      <c r="DH655" s="2085">
        <f t="shared" si="38"/>
        <v>0</v>
      </c>
      <c r="DI655" s="2086"/>
      <c r="DJ655" s="2086"/>
      <c r="DK655" s="2086"/>
      <c r="DL655" s="2087"/>
      <c r="DM655" s="2085">
        <f t="shared" si="39"/>
        <v>0</v>
      </c>
      <c r="DN655" s="2086"/>
      <c r="DO655" s="2086"/>
      <c r="DP655" s="2086"/>
      <c r="DQ655" s="2087"/>
      <c r="DR655" s="2085">
        <f t="shared" si="40"/>
        <v>0</v>
      </c>
      <c r="DS655" s="2086"/>
      <c r="DT655" s="2086"/>
      <c r="DU655" s="2086"/>
      <c r="DV655" s="2087"/>
      <c r="DX655" s="2093" t="e">
        <f t="shared" si="23"/>
        <v>#VALUE!</v>
      </c>
      <c r="DY655" s="2093"/>
      <c r="DZ655" s="2093"/>
      <c r="EA655" s="2093"/>
      <c r="EB655" s="2093"/>
      <c r="EC655" s="2093" t="e">
        <f t="shared" si="24"/>
        <v>#VALUE!</v>
      </c>
      <c r="ED655" s="2093"/>
      <c r="EE655" s="2093"/>
      <c r="EF655" s="2093"/>
      <c r="EG655" s="2093"/>
      <c r="EH655" s="2093" t="e">
        <f t="shared" si="25"/>
        <v>#VALUE!</v>
      </c>
      <c r="EI655" s="2093"/>
      <c r="EJ655" s="2093"/>
      <c r="EK655" s="2093"/>
      <c r="EL655" s="2093"/>
      <c r="EM655" s="2093" t="e">
        <f t="shared" si="26"/>
        <v>#VALUE!</v>
      </c>
      <c r="EN655" s="2093"/>
      <c r="EO655" s="2093"/>
      <c r="EP655" s="2093"/>
      <c r="EQ655" s="2093"/>
      <c r="ER655" s="2093" t="e">
        <f t="shared" si="27"/>
        <v>#VALUE!</v>
      </c>
      <c r="ES655" s="2093"/>
      <c r="ET655" s="2093"/>
      <c r="EU655" s="2093"/>
      <c r="EV655" s="2093"/>
      <c r="EW655" s="2093" t="e">
        <f t="shared" si="28"/>
        <v>#VALUE!</v>
      </c>
      <c r="EX655" s="2093"/>
      <c r="EY655" s="2093"/>
      <c r="EZ655" s="2093"/>
      <c r="FA655" s="2093"/>
    </row>
    <row r="656" spans="1:157" ht="12.75">
      <c r="A656" s="35"/>
      <c r="B656" s="12" t="s">
        <v>17</v>
      </c>
      <c r="G656" s="2122" t="str">
        <f>G581</f>
        <v>Hao Li</v>
      </c>
      <c r="H656" s="2122"/>
      <c r="I656" s="2122"/>
      <c r="J656" s="2122"/>
      <c r="K656" s="2122"/>
      <c r="L656" s="2122"/>
      <c r="M656" s="2122"/>
      <c r="N656" s="2122"/>
      <c r="O656" s="2122"/>
      <c r="P656" s="2122"/>
      <c r="Q656" s="2122"/>
      <c r="R656" s="2122"/>
      <c r="S656" s="14"/>
      <c r="T656" s="35"/>
      <c r="U656" s="12" t="s">
        <v>17</v>
      </c>
      <c r="Z656" s="2095" t="s">
        <v>2745</v>
      </c>
      <c r="AA656" s="2095"/>
      <c r="AB656" s="2095"/>
      <c r="AC656" s="2095"/>
      <c r="AD656" s="2095"/>
      <c r="AE656" s="2095"/>
      <c r="AF656" s="2095"/>
      <c r="AG656" s="2095"/>
      <c r="AH656" s="2095"/>
      <c r="AI656" s="2095"/>
      <c r="AJ656" s="2095"/>
      <c r="AK656" s="2095"/>
      <c r="AZ656" s="61"/>
      <c r="BA656" s="61"/>
      <c r="BB656" s="61"/>
      <c r="BC656" s="61"/>
      <c r="BD656" s="61"/>
      <c r="BE656" s="61"/>
      <c r="BF656" s="61"/>
      <c r="BG656" s="61"/>
      <c r="BH656" s="61"/>
      <c r="BI656" s="61"/>
      <c r="BJ656" s="61"/>
      <c r="BK656" s="61"/>
      <c r="BL656" s="61"/>
      <c r="BM656" s="61"/>
      <c r="BN656" s="2085">
        <f t="shared" si="29"/>
        <v>0</v>
      </c>
      <c r="BO656" s="2086"/>
      <c r="BP656" s="2086"/>
      <c r="BQ656" s="2086"/>
      <c r="BR656" s="2087"/>
      <c r="BS656" s="2092">
        <f t="shared" si="30"/>
        <v>0</v>
      </c>
      <c r="BT656" s="2092"/>
      <c r="BU656" s="2092"/>
      <c r="BV656" s="2092"/>
      <c r="BW656" s="2092"/>
      <c r="BX656" s="2092">
        <f t="shared" si="31"/>
        <v>0</v>
      </c>
      <c r="BY656" s="2092"/>
      <c r="BZ656" s="2092"/>
      <c r="CA656" s="2092"/>
      <c r="CB656" s="2092"/>
      <c r="CC656" s="2092">
        <f t="shared" si="32"/>
        <v>0</v>
      </c>
      <c r="CD656" s="2092"/>
      <c r="CE656" s="2092"/>
      <c r="CF656" s="2092"/>
      <c r="CG656" s="2092"/>
      <c r="CH656" s="2092">
        <f t="shared" si="33"/>
        <v>0</v>
      </c>
      <c r="CI656" s="2092"/>
      <c r="CJ656" s="2092"/>
      <c r="CK656" s="2092"/>
      <c r="CL656" s="2092"/>
      <c r="CM656" s="2092">
        <f t="shared" si="34"/>
        <v>0</v>
      </c>
      <c r="CN656" s="2092"/>
      <c r="CO656" s="2092"/>
      <c r="CP656" s="2092"/>
      <c r="CQ656" s="2092"/>
      <c r="CR656" s="265"/>
      <c r="CS656" s="2085">
        <f t="shared" si="35"/>
        <v>0</v>
      </c>
      <c r="CT656" s="2086"/>
      <c r="CU656" s="2086"/>
      <c r="CV656" s="2086"/>
      <c r="CW656" s="2087"/>
      <c r="CX656" s="2085">
        <f t="shared" si="36"/>
        <v>0</v>
      </c>
      <c r="CY656" s="2086"/>
      <c r="CZ656" s="2086"/>
      <c r="DA656" s="2086"/>
      <c r="DB656" s="2087"/>
      <c r="DC656" s="2085">
        <f t="shared" si="37"/>
        <v>0</v>
      </c>
      <c r="DD656" s="2086"/>
      <c r="DE656" s="2086"/>
      <c r="DF656" s="2086"/>
      <c r="DG656" s="2087"/>
      <c r="DH656" s="2085">
        <f t="shared" si="38"/>
        <v>0</v>
      </c>
      <c r="DI656" s="2086"/>
      <c r="DJ656" s="2086"/>
      <c r="DK656" s="2086"/>
      <c r="DL656" s="2087"/>
      <c r="DM656" s="2085">
        <f t="shared" si="39"/>
        <v>0</v>
      </c>
      <c r="DN656" s="2086"/>
      <c r="DO656" s="2086"/>
      <c r="DP656" s="2086"/>
      <c r="DQ656" s="2087"/>
      <c r="DR656" s="2085">
        <f t="shared" si="40"/>
        <v>0</v>
      </c>
      <c r="DS656" s="2086"/>
      <c r="DT656" s="2086"/>
      <c r="DU656" s="2086"/>
      <c r="DV656" s="2087"/>
      <c r="DX656" s="2093" t="e">
        <f t="shared" si="23"/>
        <v>#VALUE!</v>
      </c>
      <c r="DY656" s="2093"/>
      <c r="DZ656" s="2093"/>
      <c r="EA656" s="2093"/>
      <c r="EB656" s="2093"/>
      <c r="EC656" s="2093" t="e">
        <f t="shared" si="24"/>
        <v>#VALUE!</v>
      </c>
      <c r="ED656" s="2093"/>
      <c r="EE656" s="2093"/>
      <c r="EF656" s="2093"/>
      <c r="EG656" s="2093"/>
      <c r="EH656" s="2093" t="e">
        <f t="shared" si="25"/>
        <v>#VALUE!</v>
      </c>
      <c r="EI656" s="2093"/>
      <c r="EJ656" s="2093"/>
      <c r="EK656" s="2093"/>
      <c r="EL656" s="2093"/>
      <c r="EM656" s="2093" t="e">
        <f t="shared" si="26"/>
        <v>#VALUE!</v>
      </c>
      <c r="EN656" s="2093"/>
      <c r="EO656" s="2093"/>
      <c r="EP656" s="2093"/>
      <c r="EQ656" s="2093"/>
      <c r="ER656" s="2093" t="e">
        <f t="shared" si="27"/>
        <v>#VALUE!</v>
      </c>
      <c r="ES656" s="2093"/>
      <c r="ET656" s="2093"/>
      <c r="EU656" s="2093"/>
      <c r="EV656" s="2093"/>
      <c r="EW656" s="2093" t="e">
        <f t="shared" si="28"/>
        <v>#VALUE!</v>
      </c>
      <c r="EX656" s="2093"/>
      <c r="EY656" s="2093"/>
      <c r="EZ656" s="2093"/>
      <c r="FA656" s="2093"/>
    </row>
    <row r="657" spans="1:157" ht="12.75">
      <c r="A657" s="35"/>
      <c r="B657" s="12" t="s">
        <v>321</v>
      </c>
      <c r="G657" s="2368" t="str">
        <f>G582</f>
        <v>213-239-1914</v>
      </c>
      <c r="H657" s="2368"/>
      <c r="I657" s="2368"/>
      <c r="J657" s="2368"/>
      <c r="K657" s="2368"/>
      <c r="L657" s="2368"/>
      <c r="O657" s="137" t="s">
        <v>211</v>
      </c>
      <c r="P657" s="2094"/>
      <c r="Q657" s="2094"/>
      <c r="R657" s="2094"/>
      <c r="S657" s="16"/>
      <c r="T657" s="35"/>
      <c r="U657" s="12" t="s">
        <v>321</v>
      </c>
      <c r="Z657" s="2380" t="s">
        <v>2746</v>
      </c>
      <c r="AA657" s="2368"/>
      <c r="AB657" s="2368"/>
      <c r="AC657" s="2368"/>
      <c r="AD657" s="2368"/>
      <c r="AE657" s="2368"/>
      <c r="AH657" s="137" t="s">
        <v>211</v>
      </c>
      <c r="AI657" s="2094"/>
      <c r="AJ657" s="2094"/>
      <c r="AK657" s="2094"/>
      <c r="AZ657" s="61"/>
      <c r="BA657" s="61"/>
      <c r="BB657" s="61"/>
      <c r="BC657" s="61"/>
      <c r="BD657" s="61"/>
      <c r="BE657" s="61"/>
      <c r="BF657" s="61"/>
      <c r="BG657" s="61"/>
      <c r="BH657" s="61"/>
      <c r="BI657" s="61"/>
      <c r="BJ657" s="61"/>
      <c r="BK657" s="61"/>
      <c r="BL657" s="61"/>
      <c r="BM657" s="61"/>
      <c r="BN657" s="2085">
        <f t="shared" si="29"/>
        <v>0</v>
      </c>
      <c r="BO657" s="2086"/>
      <c r="BP657" s="2086"/>
      <c r="BQ657" s="2086"/>
      <c r="BR657" s="2087"/>
      <c r="BS657" s="2092">
        <f t="shared" si="30"/>
        <v>0</v>
      </c>
      <c r="BT657" s="2092"/>
      <c r="BU657" s="2092"/>
      <c r="BV657" s="2092"/>
      <c r="BW657" s="2092"/>
      <c r="BX657" s="2092">
        <f t="shared" si="31"/>
        <v>0</v>
      </c>
      <c r="BY657" s="2092"/>
      <c r="BZ657" s="2092"/>
      <c r="CA657" s="2092"/>
      <c r="CB657" s="2092"/>
      <c r="CC657" s="2092">
        <f t="shared" si="32"/>
        <v>0</v>
      </c>
      <c r="CD657" s="2092"/>
      <c r="CE657" s="2092"/>
      <c r="CF657" s="2092"/>
      <c r="CG657" s="2092"/>
      <c r="CH657" s="2092">
        <f t="shared" si="33"/>
        <v>0</v>
      </c>
      <c r="CI657" s="2092"/>
      <c r="CJ657" s="2092"/>
      <c r="CK657" s="2092"/>
      <c r="CL657" s="2092"/>
      <c r="CM657" s="2092">
        <f t="shared" si="34"/>
        <v>0</v>
      </c>
      <c r="CN657" s="2092"/>
      <c r="CO657" s="2092"/>
      <c r="CP657" s="2092"/>
      <c r="CQ657" s="2092"/>
      <c r="CR657" s="265"/>
      <c r="CS657" s="2085">
        <f t="shared" si="35"/>
        <v>0</v>
      </c>
      <c r="CT657" s="2086"/>
      <c r="CU657" s="2086"/>
      <c r="CV657" s="2086"/>
      <c r="CW657" s="2087"/>
      <c r="CX657" s="2085">
        <f t="shared" si="36"/>
        <v>0</v>
      </c>
      <c r="CY657" s="2086"/>
      <c r="CZ657" s="2086"/>
      <c r="DA657" s="2086"/>
      <c r="DB657" s="2087"/>
      <c r="DC657" s="2085">
        <f t="shared" si="37"/>
        <v>0</v>
      </c>
      <c r="DD657" s="2086"/>
      <c r="DE657" s="2086"/>
      <c r="DF657" s="2086"/>
      <c r="DG657" s="2087"/>
      <c r="DH657" s="2085">
        <f t="shared" si="38"/>
        <v>0</v>
      </c>
      <c r="DI657" s="2086"/>
      <c r="DJ657" s="2086"/>
      <c r="DK657" s="2086"/>
      <c r="DL657" s="2087"/>
      <c r="DM657" s="2085">
        <f t="shared" si="39"/>
        <v>0</v>
      </c>
      <c r="DN657" s="2086"/>
      <c r="DO657" s="2086"/>
      <c r="DP657" s="2086"/>
      <c r="DQ657" s="2087"/>
      <c r="DR657" s="2085">
        <f t="shared" si="40"/>
        <v>0</v>
      </c>
      <c r="DS657" s="2086"/>
      <c r="DT657" s="2086"/>
      <c r="DU657" s="2086"/>
      <c r="DV657" s="2087"/>
      <c r="DX657" s="2093" t="e">
        <f t="shared" si="23"/>
        <v>#VALUE!</v>
      </c>
      <c r="DY657" s="2093"/>
      <c r="DZ657" s="2093"/>
      <c r="EA657" s="2093"/>
      <c r="EB657" s="2093"/>
      <c r="EC657" s="2093" t="e">
        <f t="shared" si="24"/>
        <v>#VALUE!</v>
      </c>
      <c r="ED657" s="2093"/>
      <c r="EE657" s="2093"/>
      <c r="EF657" s="2093"/>
      <c r="EG657" s="2093"/>
      <c r="EH657" s="2093" t="e">
        <f t="shared" si="25"/>
        <v>#VALUE!</v>
      </c>
      <c r="EI657" s="2093"/>
      <c r="EJ657" s="2093"/>
      <c r="EK657" s="2093"/>
      <c r="EL657" s="2093"/>
      <c r="EM657" s="2093" t="e">
        <f t="shared" si="26"/>
        <v>#VALUE!</v>
      </c>
      <c r="EN657" s="2093"/>
      <c r="EO657" s="2093"/>
      <c r="EP657" s="2093"/>
      <c r="EQ657" s="2093"/>
      <c r="ER657" s="2093" t="e">
        <f t="shared" si="27"/>
        <v>#VALUE!</v>
      </c>
      <c r="ES657" s="2093"/>
      <c r="ET657" s="2093"/>
      <c r="EU657" s="2093"/>
      <c r="EV657" s="2093"/>
      <c r="EW657" s="2093" t="e">
        <f t="shared" si="28"/>
        <v>#VALUE!</v>
      </c>
      <c r="EX657" s="2093"/>
      <c r="EY657" s="2093"/>
      <c r="EZ657" s="2093"/>
      <c r="FA657" s="2093"/>
    </row>
    <row r="658" spans="1:157" ht="12.75">
      <c r="A658" s="35"/>
      <c r="B658" s="12" t="s">
        <v>18</v>
      </c>
      <c r="H658" s="2122" t="str">
        <f>H583</f>
        <v>Tax Exempt Loan</v>
      </c>
      <c r="I658" s="2122"/>
      <c r="J658" s="2122"/>
      <c r="K658" s="2122"/>
      <c r="L658" s="2122"/>
      <c r="M658" s="2122"/>
      <c r="N658" s="2122"/>
      <c r="O658" s="2122"/>
      <c r="P658" s="2122"/>
      <c r="Q658" s="2122"/>
      <c r="R658" s="2122"/>
      <c r="S658" s="14"/>
      <c r="T658" s="35"/>
      <c r="U658" s="12" t="s">
        <v>18</v>
      </c>
      <c r="AA658" s="2122" t="s">
        <v>2747</v>
      </c>
      <c r="AB658" s="2122"/>
      <c r="AC658" s="2122"/>
      <c r="AD658" s="2122"/>
      <c r="AE658" s="2122"/>
      <c r="AF658" s="2122"/>
      <c r="AG658" s="2122"/>
      <c r="AH658" s="2122"/>
      <c r="AI658" s="2122"/>
      <c r="AJ658" s="2122"/>
      <c r="AK658" s="2122"/>
      <c r="AZ658" s="61"/>
      <c r="BA658" s="61"/>
      <c r="BB658" s="61"/>
      <c r="BC658" s="61"/>
      <c r="BD658" s="61"/>
      <c r="BE658" s="61"/>
      <c r="BF658" s="61"/>
      <c r="BG658" s="61"/>
      <c r="BH658" s="61"/>
      <c r="BI658" s="61"/>
      <c r="BJ658" s="61"/>
      <c r="BK658" s="61"/>
      <c r="BL658" s="61"/>
      <c r="BM658" s="61"/>
      <c r="BN658" s="2101">
        <f>SUM(BN648:BR657)</f>
        <v>0</v>
      </c>
      <c r="BO658" s="2102"/>
      <c r="BP658" s="2102"/>
      <c r="BQ658" s="2102"/>
      <c r="BR658" s="2103"/>
      <c r="BS658" s="2096">
        <f>SUM(BS648:BW657)</f>
        <v>0</v>
      </c>
      <c r="BT658" s="2097"/>
      <c r="BU658" s="2097"/>
      <c r="BV658" s="2097"/>
      <c r="BW658" s="2098"/>
      <c r="BX658" s="2096">
        <f>SUM(BX648:CB657)</f>
        <v>0</v>
      </c>
      <c r="BY658" s="2097"/>
      <c r="BZ658" s="2097"/>
      <c r="CA658" s="2097"/>
      <c r="CB658" s="2098"/>
      <c r="CC658" s="2096">
        <f>SUM(CC648:CG657)</f>
        <v>0</v>
      </c>
      <c r="CD658" s="2097"/>
      <c r="CE658" s="2097"/>
      <c r="CF658" s="2097"/>
      <c r="CG658" s="2098"/>
      <c r="CH658" s="2096">
        <f>SUM(CH648:CL657)</f>
        <v>0</v>
      </c>
      <c r="CI658" s="2097"/>
      <c r="CJ658" s="2097"/>
      <c r="CK658" s="2097"/>
      <c r="CL658" s="2098"/>
      <c r="CM658" s="2096">
        <f>SUM(CM648:CQ657)</f>
        <v>0</v>
      </c>
      <c r="CN658" s="2097"/>
      <c r="CO658" s="2097"/>
      <c r="CP658" s="2097"/>
      <c r="CQ658" s="2098"/>
      <c r="CR658" s="1649"/>
      <c r="CS658" s="2100">
        <f>SUM(CS648:CW657)</f>
        <v>0</v>
      </c>
      <c r="CT658" s="2100"/>
      <c r="CU658" s="2100"/>
      <c r="CV658" s="2100"/>
      <c r="CW658" s="2100"/>
      <c r="CX658" s="2100">
        <f>SUM(CX648:DB657)</f>
        <v>0</v>
      </c>
      <c r="CY658" s="2100"/>
      <c r="CZ658" s="2100"/>
      <c r="DA658" s="2100"/>
      <c r="DB658" s="2100"/>
      <c r="DC658" s="2100">
        <f>SUM(DC648:DG657)</f>
        <v>0</v>
      </c>
      <c r="DD658" s="2100"/>
      <c r="DE658" s="2100"/>
      <c r="DF658" s="2100"/>
      <c r="DG658" s="2100"/>
      <c r="DH658" s="2100">
        <f>SUM(DH648:DL657)</f>
        <v>0</v>
      </c>
      <c r="DI658" s="2100"/>
      <c r="DJ658" s="2100"/>
      <c r="DK658" s="2100"/>
      <c r="DL658" s="2100"/>
      <c r="DM658" s="2100">
        <f>SUM(DM648:DQ657)</f>
        <v>0</v>
      </c>
      <c r="DN658" s="2100"/>
      <c r="DO658" s="2100"/>
      <c r="DP658" s="2100"/>
      <c r="DQ658" s="2100"/>
      <c r="DR658" s="2100">
        <f>SUM(DR648:DV657)</f>
        <v>0</v>
      </c>
      <c r="DS658" s="2100"/>
      <c r="DT658" s="2100"/>
      <c r="DU658" s="2100"/>
      <c r="DV658" s="2100"/>
      <c r="DX658" s="2093" t="e">
        <f t="shared" si="23"/>
        <v>#VALUE!</v>
      </c>
      <c r="DY658" s="2093"/>
      <c r="DZ658" s="2093"/>
      <c r="EA658" s="2093"/>
      <c r="EB658" s="2093"/>
      <c r="EC658" s="2093" t="e">
        <f t="shared" si="24"/>
        <v>#VALUE!</v>
      </c>
      <c r="ED658" s="2093"/>
      <c r="EE658" s="2093"/>
      <c r="EF658" s="2093"/>
      <c r="EG658" s="2093"/>
      <c r="EH658" s="2093" t="e">
        <f t="shared" si="25"/>
        <v>#VALUE!</v>
      </c>
      <c r="EI658" s="2093"/>
      <c r="EJ658" s="2093"/>
      <c r="EK658" s="2093"/>
      <c r="EL658" s="2093"/>
      <c r="EM658" s="2093" t="e">
        <f t="shared" si="26"/>
        <v>#VALUE!</v>
      </c>
      <c r="EN658" s="2093"/>
      <c r="EO658" s="2093"/>
      <c r="EP658" s="2093"/>
      <c r="EQ658" s="2093"/>
      <c r="ER658" s="2093" t="e">
        <f t="shared" si="27"/>
        <v>#VALUE!</v>
      </c>
      <c r="ES658" s="2093"/>
      <c r="ET658" s="2093"/>
      <c r="EU658" s="2093"/>
      <c r="EV658" s="2093"/>
      <c r="EW658" s="2093" t="e">
        <f t="shared" si="28"/>
        <v>#VALUE!</v>
      </c>
      <c r="EX658" s="2093"/>
      <c r="EY658" s="2093"/>
      <c r="EZ658" s="2093"/>
      <c r="FA658" s="2093"/>
    </row>
    <row r="659" spans="1:157" ht="12.75">
      <c r="A659" s="35"/>
      <c r="B659" s="12" t="s">
        <v>20</v>
      </c>
      <c r="N659" s="2099" t="s">
        <v>570</v>
      </c>
      <c r="O659" s="2099"/>
      <c r="T659" s="35"/>
      <c r="U659" s="12" t="s">
        <v>20</v>
      </c>
      <c r="AG659" s="2099" t="s">
        <v>570</v>
      </c>
      <c r="AH659" s="2099"/>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93" t="e">
        <f t="shared" si="23"/>
        <v>#VALUE!</v>
      </c>
      <c r="DY659" s="2093"/>
      <c r="DZ659" s="2093"/>
      <c r="EA659" s="2093"/>
      <c r="EB659" s="2093"/>
      <c r="EC659" s="2093" t="e">
        <f t="shared" si="24"/>
        <v>#VALUE!</v>
      </c>
      <c r="ED659" s="2093"/>
      <c r="EE659" s="2093"/>
      <c r="EF659" s="2093"/>
      <c r="EG659" s="2093"/>
      <c r="EH659" s="2093" t="e">
        <f t="shared" si="25"/>
        <v>#VALUE!</v>
      </c>
      <c r="EI659" s="2093"/>
      <c r="EJ659" s="2093"/>
      <c r="EK659" s="2093"/>
      <c r="EL659" s="2093"/>
      <c r="EM659" s="2093" t="e">
        <f t="shared" si="26"/>
        <v>#VALUE!</v>
      </c>
      <c r="EN659" s="2093"/>
      <c r="EO659" s="2093"/>
      <c r="EP659" s="2093"/>
      <c r="EQ659" s="2093"/>
      <c r="ER659" s="2093" t="e">
        <f t="shared" si="27"/>
        <v>#VALUE!</v>
      </c>
      <c r="ES659" s="2093"/>
      <c r="ET659" s="2093"/>
      <c r="EU659" s="2093"/>
      <c r="EV659" s="2093"/>
      <c r="EW659" s="2093" t="e">
        <f t="shared" si="28"/>
        <v>#VALUE!</v>
      </c>
      <c r="EX659" s="2093"/>
      <c r="EY659" s="2093"/>
      <c r="EZ659" s="2093"/>
      <c r="FA659" s="209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93">
        <f>SUM(CS658:DV658)</f>
        <v>0</v>
      </c>
      <c r="DS660" s="2093"/>
      <c r="DT660" s="2093"/>
      <c r="DU660" s="2093"/>
      <c r="DV660" s="2093"/>
      <c r="DX660" s="2093" t="e">
        <f t="shared" si="23"/>
        <v>#VALUE!</v>
      </c>
      <c r="DY660" s="2093"/>
      <c r="DZ660" s="2093"/>
      <c r="EA660" s="2093"/>
      <c r="EB660" s="2093"/>
      <c r="EC660" s="2093" t="e">
        <f t="shared" si="24"/>
        <v>#VALUE!</v>
      </c>
      <c r="ED660" s="2093"/>
      <c r="EE660" s="2093"/>
      <c r="EF660" s="2093"/>
      <c r="EG660" s="2093"/>
      <c r="EH660" s="2093" t="e">
        <f t="shared" si="25"/>
        <v>#VALUE!</v>
      </c>
      <c r="EI660" s="2093"/>
      <c r="EJ660" s="2093"/>
      <c r="EK660" s="2093"/>
      <c r="EL660" s="2093"/>
      <c r="EM660" s="2093" t="e">
        <f t="shared" si="26"/>
        <v>#VALUE!</v>
      </c>
      <c r="EN660" s="2093"/>
      <c r="EO660" s="2093"/>
      <c r="EP660" s="2093"/>
      <c r="EQ660" s="2093"/>
      <c r="ER660" s="2093" t="e">
        <f t="shared" si="27"/>
        <v>#VALUE!</v>
      </c>
      <c r="ES660" s="2093"/>
      <c r="ET660" s="2093"/>
      <c r="EU660" s="2093"/>
      <c r="EV660" s="2093"/>
      <c r="EW660" s="2093" t="e">
        <f t="shared" si="28"/>
        <v>#VALUE!</v>
      </c>
      <c r="EX660" s="2093"/>
      <c r="EY660" s="2093"/>
      <c r="EZ660" s="2093"/>
      <c r="FA660" s="2093"/>
    </row>
    <row r="661" spans="1:157" ht="12.75">
      <c r="A661" s="87" t="s">
        <v>124</v>
      </c>
      <c r="B661" s="12" t="s">
        <v>488</v>
      </c>
      <c r="G661" s="2088" t="str">
        <f>C639</f>
        <v>LA County Development Authority - AHTF</v>
      </c>
      <c r="H661" s="2088"/>
      <c r="I661" s="2088"/>
      <c r="J661" s="2088"/>
      <c r="K661" s="2088"/>
      <c r="L661" s="2088"/>
      <c r="M661" s="2088"/>
      <c r="N661" s="2088"/>
      <c r="O661" s="2088"/>
      <c r="P661" s="2088"/>
      <c r="Q661" s="2088"/>
      <c r="R661" s="2088"/>
      <c r="T661" s="87" t="s">
        <v>607</v>
      </c>
      <c r="U661" s="12" t="s">
        <v>488</v>
      </c>
      <c r="Z661" s="2088" t="str">
        <f>C640</f>
        <v>Accrued Deferred Interest - LACDA</v>
      </c>
      <c r="AA661" s="2088"/>
      <c r="AB661" s="2088"/>
      <c r="AC661" s="2088"/>
      <c r="AD661" s="2088"/>
      <c r="AE661" s="2088"/>
      <c r="AF661" s="2088"/>
      <c r="AG661" s="2088"/>
      <c r="AH661" s="2088"/>
      <c r="AI661" s="2088"/>
      <c r="AJ661" s="2088"/>
      <c r="AK661" s="2088"/>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93" t="e">
        <f t="shared" si="23"/>
        <v>#VALUE!</v>
      </c>
      <c r="DY661" s="2093"/>
      <c r="DZ661" s="2093"/>
      <c r="EA661" s="2093"/>
      <c r="EB661" s="2093"/>
      <c r="EC661" s="2093" t="e">
        <f t="shared" si="24"/>
        <v>#VALUE!</v>
      </c>
      <c r="ED661" s="2093"/>
      <c r="EE661" s="2093"/>
      <c r="EF661" s="2093"/>
      <c r="EG661" s="2093"/>
      <c r="EH661" s="2093" t="e">
        <f t="shared" si="25"/>
        <v>#VALUE!</v>
      </c>
      <c r="EI661" s="2093"/>
      <c r="EJ661" s="2093"/>
      <c r="EK661" s="2093"/>
      <c r="EL661" s="2093"/>
      <c r="EM661" s="2093" t="e">
        <f t="shared" si="26"/>
        <v>#VALUE!</v>
      </c>
      <c r="EN661" s="2093"/>
      <c r="EO661" s="2093"/>
      <c r="EP661" s="2093"/>
      <c r="EQ661" s="2093"/>
      <c r="ER661" s="2093" t="e">
        <f t="shared" si="27"/>
        <v>#VALUE!</v>
      </c>
      <c r="ES661" s="2093"/>
      <c r="ET661" s="2093"/>
      <c r="EU661" s="2093"/>
      <c r="EV661" s="2093"/>
      <c r="EW661" s="2093" t="e">
        <f t="shared" si="28"/>
        <v>#VALUE!</v>
      </c>
      <c r="EX661" s="2093"/>
      <c r="EY661" s="2093"/>
      <c r="EZ661" s="2093"/>
      <c r="FA661" s="2093"/>
    </row>
    <row r="662" spans="1:157" ht="12.75">
      <c r="A662" s="35"/>
      <c r="B662" s="12" t="s">
        <v>90</v>
      </c>
      <c r="G662" s="2122" t="str">
        <f>G596</f>
        <v>700 Main Street</v>
      </c>
      <c r="H662" s="2122"/>
      <c r="I662" s="2122"/>
      <c r="J662" s="2122"/>
      <c r="K662" s="2122"/>
      <c r="L662" s="2122"/>
      <c r="M662" s="2122"/>
      <c r="N662" s="2122"/>
      <c r="O662" s="2122"/>
      <c r="P662" s="2122"/>
      <c r="Q662" s="2122"/>
      <c r="R662" s="2122"/>
      <c r="T662" s="35"/>
      <c r="U662" s="12" t="s">
        <v>90</v>
      </c>
      <c r="Z662" s="2122" t="str">
        <f>G662</f>
        <v>700 Main Street</v>
      </c>
      <c r="AA662" s="2122"/>
      <c r="AB662" s="2122"/>
      <c r="AC662" s="2122"/>
      <c r="AD662" s="2122"/>
      <c r="AE662" s="2122"/>
      <c r="AF662" s="2122"/>
      <c r="AG662" s="2122"/>
      <c r="AH662" s="2122"/>
      <c r="AI662" s="2122"/>
      <c r="AJ662" s="2122"/>
      <c r="AK662" s="212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93" t="e">
        <f t="shared" si="23"/>
        <v>#VALUE!</v>
      </c>
      <c r="DY662" s="2093"/>
      <c r="DZ662" s="2093"/>
      <c r="EA662" s="2093"/>
      <c r="EB662" s="2093"/>
      <c r="EC662" s="2093" t="e">
        <f t="shared" si="24"/>
        <v>#VALUE!</v>
      </c>
      <c r="ED662" s="2093"/>
      <c r="EE662" s="2093"/>
      <c r="EF662" s="2093"/>
      <c r="EG662" s="2093"/>
      <c r="EH662" s="2093" t="e">
        <f t="shared" si="25"/>
        <v>#VALUE!</v>
      </c>
      <c r="EI662" s="2093"/>
      <c r="EJ662" s="2093"/>
      <c r="EK662" s="2093"/>
      <c r="EL662" s="2093"/>
      <c r="EM662" s="2093" t="e">
        <f t="shared" si="26"/>
        <v>#VALUE!</v>
      </c>
      <c r="EN662" s="2093"/>
      <c r="EO662" s="2093"/>
      <c r="EP662" s="2093"/>
      <c r="EQ662" s="2093"/>
      <c r="ER662" s="2093" t="e">
        <f t="shared" si="27"/>
        <v>#VALUE!</v>
      </c>
      <c r="ES662" s="2093"/>
      <c r="ET662" s="2093"/>
      <c r="EU662" s="2093"/>
      <c r="EV662" s="2093"/>
      <c r="EW662" s="2093" t="e">
        <f t="shared" si="28"/>
        <v>#VALUE!</v>
      </c>
      <c r="EX662" s="2093"/>
      <c r="EY662" s="2093"/>
      <c r="EZ662" s="2093"/>
      <c r="FA662" s="2093"/>
    </row>
    <row r="663" spans="1:157" ht="12.75">
      <c r="A663" s="35"/>
      <c r="B663" s="12" t="s">
        <v>606</v>
      </c>
      <c r="G663" s="2095" t="str">
        <f>G597</f>
        <v>Alhambra, CA 91801</v>
      </c>
      <c r="H663" s="2095"/>
      <c r="I663" s="2095"/>
      <c r="J663" s="2095"/>
      <c r="K663" s="2095"/>
      <c r="L663" s="2095"/>
      <c r="M663" s="2095"/>
      <c r="N663" s="2095"/>
      <c r="O663" s="2095"/>
      <c r="P663" s="2095"/>
      <c r="Q663" s="2095"/>
      <c r="R663" s="2095"/>
      <c r="T663" s="35"/>
      <c r="U663" s="12" t="s">
        <v>606</v>
      </c>
      <c r="Z663" s="2095" t="str">
        <f>G663</f>
        <v>Alhambra, CA 91801</v>
      </c>
      <c r="AA663" s="2095"/>
      <c r="AB663" s="2095"/>
      <c r="AC663" s="2095"/>
      <c r="AD663" s="2095"/>
      <c r="AE663" s="2095"/>
      <c r="AF663" s="2095"/>
      <c r="AG663" s="2095"/>
      <c r="AH663" s="2095"/>
      <c r="AI663" s="2095"/>
      <c r="AJ663" s="2095"/>
      <c r="AK663" s="2095"/>
      <c r="AZ663" s="61"/>
      <c r="BA663" s="61"/>
      <c r="BB663" s="61"/>
      <c r="BC663" s="61"/>
      <c r="BD663" s="61"/>
      <c r="BE663" s="61"/>
      <c r="BF663" s="61"/>
      <c r="BG663" s="61"/>
      <c r="BH663" s="61"/>
      <c r="BI663" s="61"/>
      <c r="BJ663" s="61"/>
      <c r="BK663" s="61"/>
      <c r="BL663" s="61"/>
      <c r="BM663" s="61"/>
      <c r="BN663" s="2096">
        <f>BN635+BN644+BN658</f>
        <v>17</v>
      </c>
      <c r="BO663" s="2097"/>
      <c r="BP663" s="2097"/>
      <c r="BQ663" s="2097"/>
      <c r="BR663" s="2098"/>
      <c r="BS663" s="2096">
        <f>BS635+BS644+BS658</f>
        <v>30</v>
      </c>
      <c r="BT663" s="2097"/>
      <c r="BU663" s="2097"/>
      <c r="BV663" s="2097"/>
      <c r="BW663" s="2098"/>
      <c r="BX663" s="2096">
        <f>BX635+BX644+BX658</f>
        <v>1</v>
      </c>
      <c r="BY663" s="2097"/>
      <c r="BZ663" s="2097"/>
      <c r="CA663" s="2097"/>
      <c r="CB663" s="2098"/>
      <c r="CC663" s="2096">
        <f>CC635+CC644+CC658</f>
        <v>0</v>
      </c>
      <c r="CD663" s="2097"/>
      <c r="CE663" s="2097"/>
      <c r="CF663" s="2097"/>
      <c r="CG663" s="2098"/>
      <c r="CH663" s="2096">
        <f>CH635+CH644+CH658</f>
        <v>0</v>
      </c>
      <c r="CI663" s="2097"/>
      <c r="CJ663" s="2097"/>
      <c r="CK663" s="2097"/>
      <c r="CL663" s="2098"/>
      <c r="CM663" s="2104">
        <f>CM658+CM644+CM635</f>
        <v>0</v>
      </c>
      <c r="CN663" s="2105"/>
      <c r="CO663" s="2105"/>
      <c r="CP663" s="2105"/>
      <c r="CQ663" s="2106"/>
      <c r="CR663" s="177"/>
      <c r="CS663" s="1369">
        <f>CS637+CS661</f>
        <v>47</v>
      </c>
      <c r="CT663" s="134" t="s">
        <v>2181</v>
      </c>
      <c r="CU663" s="58"/>
      <c r="CV663" s="58"/>
      <c r="CW663" s="58"/>
      <c r="CX663" s="58"/>
      <c r="CY663" s="58"/>
      <c r="CZ663" s="58"/>
      <c r="DA663" s="58"/>
      <c r="DB663" s="58"/>
      <c r="DC663" s="58"/>
      <c r="DD663" s="58"/>
      <c r="DE663" s="58"/>
      <c r="DF663" s="58"/>
      <c r="DX663" s="2093">
        <f>SUMIF(DX638:EB662,"&gt;0")</f>
        <v>775.29411764705878</v>
      </c>
      <c r="DY663" s="2093"/>
      <c r="DZ663" s="2093"/>
      <c r="EA663" s="2093"/>
      <c r="EB663" s="2093"/>
      <c r="EC663" s="2093">
        <f>SUMIF(EC638:EG662,"&gt;0")</f>
        <v>912.93333333333339</v>
      </c>
      <c r="ED663" s="2093"/>
      <c r="EE663" s="2093"/>
      <c r="EF663" s="2093"/>
      <c r="EG663" s="2093"/>
      <c r="EH663" s="2093">
        <f>SUMIF(EH638:EL662,"&gt;0")</f>
        <v>0</v>
      </c>
      <c r="EI663" s="2093"/>
      <c r="EJ663" s="2093"/>
      <c r="EK663" s="2093"/>
      <c r="EL663" s="2093"/>
      <c r="EM663" s="2093">
        <f>SUMIF(EM638:EQ662,"&gt;0")</f>
        <v>0</v>
      </c>
      <c r="EN663" s="2093"/>
      <c r="EO663" s="2093"/>
      <c r="EP663" s="2093"/>
      <c r="EQ663" s="2093"/>
      <c r="ER663" s="2093">
        <f>SUMIF(ER638:EV662,"&gt;0")</f>
        <v>0</v>
      </c>
      <c r="ES663" s="2093"/>
      <c r="ET663" s="2093"/>
      <c r="EU663" s="2093"/>
      <c r="EV663" s="2093"/>
      <c r="EW663" s="2093">
        <f>SUMIF(EW638:FA662,"&gt;0")</f>
        <v>0</v>
      </c>
      <c r="EX663" s="2093"/>
      <c r="EY663" s="2093"/>
      <c r="EZ663" s="2093"/>
      <c r="FA663" s="2093"/>
    </row>
    <row r="664" spans="1:157" ht="12.75">
      <c r="A664" s="35"/>
      <c r="B664" s="12" t="s">
        <v>17</v>
      </c>
      <c r="G664" s="2095" t="str">
        <f>G598</f>
        <v>Mat Lust</v>
      </c>
      <c r="H664" s="2095"/>
      <c r="I664" s="2095"/>
      <c r="J664" s="2095"/>
      <c r="K664" s="2095"/>
      <c r="L664" s="2095"/>
      <c r="M664" s="2095"/>
      <c r="N664" s="2095"/>
      <c r="O664" s="2095"/>
      <c r="P664" s="2095"/>
      <c r="Q664" s="2095"/>
      <c r="R664" s="2095"/>
      <c r="T664" s="35"/>
      <c r="U664" s="12" t="s">
        <v>17</v>
      </c>
      <c r="Z664" s="2095" t="str">
        <f>G664</f>
        <v>Mat Lust</v>
      </c>
      <c r="AA664" s="2095"/>
      <c r="AB664" s="2095"/>
      <c r="AC664" s="2095"/>
      <c r="AD664" s="2095"/>
      <c r="AE664" s="2095"/>
      <c r="AF664" s="2095"/>
      <c r="AG664" s="2095"/>
      <c r="AH664" s="2095"/>
      <c r="AI664" s="2095"/>
      <c r="AJ664" s="2095"/>
      <c r="AK664" s="209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368" t="str">
        <f>G599</f>
        <v>626-586-1809</v>
      </c>
      <c r="H665" s="2368"/>
      <c r="I665" s="2368"/>
      <c r="J665" s="2368"/>
      <c r="K665" s="2368"/>
      <c r="L665" s="2368"/>
      <c r="O665" s="137" t="s">
        <v>211</v>
      </c>
      <c r="P665" s="2094"/>
      <c r="Q665" s="2094"/>
      <c r="R665" s="2094"/>
      <c r="T665" s="35"/>
      <c r="U665" s="12" t="s">
        <v>321</v>
      </c>
      <c r="Z665" s="2368" t="str">
        <f>G665</f>
        <v>626-586-1809</v>
      </c>
      <c r="AA665" s="2368"/>
      <c r="AB665" s="2368"/>
      <c r="AC665" s="2368"/>
      <c r="AD665" s="2368"/>
      <c r="AE665" s="2368"/>
      <c r="AH665" s="137" t="s">
        <v>211</v>
      </c>
      <c r="AI665" s="2094"/>
      <c r="AJ665" s="2094"/>
      <c r="AK665" s="20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22" t="str">
        <f>H600</f>
        <v>Residual Receipt Loan</v>
      </c>
      <c r="I666" s="2122"/>
      <c r="J666" s="2122"/>
      <c r="K666" s="2122"/>
      <c r="L666" s="2122"/>
      <c r="M666" s="2122"/>
      <c r="N666" s="2122"/>
      <c r="O666" s="2122"/>
      <c r="P666" s="2122"/>
      <c r="Q666" s="2122"/>
      <c r="R666" s="2122"/>
      <c r="T666" s="35"/>
      <c r="U666" s="12" t="s">
        <v>18</v>
      </c>
      <c r="AA666" s="2122" t="s">
        <v>2738</v>
      </c>
      <c r="AB666" s="2122"/>
      <c r="AC666" s="2122"/>
      <c r="AD666" s="2122"/>
      <c r="AE666" s="2122"/>
      <c r="AF666" s="2122"/>
      <c r="AG666" s="2122"/>
      <c r="AH666" s="2122"/>
      <c r="AI666" s="2122"/>
      <c r="AJ666" s="2122"/>
      <c r="AK666" s="2122"/>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99" t="s">
        <v>570</v>
      </c>
      <c r="O667" s="2099"/>
      <c r="T667" s="35"/>
      <c r="U667" s="12" t="s">
        <v>20</v>
      </c>
      <c r="AG667" s="2099" t="s">
        <v>570</v>
      </c>
      <c r="AH667" s="2099"/>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88" t="str">
        <f>C641</f>
        <v>CalHFA/LACDMH SNHP</v>
      </c>
      <c r="H669" s="2088"/>
      <c r="I669" s="2088"/>
      <c r="J669" s="2088"/>
      <c r="K669" s="2088"/>
      <c r="L669" s="2088"/>
      <c r="M669" s="2088"/>
      <c r="N669" s="2088"/>
      <c r="O669" s="2088"/>
      <c r="P669" s="2088"/>
      <c r="Q669" s="2088"/>
      <c r="R669" s="2088"/>
      <c r="T669" s="87" t="s">
        <v>610</v>
      </c>
      <c r="U669" s="12" t="s">
        <v>488</v>
      </c>
      <c r="Z669" s="2088" t="str">
        <f>C642</f>
        <v>Accrued Deferred Interest - SNHP</v>
      </c>
      <c r="AA669" s="2088"/>
      <c r="AB669" s="2088"/>
      <c r="AC669" s="2088"/>
      <c r="AD669" s="2088"/>
      <c r="AE669" s="2088"/>
      <c r="AF669" s="2088"/>
      <c r="AG669" s="2088"/>
      <c r="AH669" s="2088"/>
      <c r="AI669" s="2088"/>
      <c r="AJ669" s="2088"/>
      <c r="AK669" s="2088"/>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22" t="str">
        <f>G588</f>
        <v>695 S. Vermont, 10th Floor</v>
      </c>
      <c r="H670" s="2122"/>
      <c r="I670" s="2122"/>
      <c r="J670" s="2122"/>
      <c r="K670" s="2122"/>
      <c r="L670" s="2122"/>
      <c r="M670" s="2122"/>
      <c r="N670" s="2122"/>
      <c r="O670" s="2122"/>
      <c r="P670" s="2122"/>
      <c r="Q670" s="2122"/>
      <c r="R670" s="2122"/>
      <c r="T670" s="35"/>
      <c r="U670" s="12" t="s">
        <v>90</v>
      </c>
      <c r="Z670" s="2122" t="str">
        <f>G670</f>
        <v>695 S. Vermont, 10th Floor</v>
      </c>
      <c r="AA670" s="2122"/>
      <c r="AB670" s="2122"/>
      <c r="AC670" s="2122"/>
      <c r="AD670" s="2122"/>
      <c r="AE670" s="2122"/>
      <c r="AF670" s="2122"/>
      <c r="AG670" s="2122"/>
      <c r="AH670" s="2122"/>
      <c r="AI670" s="2122"/>
      <c r="AJ670" s="2122"/>
      <c r="AK670" s="2122"/>
      <c r="AZ670" s="58"/>
      <c r="BA670" s="443">
        <f t="shared" ref="BA670:BA694" si="41">IF($G728=0,"N/A",VLOOKUP($T$189,TC_Rent,(MATCH($B728,bedrooms,FALSE))))</f>
        <v>2084</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122" t="str">
        <f>G589</f>
        <v>Los Angeles, CA 9005</v>
      </c>
      <c r="H671" s="2122"/>
      <c r="I671" s="2122"/>
      <c r="J671" s="2122"/>
      <c r="K671" s="2122"/>
      <c r="L671" s="2122"/>
      <c r="M671" s="2122"/>
      <c r="N671" s="2122"/>
      <c r="O671" s="2122"/>
      <c r="P671" s="2122"/>
      <c r="Q671" s="2122"/>
      <c r="R671" s="2122"/>
      <c r="T671" s="35"/>
      <c r="U671" s="12" t="s">
        <v>606</v>
      </c>
      <c r="Z671" s="2095" t="str">
        <f>G671</f>
        <v>Los Angeles, CA 9005</v>
      </c>
      <c r="AA671" s="2095"/>
      <c r="AB671" s="2095"/>
      <c r="AC671" s="2095"/>
      <c r="AD671" s="2095"/>
      <c r="AE671" s="2095"/>
      <c r="AF671" s="2095"/>
      <c r="AG671" s="2095"/>
      <c r="AH671" s="2095"/>
      <c r="AI671" s="2095"/>
      <c r="AJ671" s="2095"/>
      <c r="AK671" s="2095"/>
      <c r="AZ671" s="58"/>
      <c r="BA671" s="443">
        <f t="shared" si="41"/>
        <v>2232</v>
      </c>
      <c r="BB671" s="58"/>
      <c r="BC671" s="58"/>
      <c r="BD671" s="58"/>
      <c r="BE671" s="58"/>
      <c r="BF671" s="379"/>
      <c r="BG671" s="453">
        <f t="shared" ref="BG671:BG695" si="42">G728</f>
        <v>7</v>
      </c>
      <c r="BH671" s="457">
        <f>BG671/$BG$696</f>
        <v>0.14893617021276595</v>
      </c>
      <c r="BI671" s="458">
        <f t="shared" ref="BI671:BI695" si="43">IF(BH671=0," ",BH671*AC728)</f>
        <v>4.4680851063829782E-2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22" t="str">
        <f>G590</f>
        <v>Reina Turner</v>
      </c>
      <c r="H672" s="2122"/>
      <c r="I672" s="2122"/>
      <c r="J672" s="2122"/>
      <c r="K672" s="2122"/>
      <c r="L672" s="2122"/>
      <c r="M672" s="2122"/>
      <c r="N672" s="2122"/>
      <c r="O672" s="2122"/>
      <c r="P672" s="2122"/>
      <c r="Q672" s="2122"/>
      <c r="R672" s="2122"/>
      <c r="T672" s="35"/>
      <c r="U672" s="12" t="s">
        <v>17</v>
      </c>
      <c r="Z672" s="2095" t="str">
        <f>G672</f>
        <v>Reina Turner</v>
      </c>
      <c r="AA672" s="2095"/>
      <c r="AB672" s="2095"/>
      <c r="AC672" s="2095"/>
      <c r="AD672" s="2095"/>
      <c r="AE672" s="2095"/>
      <c r="AF672" s="2095"/>
      <c r="AG672" s="2095"/>
      <c r="AH672" s="2095"/>
      <c r="AI672" s="2095"/>
      <c r="AJ672" s="2095"/>
      <c r="AK672" s="2095"/>
      <c r="AZ672" s="58"/>
      <c r="BA672" s="443">
        <f t="shared" si="41"/>
        <v>2084</v>
      </c>
      <c r="BB672" s="58"/>
      <c r="BC672" s="58"/>
      <c r="BD672" s="58"/>
      <c r="BE672" s="58"/>
      <c r="BF672" s="379"/>
      <c r="BG672" s="454">
        <f t="shared" si="42"/>
        <v>9</v>
      </c>
      <c r="BH672" s="457">
        <f t="shared" ref="BH672:BH695" si="44">BG672/$BG$696</f>
        <v>0.19148936170212766</v>
      </c>
      <c r="BI672" s="458">
        <f t="shared" si="43"/>
        <v>5.7446808510638298E-2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368" t="str">
        <f>G591</f>
        <v>213-943-8504</v>
      </c>
      <c r="H673" s="2368"/>
      <c r="I673" s="2368"/>
      <c r="J673" s="2368"/>
      <c r="K673" s="2368"/>
      <c r="L673" s="2368"/>
      <c r="O673" s="137" t="s">
        <v>211</v>
      </c>
      <c r="P673" s="2094"/>
      <c r="Q673" s="2094"/>
      <c r="R673" s="2094"/>
      <c r="T673" s="35"/>
      <c r="U673" s="12" t="s">
        <v>321</v>
      </c>
      <c r="Z673" s="2368" t="str">
        <f>G673</f>
        <v>213-943-8504</v>
      </c>
      <c r="AA673" s="2368"/>
      <c r="AB673" s="2368"/>
      <c r="AC673" s="2368"/>
      <c r="AD673" s="2368"/>
      <c r="AE673" s="2368"/>
      <c r="AH673" s="137" t="s">
        <v>211</v>
      </c>
      <c r="AI673" s="2094"/>
      <c r="AJ673" s="2094"/>
      <c r="AK673" s="2094"/>
      <c r="AZ673" s="58"/>
      <c r="BA673" s="443">
        <f t="shared" si="41"/>
        <v>2232</v>
      </c>
      <c r="BB673" s="58"/>
      <c r="BC673" s="58"/>
      <c r="BD673" s="58"/>
      <c r="BE673" s="58"/>
      <c r="BF673" s="379"/>
      <c r="BG673" s="454">
        <f t="shared" si="42"/>
        <v>1</v>
      </c>
      <c r="BH673" s="457">
        <f t="shared" si="44"/>
        <v>2.1276595744680851E-2</v>
      </c>
      <c r="BI673" s="458">
        <f t="shared" si="43"/>
        <v>6.382978723404255E-3</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22" t="s">
        <v>2747</v>
      </c>
      <c r="I674" s="2122"/>
      <c r="J674" s="2122"/>
      <c r="K674" s="2122"/>
      <c r="L674" s="2122"/>
      <c r="M674" s="2122"/>
      <c r="N674" s="2122"/>
      <c r="O674" s="2122"/>
      <c r="P674" s="2122"/>
      <c r="Q674" s="2122"/>
      <c r="R674" s="2122"/>
      <c r="T674" s="35"/>
      <c r="U674" s="12" t="s">
        <v>18</v>
      </c>
      <c r="AA674" s="2122" t="s">
        <v>2738</v>
      </c>
      <c r="AB674" s="2122"/>
      <c r="AC674" s="2122"/>
      <c r="AD674" s="2122"/>
      <c r="AE674" s="2122"/>
      <c r="AF674" s="2122"/>
      <c r="AG674" s="2122"/>
      <c r="AH674" s="2122"/>
      <c r="AI674" s="2122"/>
      <c r="AJ674" s="2122"/>
      <c r="AK674" s="2122"/>
      <c r="AZ674" s="58"/>
      <c r="BA674" s="443">
        <f t="shared" si="41"/>
        <v>2084</v>
      </c>
      <c r="BB674" s="58"/>
      <c r="BC674" s="58"/>
      <c r="BD674" s="58"/>
      <c r="BE674" s="58"/>
      <c r="BF674" s="379"/>
      <c r="BG674" s="454">
        <f t="shared" si="42"/>
        <v>3</v>
      </c>
      <c r="BH674" s="457">
        <f t="shared" si="44"/>
        <v>6.3829787234042548E-2</v>
      </c>
      <c r="BI674" s="458">
        <f t="shared" si="43"/>
        <v>1.9148936170212762E-2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99" t="s">
        <v>570</v>
      </c>
      <c r="O675" s="2099"/>
      <c r="T675" s="35"/>
      <c r="U675" s="12" t="s">
        <v>20</v>
      </c>
      <c r="AG675" s="2099" t="s">
        <v>570</v>
      </c>
      <c r="AH675" s="2099"/>
      <c r="AZ675" s="58"/>
      <c r="BA675" s="443">
        <f t="shared" si="41"/>
        <v>2232</v>
      </c>
      <c r="BB675" s="58"/>
      <c r="BC675" s="58"/>
      <c r="BD675" s="58"/>
      <c r="BE675" s="58"/>
      <c r="BF675" s="379"/>
      <c r="BG675" s="454">
        <f t="shared" si="42"/>
        <v>2</v>
      </c>
      <c r="BH675" s="457">
        <f t="shared" si="44"/>
        <v>4.2553191489361701E-2</v>
      </c>
      <c r="BI675" s="458">
        <f t="shared" si="43"/>
        <v>2.1276595744680851E-2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1"/>
        <v>2084</v>
      </c>
      <c r="BB676" s="58"/>
      <c r="BC676" s="58"/>
      <c r="BD676" s="58"/>
      <c r="BE676" s="58"/>
      <c r="BF676" s="379"/>
      <c r="BG676" s="454">
        <f t="shared" si="42"/>
        <v>13</v>
      </c>
      <c r="BH676" s="457">
        <f t="shared" si="44"/>
        <v>0.27659574468085107</v>
      </c>
      <c r="BI676" s="458">
        <f t="shared" si="43"/>
        <v>0.13829787234042554</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88" t="str">
        <f>C643</f>
        <v>Deferred Developer Fee</v>
      </c>
      <c r="H677" s="2088"/>
      <c r="I677" s="2088"/>
      <c r="J677" s="2088"/>
      <c r="K677" s="2088"/>
      <c r="L677" s="2088"/>
      <c r="M677" s="2088"/>
      <c r="N677" s="2088"/>
      <c r="O677" s="2088"/>
      <c r="P677" s="2088"/>
      <c r="Q677" s="2088"/>
      <c r="R677" s="2088"/>
      <c r="T677" s="87" t="s">
        <v>481</v>
      </c>
      <c r="U677" s="12" t="s">
        <v>488</v>
      </c>
      <c r="Z677" s="2088" t="str">
        <f>C644</f>
        <v>Recontributed Developer Fee</v>
      </c>
      <c r="AA677" s="2088"/>
      <c r="AB677" s="2088"/>
      <c r="AC677" s="2088"/>
      <c r="AD677" s="2088"/>
      <c r="AE677" s="2088"/>
      <c r="AF677" s="2088"/>
      <c r="AG677" s="2088"/>
      <c r="AH677" s="2088"/>
      <c r="AI677" s="2088"/>
      <c r="AJ677" s="2088"/>
      <c r="AK677" s="2088"/>
      <c r="AZ677" s="58"/>
      <c r="BA677" s="443">
        <f t="shared" si="41"/>
        <v>2232</v>
      </c>
      <c r="BB677" s="58"/>
      <c r="BC677" s="58"/>
      <c r="BD677" s="58"/>
      <c r="BE677" s="58"/>
      <c r="BF677" s="379"/>
      <c r="BG677" s="454">
        <f t="shared" si="42"/>
        <v>5</v>
      </c>
      <c r="BH677" s="457">
        <f t="shared" si="44"/>
        <v>0.10638297872340426</v>
      </c>
      <c r="BI677" s="458">
        <f t="shared" si="43"/>
        <v>5.3191489361702128E-2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122" t="s">
        <v>2613</v>
      </c>
      <c r="H678" s="2122"/>
      <c r="I678" s="2122"/>
      <c r="J678" s="2122"/>
      <c r="K678" s="2122"/>
      <c r="L678" s="2122"/>
      <c r="M678" s="2122"/>
      <c r="N678" s="2122"/>
      <c r="O678" s="2122"/>
      <c r="P678" s="2122"/>
      <c r="Q678" s="2122"/>
      <c r="R678" s="2122"/>
      <c r="T678" s="35"/>
      <c r="U678" s="12" t="s">
        <v>90</v>
      </c>
      <c r="Z678" s="2122" t="str">
        <f>G678</f>
        <v>3701 Wilshire Blvd, Ste 700</v>
      </c>
      <c r="AA678" s="2122"/>
      <c r="AB678" s="2122"/>
      <c r="AC678" s="2122"/>
      <c r="AD678" s="2122"/>
      <c r="AE678" s="2122"/>
      <c r="AF678" s="2122"/>
      <c r="AG678" s="2122"/>
      <c r="AH678" s="2122"/>
      <c r="AI678" s="2122"/>
      <c r="AJ678" s="2122"/>
      <c r="AK678" s="2122"/>
      <c r="AZ678" s="58"/>
      <c r="BA678" s="443">
        <f t="shared" si="41"/>
        <v>2084</v>
      </c>
      <c r="BB678" s="58"/>
      <c r="BC678" s="58"/>
      <c r="BD678" s="58"/>
      <c r="BE678" s="58"/>
      <c r="BF678" s="379"/>
      <c r="BG678" s="454">
        <f t="shared" si="42"/>
        <v>5</v>
      </c>
      <c r="BH678" s="457">
        <f t="shared" si="44"/>
        <v>0.10638297872340426</v>
      </c>
      <c r="BI678" s="458">
        <f t="shared" si="43"/>
        <v>6.3829787234042548E-2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122" t="s">
        <v>519</v>
      </c>
      <c r="H679" s="2122"/>
      <c r="I679" s="2122"/>
      <c r="J679" s="2122"/>
      <c r="K679" s="2122"/>
      <c r="L679" s="2122"/>
      <c r="M679" s="2122"/>
      <c r="N679" s="2122"/>
      <c r="O679" s="2122"/>
      <c r="P679" s="2122"/>
      <c r="Q679" s="2122"/>
      <c r="R679" s="2122"/>
      <c r="T679" s="35"/>
      <c r="U679" s="12" t="s">
        <v>606</v>
      </c>
      <c r="Z679" s="2095" t="str">
        <f>G679</f>
        <v>Los Angeles</v>
      </c>
      <c r="AA679" s="2095"/>
      <c r="AB679" s="2095"/>
      <c r="AC679" s="2095"/>
      <c r="AD679" s="2095"/>
      <c r="AE679" s="2095"/>
      <c r="AF679" s="2095"/>
      <c r="AG679" s="2095"/>
      <c r="AH679" s="2095"/>
      <c r="AI679" s="2095"/>
      <c r="AJ679" s="2095"/>
      <c r="AK679" s="2095"/>
      <c r="AZ679" s="58"/>
      <c r="BA679" s="443" t="str">
        <f t="shared" si="41"/>
        <v>N/A</v>
      </c>
      <c r="BB679" s="58"/>
      <c r="BC679" s="58"/>
      <c r="BD679" s="58"/>
      <c r="BE679" s="58"/>
      <c r="BF679" s="379"/>
      <c r="BG679" s="454">
        <f t="shared" si="42"/>
        <v>2</v>
      </c>
      <c r="BH679" s="457">
        <f t="shared" si="44"/>
        <v>4.2553191489361701E-2</v>
      </c>
      <c r="BI679" s="458">
        <f t="shared" si="43"/>
        <v>1.7021276595744681E-2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22" t="s">
        <v>2615</v>
      </c>
      <c r="H680" s="2122"/>
      <c r="I680" s="2122"/>
      <c r="J680" s="2122"/>
      <c r="K680" s="2122"/>
      <c r="L680" s="2122"/>
      <c r="M680" s="2122"/>
      <c r="N680" s="2122"/>
      <c r="O680" s="2122"/>
      <c r="P680" s="2122"/>
      <c r="Q680" s="2122"/>
      <c r="R680" s="2122"/>
      <c r="T680" s="35"/>
      <c r="U680" s="12" t="s">
        <v>17</v>
      </c>
      <c r="Z680" s="2095" t="str">
        <f>G680</f>
        <v>Mee Heh Risdon</v>
      </c>
      <c r="AA680" s="2095"/>
      <c r="AB680" s="2095"/>
      <c r="AC680" s="2095"/>
      <c r="AD680" s="2095"/>
      <c r="AE680" s="2095"/>
      <c r="AF680" s="2095"/>
      <c r="AG680" s="2095"/>
      <c r="AH680" s="2095"/>
      <c r="AI680" s="2095"/>
      <c r="AJ680" s="2095"/>
      <c r="AK680" s="2095"/>
      <c r="AZ680" s="58"/>
      <c r="BA680" s="443" t="str">
        <f t="shared" si="41"/>
        <v>N/A</v>
      </c>
      <c r="BB680" s="58"/>
      <c r="BC680" s="58"/>
      <c r="BD680" s="58"/>
      <c r="BE680" s="58"/>
      <c r="BF680" s="379"/>
      <c r="BG680" s="454">
        <f t="shared" si="42"/>
        <v>0</v>
      </c>
      <c r="BH680" s="457">
        <f t="shared" si="44"/>
        <v>0</v>
      </c>
      <c r="BI680" s="458" t="str">
        <f t="shared" si="43"/>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380" t="s">
        <v>2616</v>
      </c>
      <c r="H681" s="2368"/>
      <c r="I681" s="2368"/>
      <c r="J681" s="2368"/>
      <c r="K681" s="2368"/>
      <c r="L681" s="2368"/>
      <c r="O681" s="137" t="s">
        <v>211</v>
      </c>
      <c r="P681" s="2094">
        <v>236</v>
      </c>
      <c r="Q681" s="2094"/>
      <c r="R681" s="2094"/>
      <c r="T681" s="35"/>
      <c r="U681" s="12" t="s">
        <v>321</v>
      </c>
      <c r="Z681" s="2368" t="str">
        <f>G681</f>
        <v>213-480-0809</v>
      </c>
      <c r="AA681" s="2368"/>
      <c r="AB681" s="2368"/>
      <c r="AC681" s="2368"/>
      <c r="AD681" s="2368"/>
      <c r="AE681" s="2368"/>
      <c r="AH681" s="137" t="s">
        <v>211</v>
      </c>
      <c r="AI681" s="2094">
        <v>236</v>
      </c>
      <c r="AJ681" s="2094"/>
      <c r="AK681" s="2094"/>
      <c r="AZ681" s="58"/>
      <c r="BA681" s="443" t="str">
        <f t="shared" si="41"/>
        <v>N/A</v>
      </c>
      <c r="BB681" s="58"/>
      <c r="BC681" s="58"/>
      <c r="BD681" s="58"/>
      <c r="BE681" s="58"/>
      <c r="BF681" s="379"/>
      <c r="BG681" s="454">
        <f t="shared" si="42"/>
        <v>0</v>
      </c>
      <c r="BH681" s="457">
        <f t="shared" si="44"/>
        <v>0</v>
      </c>
      <c r="BI681" s="458" t="str">
        <f t="shared" si="43"/>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122" t="s">
        <v>2748</v>
      </c>
      <c r="I682" s="2122"/>
      <c r="J682" s="2122"/>
      <c r="K682" s="2122"/>
      <c r="L682" s="2122"/>
      <c r="M682" s="2122"/>
      <c r="N682" s="2122"/>
      <c r="O682" s="2122"/>
      <c r="P682" s="2122"/>
      <c r="Q682" s="2122"/>
      <c r="R682" s="2122"/>
      <c r="T682" s="35"/>
      <c r="U682" s="12" t="s">
        <v>18</v>
      </c>
      <c r="AA682" s="2122" t="s">
        <v>2749</v>
      </c>
      <c r="AB682" s="2122"/>
      <c r="AC682" s="2122"/>
      <c r="AD682" s="2122"/>
      <c r="AE682" s="2122"/>
      <c r="AF682" s="2122"/>
      <c r="AG682" s="2122"/>
      <c r="AH682" s="2122"/>
      <c r="AI682" s="2122"/>
      <c r="AJ682" s="2122"/>
      <c r="AK682" s="2122"/>
      <c r="AZ682" s="58"/>
      <c r="BA682" s="443" t="str">
        <f t="shared" si="41"/>
        <v>N/A</v>
      </c>
      <c r="BB682" s="58"/>
      <c r="BC682" s="58"/>
      <c r="BD682" s="58"/>
      <c r="BE682" s="58"/>
      <c r="BF682" s="379"/>
      <c r="BG682" s="454">
        <f t="shared" si="42"/>
        <v>0</v>
      </c>
      <c r="BH682" s="457">
        <f t="shared" si="44"/>
        <v>0</v>
      </c>
      <c r="BI682" s="458" t="str">
        <f t="shared" si="43"/>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99" t="s">
        <v>570</v>
      </c>
      <c r="O683" s="2099"/>
      <c r="T683" s="35"/>
      <c r="U683" s="12" t="s">
        <v>20</v>
      </c>
      <c r="AG683" s="2099" t="s">
        <v>570</v>
      </c>
      <c r="AH683" s="2099"/>
      <c r="AZ683" s="58"/>
      <c r="BA683" s="443" t="str">
        <f t="shared" si="41"/>
        <v>N/A</v>
      </c>
      <c r="BB683" s="58"/>
      <c r="BC683" s="58"/>
      <c r="BD683" s="58"/>
      <c r="BE683" s="58"/>
      <c r="BF683" s="379"/>
      <c r="BG683" s="454">
        <f t="shared" si="42"/>
        <v>0</v>
      </c>
      <c r="BH683" s="457">
        <f t="shared" si="44"/>
        <v>0</v>
      </c>
      <c r="BI683" s="458" t="str">
        <f t="shared" si="43"/>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1"/>
        <v>N/A</v>
      </c>
      <c r="BB684" s="58"/>
      <c r="BC684" s="58"/>
      <c r="BD684" s="58"/>
      <c r="BE684" s="58"/>
      <c r="BF684" s="379"/>
      <c r="BG684" s="454">
        <f t="shared" si="42"/>
        <v>0</v>
      </c>
      <c r="BH684" s="457">
        <f t="shared" si="44"/>
        <v>0</v>
      </c>
      <c r="BI684" s="458" t="str">
        <f t="shared" si="43"/>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88">
        <f>C645</f>
        <v>0</v>
      </c>
      <c r="H685" s="2088"/>
      <c r="I685" s="2088"/>
      <c r="J685" s="2088"/>
      <c r="K685" s="2088"/>
      <c r="L685" s="2088"/>
      <c r="M685" s="2088"/>
      <c r="N685" s="2088"/>
      <c r="O685" s="2088"/>
      <c r="P685" s="2088"/>
      <c r="Q685" s="2088"/>
      <c r="R685" s="2088"/>
      <c r="T685" s="87" t="s">
        <v>672</v>
      </c>
      <c r="U685" s="12" t="s">
        <v>488</v>
      </c>
      <c r="Z685" s="2088">
        <f>C646</f>
        <v>0</v>
      </c>
      <c r="AA685" s="2088"/>
      <c r="AB685" s="2088"/>
      <c r="AC685" s="2088"/>
      <c r="AD685" s="2088"/>
      <c r="AE685" s="2088"/>
      <c r="AF685" s="2088"/>
      <c r="AG685" s="2088"/>
      <c r="AH685" s="2088"/>
      <c r="AI685" s="2088"/>
      <c r="AJ685" s="2088"/>
      <c r="AK685" s="2088"/>
      <c r="AZ685" s="58"/>
      <c r="BA685" s="443" t="str">
        <f t="shared" si="41"/>
        <v>N/A</v>
      </c>
      <c r="BB685" s="58"/>
      <c r="BC685" s="58"/>
      <c r="BD685" s="58"/>
      <c r="BE685" s="58"/>
      <c r="BF685" s="379"/>
      <c r="BG685" s="454">
        <f t="shared" si="42"/>
        <v>0</v>
      </c>
      <c r="BH685" s="457">
        <f t="shared" si="44"/>
        <v>0</v>
      </c>
      <c r="BI685" s="458" t="str">
        <f t="shared" si="43"/>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122"/>
      <c r="H686" s="2122"/>
      <c r="I686" s="2122"/>
      <c r="J686" s="2122"/>
      <c r="K686" s="2122"/>
      <c r="L686" s="2122"/>
      <c r="M686" s="2122"/>
      <c r="N686" s="2122"/>
      <c r="O686" s="2122"/>
      <c r="P686" s="2122"/>
      <c r="Q686" s="2122"/>
      <c r="R686" s="2122"/>
      <c r="T686" s="35"/>
      <c r="U686" s="12" t="s">
        <v>90</v>
      </c>
      <c r="Z686" s="2122"/>
      <c r="AA686" s="2122"/>
      <c r="AB686" s="2122"/>
      <c r="AC686" s="2122"/>
      <c r="AD686" s="2122"/>
      <c r="AE686" s="2122"/>
      <c r="AF686" s="2122"/>
      <c r="AG686" s="2122"/>
      <c r="AH686" s="2122"/>
      <c r="AI686" s="2122"/>
      <c r="AJ686" s="2122"/>
      <c r="AK686" s="2122"/>
      <c r="AZ686" s="58"/>
      <c r="BA686" s="443" t="str">
        <f t="shared" si="41"/>
        <v>N/A</v>
      </c>
      <c r="BB686" s="58"/>
      <c r="BC686" s="58"/>
      <c r="BD686" s="58"/>
      <c r="BE686" s="58"/>
      <c r="BF686" s="379"/>
      <c r="BG686" s="454">
        <f t="shared" si="42"/>
        <v>0</v>
      </c>
      <c r="BH686" s="457">
        <f t="shared" si="44"/>
        <v>0</v>
      </c>
      <c r="BI686" s="458" t="str">
        <f t="shared" si="43"/>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122"/>
      <c r="H687" s="2122"/>
      <c r="I687" s="2122"/>
      <c r="J687" s="2122"/>
      <c r="K687" s="2122"/>
      <c r="L687" s="2122"/>
      <c r="M687" s="2122"/>
      <c r="N687" s="2122"/>
      <c r="O687" s="2122"/>
      <c r="P687" s="2122"/>
      <c r="Q687" s="2122"/>
      <c r="R687" s="2122"/>
      <c r="T687" s="35"/>
      <c r="U687" s="12" t="s">
        <v>606</v>
      </c>
      <c r="Z687" s="2095"/>
      <c r="AA687" s="2095"/>
      <c r="AB687" s="2095"/>
      <c r="AC687" s="2095"/>
      <c r="AD687" s="2095"/>
      <c r="AE687" s="2095"/>
      <c r="AF687" s="2095"/>
      <c r="AG687" s="2095"/>
      <c r="AH687" s="2095"/>
      <c r="AI687" s="2095"/>
      <c r="AJ687" s="2095"/>
      <c r="AK687" s="2095"/>
      <c r="AZ687" s="58"/>
      <c r="BA687" s="443" t="str">
        <f t="shared" si="41"/>
        <v>N/A</v>
      </c>
      <c r="BB687" s="58"/>
      <c r="BC687" s="58"/>
      <c r="BD687" s="58"/>
      <c r="BE687" s="58"/>
      <c r="BF687" s="379"/>
      <c r="BG687" s="454">
        <f t="shared" si="42"/>
        <v>0</v>
      </c>
      <c r="BH687" s="457">
        <f t="shared" si="44"/>
        <v>0</v>
      </c>
      <c r="BI687" s="458" t="str">
        <f t="shared" si="43"/>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122"/>
      <c r="H688" s="2122"/>
      <c r="I688" s="2122"/>
      <c r="J688" s="2122"/>
      <c r="K688" s="2122"/>
      <c r="L688" s="2122"/>
      <c r="M688" s="2122"/>
      <c r="N688" s="2122"/>
      <c r="O688" s="2122"/>
      <c r="P688" s="2122"/>
      <c r="Q688" s="2122"/>
      <c r="R688" s="2122"/>
      <c r="T688" s="35"/>
      <c r="U688" s="12" t="s">
        <v>17</v>
      </c>
      <c r="Z688" s="2095"/>
      <c r="AA688" s="2095"/>
      <c r="AB688" s="2095"/>
      <c r="AC688" s="2095"/>
      <c r="AD688" s="2095"/>
      <c r="AE688" s="2095"/>
      <c r="AF688" s="2095"/>
      <c r="AG688" s="2095"/>
      <c r="AH688" s="2095"/>
      <c r="AI688" s="2095"/>
      <c r="AJ688" s="2095"/>
      <c r="AK688" s="2095"/>
      <c r="AZ688" s="58"/>
      <c r="BA688" s="443" t="str">
        <f t="shared" si="41"/>
        <v>N/A</v>
      </c>
      <c r="BB688" s="58"/>
      <c r="BC688" s="58"/>
      <c r="BD688" s="58"/>
      <c r="BE688" s="58"/>
      <c r="BF688" s="379"/>
      <c r="BG688" s="454">
        <f t="shared" si="42"/>
        <v>0</v>
      </c>
      <c r="BH688" s="457">
        <f t="shared" si="44"/>
        <v>0</v>
      </c>
      <c r="BI688" s="458" t="str">
        <f t="shared" si="43"/>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368"/>
      <c r="H689" s="2368"/>
      <c r="I689" s="2368"/>
      <c r="J689" s="2368"/>
      <c r="K689" s="2368"/>
      <c r="L689" s="2368"/>
      <c r="O689" s="137" t="s">
        <v>211</v>
      </c>
      <c r="P689" s="2094"/>
      <c r="Q689" s="2094"/>
      <c r="R689" s="2094"/>
      <c r="T689" s="35"/>
      <c r="U689" s="12" t="s">
        <v>321</v>
      </c>
      <c r="Z689" s="2368"/>
      <c r="AA689" s="2368"/>
      <c r="AB689" s="2368"/>
      <c r="AC689" s="2368"/>
      <c r="AD689" s="2368"/>
      <c r="AE689" s="2368"/>
      <c r="AH689" s="137" t="s">
        <v>211</v>
      </c>
      <c r="AI689" s="2094"/>
      <c r="AJ689" s="2094"/>
      <c r="AK689" s="2094"/>
      <c r="AZ689" s="58"/>
      <c r="BA689" s="443" t="str">
        <f t="shared" si="41"/>
        <v>N/A</v>
      </c>
      <c r="BB689" s="58"/>
      <c r="BC689" s="58"/>
      <c r="BD689" s="58"/>
      <c r="BE689" s="58"/>
      <c r="BF689" s="379"/>
      <c r="BG689" s="454">
        <f t="shared" si="42"/>
        <v>0</v>
      </c>
      <c r="BH689" s="457">
        <f t="shared" si="44"/>
        <v>0</v>
      </c>
      <c r="BI689" s="458" t="str">
        <f t="shared" si="43"/>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122"/>
      <c r="I690" s="2122"/>
      <c r="J690" s="2122"/>
      <c r="K690" s="2122"/>
      <c r="L690" s="2122"/>
      <c r="M690" s="2122"/>
      <c r="N690" s="2122"/>
      <c r="O690" s="2122"/>
      <c r="P690" s="2122"/>
      <c r="Q690" s="2122"/>
      <c r="R690" s="2122"/>
      <c r="T690" s="35"/>
      <c r="U690" s="12" t="s">
        <v>18</v>
      </c>
      <c r="AA690" s="2122"/>
      <c r="AB690" s="2122"/>
      <c r="AC690" s="2122"/>
      <c r="AD690" s="2122"/>
      <c r="AE690" s="2122"/>
      <c r="AF690" s="2122"/>
      <c r="AG690" s="2122"/>
      <c r="AH690" s="2122"/>
      <c r="AI690" s="2122"/>
      <c r="AJ690" s="2122"/>
      <c r="AK690" s="2122"/>
      <c r="AZ690" s="58"/>
      <c r="BA690" s="443" t="str">
        <f t="shared" si="41"/>
        <v>N/A</v>
      </c>
      <c r="BB690" s="58"/>
      <c r="BC690" s="58"/>
      <c r="BD690" s="58"/>
      <c r="BE690" s="58"/>
      <c r="BF690" s="379"/>
      <c r="BG690" s="454">
        <f t="shared" si="42"/>
        <v>0</v>
      </c>
      <c r="BH690" s="457">
        <f t="shared" si="44"/>
        <v>0</v>
      </c>
      <c r="BI690" s="458" t="str">
        <f t="shared" si="43"/>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99" t="s">
        <v>695</v>
      </c>
      <c r="O691" s="2099"/>
      <c r="T691" s="35"/>
      <c r="U691" s="12" t="s">
        <v>20</v>
      </c>
      <c r="AG691" s="2099" t="s">
        <v>695</v>
      </c>
      <c r="AH691" s="2099"/>
      <c r="AZ691" s="58"/>
      <c r="BA691" s="443" t="str">
        <f t="shared" si="41"/>
        <v>N/A</v>
      </c>
      <c r="BB691" s="58"/>
      <c r="BF691" s="379"/>
      <c r="BG691" s="454">
        <f t="shared" si="42"/>
        <v>0</v>
      </c>
      <c r="BH691" s="457">
        <f t="shared" si="44"/>
        <v>0</v>
      </c>
      <c r="BI691" s="458" t="str">
        <f t="shared" si="43"/>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1"/>
        <v>N/A</v>
      </c>
      <c r="BB692" s="58"/>
      <c r="BF692" s="379"/>
      <c r="BG692" s="454">
        <f t="shared" si="42"/>
        <v>0</v>
      </c>
      <c r="BH692" s="457">
        <f t="shared" si="44"/>
        <v>0</v>
      </c>
      <c r="BI692" s="458" t="str">
        <f t="shared" si="43"/>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88">
        <f>C647</f>
        <v>0</v>
      </c>
      <c r="H693" s="2088"/>
      <c r="I693" s="2088"/>
      <c r="J693" s="2088"/>
      <c r="K693" s="2088"/>
      <c r="L693" s="2088"/>
      <c r="M693" s="2088"/>
      <c r="N693" s="2088"/>
      <c r="O693" s="2088"/>
      <c r="P693" s="2088"/>
      <c r="Q693" s="2088"/>
      <c r="R693" s="2088"/>
      <c r="T693" s="87" t="s">
        <v>369</v>
      </c>
      <c r="U693" s="12" t="s">
        <v>488</v>
      </c>
      <c r="Z693" s="2088">
        <f>C648</f>
        <v>0</v>
      </c>
      <c r="AA693" s="2088"/>
      <c r="AB693" s="2088"/>
      <c r="AC693" s="2088"/>
      <c r="AD693" s="2088"/>
      <c r="AE693" s="2088"/>
      <c r="AF693" s="2088"/>
      <c r="AG693" s="2088"/>
      <c r="AH693" s="2088"/>
      <c r="AI693" s="2088"/>
      <c r="AJ693" s="2088"/>
      <c r="AK693" s="2088"/>
      <c r="AZ693" s="58"/>
      <c r="BA693" s="443" t="str">
        <f t="shared" si="41"/>
        <v>N/A</v>
      </c>
      <c r="BB693" s="58"/>
      <c r="BF693" s="379"/>
      <c r="BG693" s="454">
        <f t="shared" si="42"/>
        <v>0</v>
      </c>
      <c r="BH693" s="457">
        <f t="shared" si="44"/>
        <v>0</v>
      </c>
      <c r="BI693" s="458" t="str">
        <f t="shared" si="43"/>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122"/>
      <c r="H694" s="2122"/>
      <c r="I694" s="2122"/>
      <c r="J694" s="2122"/>
      <c r="K694" s="2122"/>
      <c r="L694" s="2122"/>
      <c r="M694" s="2122"/>
      <c r="N694" s="2122"/>
      <c r="O694" s="2122"/>
      <c r="P694" s="2122"/>
      <c r="Q694" s="2122"/>
      <c r="R694" s="2122"/>
      <c r="T694" s="35"/>
      <c r="U694" s="12" t="s">
        <v>90</v>
      </c>
      <c r="Z694" s="2122"/>
      <c r="AA694" s="2122"/>
      <c r="AB694" s="2122"/>
      <c r="AC694" s="2122"/>
      <c r="AD694" s="2122"/>
      <c r="AE694" s="2122"/>
      <c r="AF694" s="2122"/>
      <c r="AG694" s="2122"/>
      <c r="AH694" s="2122"/>
      <c r="AI694" s="2122"/>
      <c r="AJ694" s="2122"/>
      <c r="AK694" s="2122"/>
      <c r="AZ694" s="58"/>
      <c r="BA694" s="443" t="str">
        <f t="shared" si="41"/>
        <v>N/A</v>
      </c>
      <c r="BB694" s="58"/>
      <c r="BF694" s="379"/>
      <c r="BG694" s="454">
        <f t="shared" si="42"/>
        <v>0</v>
      </c>
      <c r="BH694" s="457">
        <f t="shared" si="44"/>
        <v>0</v>
      </c>
      <c r="BI694" s="458" t="str">
        <f t="shared" si="43"/>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122"/>
      <c r="H695" s="2122"/>
      <c r="I695" s="2122"/>
      <c r="J695" s="2122"/>
      <c r="K695" s="2122"/>
      <c r="L695" s="2122"/>
      <c r="M695" s="2122"/>
      <c r="N695" s="2122"/>
      <c r="O695" s="2122"/>
      <c r="P695" s="2122"/>
      <c r="Q695" s="2122"/>
      <c r="R695" s="2122"/>
      <c r="U695" s="12" t="s">
        <v>606</v>
      </c>
      <c r="Z695" s="2095"/>
      <c r="AA695" s="2095"/>
      <c r="AB695" s="2095"/>
      <c r="AC695" s="2095"/>
      <c r="AD695" s="2095"/>
      <c r="AE695" s="2095"/>
      <c r="AF695" s="2095"/>
      <c r="AG695" s="2095"/>
      <c r="AH695" s="2095"/>
      <c r="AI695" s="2095"/>
      <c r="AJ695" s="2095"/>
      <c r="AK695" s="2095"/>
      <c r="AZ695" s="58"/>
      <c r="BA695" s="58"/>
      <c r="BB695" s="58"/>
      <c r="BC695" s="58"/>
      <c r="BF695" s="379"/>
      <c r="BG695" s="454">
        <f t="shared" si="42"/>
        <v>0</v>
      </c>
      <c r="BH695" s="457">
        <f t="shared" si="44"/>
        <v>0</v>
      </c>
      <c r="BI695" s="458" t="str">
        <f t="shared" si="43"/>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122"/>
      <c r="H696" s="2122"/>
      <c r="I696" s="2122"/>
      <c r="J696" s="2122"/>
      <c r="K696" s="2122"/>
      <c r="L696" s="2122"/>
      <c r="M696" s="2122"/>
      <c r="N696" s="2122"/>
      <c r="O696" s="2122"/>
      <c r="P696" s="2122"/>
      <c r="Q696" s="2122"/>
      <c r="R696" s="2122"/>
      <c r="U696" s="12" t="s">
        <v>17</v>
      </c>
      <c r="Z696" s="2095"/>
      <c r="AA696" s="2095"/>
      <c r="AB696" s="2095"/>
      <c r="AC696" s="2095"/>
      <c r="AD696" s="2095"/>
      <c r="AE696" s="2095"/>
      <c r="AF696" s="2095"/>
      <c r="AG696" s="2095"/>
      <c r="AH696" s="2095"/>
      <c r="AI696" s="2095"/>
      <c r="AJ696" s="2095"/>
      <c r="AK696" s="2095"/>
      <c r="AZ696" s="58"/>
      <c r="BA696" s="58"/>
      <c r="BB696" s="58"/>
      <c r="BC696" s="58"/>
      <c r="BD696" s="58"/>
      <c r="BF696" s="450" t="s">
        <v>951</v>
      </c>
      <c r="BG696" s="459">
        <f>SUM(BG671:BG695)</f>
        <v>47</v>
      </c>
      <c r="BH696" s="460">
        <f>SUM(BH671:BH695)</f>
        <v>1</v>
      </c>
      <c r="BI696" s="460">
        <f>SUM(BI671:BI695)</f>
        <v>0.4212765957446809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368"/>
      <c r="H697" s="2368"/>
      <c r="I697" s="2368"/>
      <c r="J697" s="2368"/>
      <c r="K697" s="2368"/>
      <c r="L697" s="2368"/>
      <c r="O697" s="137" t="s">
        <v>211</v>
      </c>
      <c r="P697" s="2094"/>
      <c r="Q697" s="2094"/>
      <c r="R697" s="2094"/>
      <c r="U697" s="12" t="s">
        <v>321</v>
      </c>
      <c r="Z697" s="2368"/>
      <c r="AA697" s="2368"/>
      <c r="AB697" s="2368"/>
      <c r="AC697" s="2368"/>
      <c r="AD697" s="2368"/>
      <c r="AE697" s="2368"/>
      <c r="AH697" s="137" t="s">
        <v>211</v>
      </c>
      <c r="AI697" s="2094"/>
      <c r="AJ697" s="2094"/>
      <c r="AK697" s="209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122"/>
      <c r="I698" s="2122"/>
      <c r="J698" s="2122"/>
      <c r="K698" s="2122"/>
      <c r="L698" s="2122"/>
      <c r="M698" s="2122"/>
      <c r="N698" s="2122"/>
      <c r="O698" s="2122"/>
      <c r="P698" s="2122"/>
      <c r="Q698" s="2122"/>
      <c r="R698" s="2122"/>
      <c r="U698" s="12" t="s">
        <v>18</v>
      </c>
      <c r="AA698" s="2122"/>
      <c r="AB698" s="2122"/>
      <c r="AC698" s="2122"/>
      <c r="AD698" s="2122"/>
      <c r="AE698" s="2122"/>
      <c r="AF698" s="2122"/>
      <c r="AG698" s="2122"/>
      <c r="AH698" s="2122"/>
      <c r="AI698" s="2122"/>
      <c r="AJ698" s="2122"/>
      <c r="AK698" s="212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99" t="s">
        <v>695</v>
      </c>
      <c r="O699" s="2099"/>
      <c r="U699" s="12" t="s">
        <v>20</v>
      </c>
      <c r="AG699" s="2099" t="s">
        <v>695</v>
      </c>
      <c r="AH699" s="2099"/>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99" t="s">
        <v>570</v>
      </c>
      <c r="AF703" s="20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5">G728</f>
        <v>7</v>
      </c>
      <c r="BH703" s="457">
        <f>BG703/$BG$728</f>
        <v>0.14893617021276595</v>
      </c>
      <c r="BI703" s="458">
        <f t="shared" ref="BI703:BI727" si="46">IF(BH703=0," ",BH703*AH728)</f>
        <v>4.4666557765344873E-2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99" t="s">
        <v>570</v>
      </c>
      <c r="AF704" s="20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5"/>
        <v>9</v>
      </c>
      <c r="BH704" s="457">
        <f t="shared" ref="BH704:BH727" si="47">BG704/$BG$728</f>
        <v>0.19148936170212766</v>
      </c>
      <c r="BI704" s="458">
        <f t="shared" si="46"/>
        <v>5.748112560054907E-2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90">
        <v>44782</v>
      </c>
      <c r="AF705" s="2390"/>
      <c r="AG705" s="2390"/>
      <c r="AH705" s="2390"/>
      <c r="AI705" s="239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5"/>
        <v>1</v>
      </c>
      <c r="BH705" s="457">
        <f t="shared" si="47"/>
        <v>2.1276595744680851E-2</v>
      </c>
      <c r="BI705" s="458">
        <f t="shared" si="46"/>
        <v>6.3809368236206962E-3</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44866</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5"/>
        <v>3</v>
      </c>
      <c r="BH706" s="457">
        <f t="shared" si="47"/>
        <v>6.3829787234042548E-2</v>
      </c>
      <c r="BI706" s="458">
        <f t="shared" si="46"/>
        <v>1.916037520018302E-2</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5"/>
        <v>2</v>
      </c>
      <c r="BH707" s="457">
        <f t="shared" si="47"/>
        <v>4.2553191489361701E-2</v>
      </c>
      <c r="BI707" s="458">
        <f t="shared" si="46"/>
        <v>2.1276595744680851E-2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90">
        <v>44986</v>
      </c>
      <c r="AF708" s="2390"/>
      <c r="AG708" s="2390"/>
      <c r="AH708" s="2390"/>
      <c r="AI708" s="239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5"/>
        <v>13</v>
      </c>
      <c r="BH708" s="457">
        <f t="shared" si="47"/>
        <v>0.27659574468085107</v>
      </c>
      <c r="BI708" s="458">
        <f t="shared" si="46"/>
        <v>0.13829787234042554</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48">
        <v>0.55000000000000004</v>
      </c>
      <c r="AF709" s="2448"/>
      <c r="AG709" s="2448"/>
      <c r="AH709" s="2448"/>
      <c r="AI709" s="244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5"/>
        <v>5</v>
      </c>
      <c r="BH709" s="457">
        <f t="shared" si="47"/>
        <v>0.10638297872340426</v>
      </c>
      <c r="BI709" s="458">
        <f t="shared" si="46"/>
        <v>5.3191489361702128E-2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88" t="str">
        <f>H334</f>
        <v>Los Angeles Community Development Authority</v>
      </c>
      <c r="X710" s="2088"/>
      <c r="Y710" s="2088"/>
      <c r="Z710" s="2088"/>
      <c r="AA710" s="2088"/>
      <c r="AB710" s="2088"/>
      <c r="AC710" s="2088"/>
      <c r="AD710" s="2088"/>
      <c r="AE710" s="2088"/>
      <c r="AF710" s="2088"/>
      <c r="AG710" s="2088"/>
      <c r="AH710" s="2088"/>
      <c r="AI710" s="2088"/>
      <c r="AJ710" s="2088"/>
      <c r="AK710" s="208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5"/>
        <v>5</v>
      </c>
      <c r="BH710" s="457">
        <f t="shared" si="47"/>
        <v>0.10638297872340426</v>
      </c>
      <c r="BI710" s="458">
        <f t="shared" si="46"/>
        <v>6.3867917333943411E-2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5"/>
        <v>2</v>
      </c>
      <c r="BH711" s="457">
        <f t="shared" si="47"/>
        <v>4.2553191489361701E-2</v>
      </c>
      <c r="BI711" s="458">
        <f t="shared" si="46"/>
        <v>1.7029444194878916E-2</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99" t="s">
        <v>695</v>
      </c>
      <c r="AF712" s="20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5"/>
        <v>0</v>
      </c>
      <c r="BH712" s="457">
        <f t="shared" si="47"/>
        <v>0</v>
      </c>
      <c r="BI712" s="458" t="str">
        <f t="shared" si="46"/>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122"/>
      <c r="X713" s="2122"/>
      <c r="Y713" s="2122"/>
      <c r="Z713" s="2122"/>
      <c r="AA713" s="2122"/>
      <c r="AB713" s="2122"/>
      <c r="AC713" s="2122"/>
      <c r="AD713" s="2122"/>
      <c r="AE713" s="2122"/>
      <c r="AF713" s="2122"/>
      <c r="AG713" s="2122"/>
      <c r="AH713" s="2122"/>
      <c r="AI713" s="2122"/>
      <c r="AJ713" s="2122"/>
      <c r="AK713" s="212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5"/>
        <v>0</v>
      </c>
      <c r="BH713" s="457">
        <f t="shared" si="47"/>
        <v>0</v>
      </c>
      <c r="BI713" s="458" t="str">
        <f t="shared" si="46"/>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122"/>
      <c r="K714" s="2122"/>
      <c r="L714" s="2122"/>
      <c r="M714" s="2122"/>
      <c r="N714" s="2122"/>
      <c r="O714" s="2122"/>
      <c r="P714" s="2122"/>
      <c r="Q714" s="2122"/>
      <c r="R714" s="2122"/>
      <c r="S714" s="2122"/>
      <c r="T714" s="2122"/>
      <c r="U714" s="2122"/>
      <c r="V714" s="2122"/>
      <c r="W714" s="2122"/>
      <c r="X714" s="212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5"/>
        <v>0</v>
      </c>
      <c r="BH714" s="457">
        <f t="shared" si="47"/>
        <v>0</v>
      </c>
      <c r="BI714" s="458" t="str">
        <f t="shared" si="46"/>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68"/>
      <c r="K715" s="2368"/>
      <c r="L715" s="2368"/>
      <c r="M715" s="2368"/>
      <c r="N715" s="2368"/>
      <c r="O715" s="2368"/>
      <c r="P715" s="7" t="s">
        <v>211</v>
      </c>
      <c r="Q715" s="7"/>
      <c r="R715" s="2094"/>
      <c r="S715" s="2094"/>
      <c r="T715" s="20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5"/>
        <v>0</v>
      </c>
      <c r="BH715" s="457">
        <f t="shared" si="47"/>
        <v>0</v>
      </c>
      <c r="BI715" s="458" t="str">
        <f t="shared" si="46"/>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122" t="s">
        <v>312</v>
      </c>
      <c r="X716" s="2122"/>
      <c r="Y716" s="2122"/>
      <c r="Z716" s="2122"/>
      <c r="AA716" s="2122"/>
      <c r="AB716" s="2122"/>
      <c r="AC716" s="2122"/>
      <c r="AD716" s="2122"/>
      <c r="AE716" s="2122"/>
      <c r="AF716" s="2122"/>
      <c r="AG716" s="2122"/>
      <c r="AH716" s="2122"/>
      <c r="AI716" s="2122"/>
      <c r="AJ716" s="2122"/>
      <c r="AK716" s="212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5"/>
        <v>0</v>
      </c>
      <c r="BH716" s="457">
        <f t="shared" si="47"/>
        <v>0</v>
      </c>
      <c r="BI716" s="458" t="str">
        <f t="shared" si="46"/>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122" t="s">
        <v>339</v>
      </c>
      <c r="F717" s="2122"/>
      <c r="G717" s="2122"/>
      <c r="H717" s="2122"/>
      <c r="I717" s="2122"/>
      <c r="J717" s="2122"/>
      <c r="K717" s="2122"/>
      <c r="L717" s="2122"/>
      <c r="M717" s="2122"/>
      <c r="N717" s="2122"/>
      <c r="O717" s="2122"/>
      <c r="P717" s="2122"/>
      <c r="Q717" s="2122"/>
      <c r="R717" s="2122"/>
      <c r="S717" s="2122"/>
      <c r="T717" s="2122"/>
      <c r="U717" s="2122"/>
      <c r="V717" s="2122"/>
      <c r="W717" s="2122"/>
      <c r="X717" s="2122"/>
      <c r="Y717" s="2122"/>
      <c r="Z717" s="2122"/>
      <c r="AA717" s="2122"/>
      <c r="AB717" s="2122"/>
      <c r="AC717" s="2122"/>
      <c r="AD717" s="2122"/>
      <c r="AE717" s="2122"/>
      <c r="AF717" s="2122"/>
      <c r="AG717" s="2122"/>
      <c r="AH717" s="2122"/>
      <c r="AI717" s="2122"/>
      <c r="AJ717" s="2122"/>
      <c r="AK717" s="212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5"/>
        <v>0</v>
      </c>
      <c r="BH717" s="457">
        <f t="shared" si="47"/>
        <v>0</v>
      </c>
      <c r="BI717" s="458" t="str">
        <f t="shared" si="46"/>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5"/>
        <v>0</v>
      </c>
      <c r="BH718" s="457">
        <f t="shared" si="47"/>
        <v>0</v>
      </c>
      <c r="BI718" s="458" t="str">
        <f t="shared" si="46"/>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1" t="s">
        <v>100</v>
      </c>
      <c r="B719" s="1901"/>
      <c r="C719" s="1901"/>
      <c r="D719" s="1901"/>
      <c r="E719" s="1901"/>
      <c r="F719" s="1901"/>
      <c r="G719" s="1901"/>
      <c r="H719" s="1901"/>
      <c r="I719" s="1901"/>
      <c r="J719" s="1901"/>
      <c r="K719" s="1901"/>
      <c r="L719" s="1901"/>
      <c r="M719" s="1901"/>
      <c r="N719" s="1901"/>
      <c r="O719" s="1901"/>
      <c r="P719" s="1901"/>
      <c r="Q719" s="1901"/>
      <c r="R719" s="1901"/>
      <c r="S719" s="1901"/>
      <c r="T719" s="1901"/>
      <c r="U719" s="1901"/>
      <c r="V719" s="1901"/>
      <c r="W719" s="1901"/>
      <c r="X719" s="1901"/>
      <c r="Y719" s="1901"/>
      <c r="Z719" s="1901"/>
      <c r="AA719" s="1901"/>
      <c r="AB719" s="1901"/>
      <c r="AC719" s="1901"/>
      <c r="AD719" s="1901"/>
      <c r="AE719" s="1901"/>
      <c r="AF719" s="1901"/>
      <c r="AG719" s="1901"/>
      <c r="AH719" s="1901"/>
      <c r="AI719" s="1901"/>
      <c r="AJ719" s="1901"/>
      <c r="AK719" s="1901"/>
      <c r="AL719" s="1901"/>
      <c r="AM719" s="1901"/>
      <c r="AN719" s="1901"/>
      <c r="AO719" s="1901"/>
      <c r="AP719" s="1425"/>
      <c r="AQ719" s="1425"/>
      <c r="AR719" s="1425"/>
      <c r="AS719" s="1425"/>
      <c r="AT719" s="88"/>
      <c r="AU719" s="88"/>
      <c r="AV719" s="88"/>
      <c r="AW719" s="88"/>
      <c r="AX719" s="88"/>
      <c r="AY719" s="88"/>
      <c r="AZ719" s="58"/>
      <c r="BA719" s="58"/>
      <c r="BB719" s="58"/>
      <c r="BC719" s="58"/>
      <c r="BD719" s="58"/>
      <c r="BE719" s="58"/>
      <c r="BF719" s="58"/>
      <c r="BG719" s="454">
        <f t="shared" si="45"/>
        <v>0</v>
      </c>
      <c r="BH719" s="457">
        <f t="shared" si="47"/>
        <v>0</v>
      </c>
      <c r="BI719" s="458" t="str">
        <f t="shared" si="46"/>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1"/>
      <c r="B720" s="1901"/>
      <c r="C720" s="1901"/>
      <c r="D720" s="1901"/>
      <c r="E720" s="1901"/>
      <c r="F720" s="1901"/>
      <c r="G720" s="1901"/>
      <c r="H720" s="1901"/>
      <c r="I720" s="1901"/>
      <c r="J720" s="1901"/>
      <c r="K720" s="1901"/>
      <c r="L720" s="1901"/>
      <c r="M720" s="1901"/>
      <c r="N720" s="1901"/>
      <c r="O720" s="1901"/>
      <c r="P720" s="1901"/>
      <c r="Q720" s="1901"/>
      <c r="R720" s="1901"/>
      <c r="S720" s="1901"/>
      <c r="T720" s="1901"/>
      <c r="U720" s="1901"/>
      <c r="V720" s="1901"/>
      <c r="W720" s="1901"/>
      <c r="X720" s="1901"/>
      <c r="Y720" s="1901"/>
      <c r="Z720" s="1901"/>
      <c r="AA720" s="1901"/>
      <c r="AB720" s="1901"/>
      <c r="AC720" s="1901"/>
      <c r="AD720" s="1901"/>
      <c r="AE720" s="1901"/>
      <c r="AF720" s="1901"/>
      <c r="AG720" s="1901"/>
      <c r="AH720" s="1901"/>
      <c r="AI720" s="1901"/>
      <c r="AJ720" s="1901"/>
      <c r="AK720" s="1901"/>
      <c r="AL720" s="1901"/>
      <c r="AM720" s="1901"/>
      <c r="AN720" s="1901"/>
      <c r="AO720" s="1901"/>
      <c r="AP720" s="1425"/>
      <c r="AQ720" s="1425"/>
      <c r="AR720" s="1425"/>
      <c r="AS720" s="1425"/>
      <c r="AT720" s="88"/>
      <c r="AU720" s="88"/>
      <c r="AV720" s="88"/>
      <c r="AW720" s="88"/>
      <c r="AX720" s="88"/>
      <c r="AY720" s="88"/>
      <c r="AZ720" s="58"/>
      <c r="BA720" s="58"/>
      <c r="BB720" s="58"/>
      <c r="BC720" s="58"/>
      <c r="BD720" s="58"/>
      <c r="BE720" s="58"/>
      <c r="BF720" s="58"/>
      <c r="BG720" s="454">
        <f t="shared" si="45"/>
        <v>0</v>
      </c>
      <c r="BH720" s="457">
        <f t="shared" si="47"/>
        <v>0</v>
      </c>
      <c r="BI720" s="458" t="str">
        <f t="shared" si="46"/>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1"/>
      <c r="B721" s="1901"/>
      <c r="C721" s="1901"/>
      <c r="D721" s="1901"/>
      <c r="E721" s="1901"/>
      <c r="F721" s="1901"/>
      <c r="G721" s="1901"/>
      <c r="H721" s="1901"/>
      <c r="I721" s="1901"/>
      <c r="J721" s="1901"/>
      <c r="K721" s="1901"/>
      <c r="L721" s="1901"/>
      <c r="M721" s="1901"/>
      <c r="N721" s="1901"/>
      <c r="O721" s="1901"/>
      <c r="P721" s="1901"/>
      <c r="Q721" s="1901"/>
      <c r="R721" s="1901"/>
      <c r="S721" s="1901"/>
      <c r="T721" s="1901"/>
      <c r="U721" s="1901"/>
      <c r="V721" s="1901"/>
      <c r="W721" s="1901"/>
      <c r="X721" s="1901"/>
      <c r="Y721" s="1901"/>
      <c r="Z721" s="1901"/>
      <c r="AA721" s="1901"/>
      <c r="AB721" s="1901"/>
      <c r="AC721" s="1901"/>
      <c r="AD721" s="1901"/>
      <c r="AE721" s="1901"/>
      <c r="AF721" s="1901"/>
      <c r="AG721" s="1901"/>
      <c r="AH721" s="1901"/>
      <c r="AI721" s="1901"/>
      <c r="AJ721" s="1901"/>
      <c r="AK721" s="1901"/>
      <c r="AL721" s="1901"/>
      <c r="AM721" s="1901"/>
      <c r="AN721" s="1901"/>
      <c r="AO721" s="1901"/>
      <c r="AT721" s="88"/>
      <c r="AU721" s="88"/>
      <c r="AV721" s="88"/>
      <c r="AW721" s="88"/>
      <c r="AX721" s="88"/>
      <c r="AY721" s="88"/>
      <c r="AZ721" s="58"/>
      <c r="BA721" s="58"/>
      <c r="BB721" s="58"/>
      <c r="BC721" s="58"/>
      <c r="BD721" s="58"/>
      <c r="BE721" s="58"/>
      <c r="BF721" s="58"/>
      <c r="BG721" s="454">
        <f t="shared" si="45"/>
        <v>0</v>
      </c>
      <c r="BH721" s="457">
        <f t="shared" si="47"/>
        <v>0</v>
      </c>
      <c r="BI721" s="458" t="str">
        <f t="shared" si="46"/>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5"/>
        <v>0</v>
      </c>
      <c r="BH722" s="457">
        <f t="shared" si="47"/>
        <v>0</v>
      </c>
      <c r="BI722" s="458" t="str">
        <f t="shared" si="46"/>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5"/>
        <v>0</v>
      </c>
      <c r="BH723" s="457">
        <f t="shared" si="47"/>
        <v>0</v>
      </c>
      <c r="BI723" s="458" t="str">
        <f t="shared" si="46"/>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28" t="s">
        <v>403</v>
      </c>
      <c r="C724" s="2329"/>
      <c r="D724" s="2329"/>
      <c r="E724" s="2329"/>
      <c r="F724" s="2330"/>
      <c r="G724" s="2328" t="s">
        <v>290</v>
      </c>
      <c r="H724" s="2329"/>
      <c r="I724" s="2329"/>
      <c r="J724" s="2330"/>
      <c r="K724" s="2337" t="s">
        <v>1991</v>
      </c>
      <c r="L724" s="2338"/>
      <c r="M724" s="2338"/>
      <c r="N724" s="2339"/>
      <c r="O724" s="2328" t="s">
        <v>471</v>
      </c>
      <c r="P724" s="2329"/>
      <c r="Q724" s="2329"/>
      <c r="R724" s="2329"/>
      <c r="S724" s="2330"/>
      <c r="T724" s="2391" t="s">
        <v>2403</v>
      </c>
      <c r="U724" s="2329"/>
      <c r="V724" s="2329"/>
      <c r="W724" s="2330"/>
      <c r="X724" s="2391" t="s">
        <v>2405</v>
      </c>
      <c r="Y724" s="2329"/>
      <c r="Z724" s="2329"/>
      <c r="AA724" s="2329"/>
      <c r="AB724" s="2330"/>
      <c r="AC724" s="2391" t="s">
        <v>2404</v>
      </c>
      <c r="AD724" s="2329"/>
      <c r="AE724" s="2329"/>
      <c r="AF724" s="2329"/>
      <c r="AG724" s="2330"/>
      <c r="AH724" s="2391" t="s">
        <v>2406</v>
      </c>
      <c r="AI724" s="2329"/>
      <c r="AJ724" s="2330"/>
      <c r="AK724" s="2391" t="s">
        <v>2442</v>
      </c>
      <c r="AL724" s="2329"/>
      <c r="AM724" s="2329"/>
      <c r="AN724" s="2329"/>
      <c r="AO724" s="2330"/>
      <c r="AP724" s="239"/>
      <c r="AQ724" s="239"/>
      <c r="AR724" s="239"/>
      <c r="AS724" s="239"/>
      <c r="AY724" s="1664"/>
      <c r="AZ724" s="1664"/>
      <c r="BA724" s="1664"/>
      <c r="BB724" s="1664"/>
      <c r="BC724" s="1664"/>
      <c r="BD724" s="58"/>
      <c r="BE724" s="58"/>
      <c r="BF724" s="58"/>
      <c r="BG724" s="454">
        <f t="shared" si="45"/>
        <v>0</v>
      </c>
      <c r="BH724" s="457">
        <f t="shared" si="47"/>
        <v>0</v>
      </c>
      <c r="BI724" s="458" t="str">
        <f t="shared" si="46"/>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31"/>
      <c r="C725" s="2332"/>
      <c r="D725" s="2332"/>
      <c r="E725" s="2332"/>
      <c r="F725" s="2333"/>
      <c r="G725" s="2331"/>
      <c r="H725" s="2332"/>
      <c r="I725" s="2332"/>
      <c r="J725" s="2333"/>
      <c r="K725" s="2340"/>
      <c r="L725" s="2341"/>
      <c r="M725" s="2341"/>
      <c r="N725" s="2342"/>
      <c r="O725" s="2331"/>
      <c r="P725" s="2332"/>
      <c r="Q725" s="2332"/>
      <c r="R725" s="2332"/>
      <c r="S725" s="2333"/>
      <c r="T725" s="2331"/>
      <c r="U725" s="2332"/>
      <c r="V725" s="2332"/>
      <c r="W725" s="2333"/>
      <c r="X725" s="2331"/>
      <c r="Y725" s="2332"/>
      <c r="Z725" s="2332"/>
      <c r="AA725" s="2332"/>
      <c r="AB725" s="2333"/>
      <c r="AC725" s="2331"/>
      <c r="AD725" s="2332"/>
      <c r="AE725" s="2332"/>
      <c r="AF725" s="2332"/>
      <c r="AG725" s="2333"/>
      <c r="AH725" s="2331"/>
      <c r="AI725" s="2332"/>
      <c r="AJ725" s="2333"/>
      <c r="AK725" s="2331"/>
      <c r="AL725" s="2332"/>
      <c r="AM725" s="2332"/>
      <c r="AN725" s="2332"/>
      <c r="AO725" s="2333"/>
      <c r="AP725" s="239"/>
      <c r="AQ725" s="239"/>
      <c r="AR725" s="239"/>
      <c r="AS725" s="239"/>
      <c r="AY725" s="1664"/>
      <c r="AZ725" s="1664"/>
      <c r="BA725" s="1664"/>
      <c r="BB725" s="1664"/>
      <c r="BC725" s="1664"/>
      <c r="BD725" s="58"/>
      <c r="BE725" s="58"/>
      <c r="BF725" s="58"/>
      <c r="BG725" s="454">
        <f t="shared" si="45"/>
        <v>0</v>
      </c>
      <c r="BH725" s="457">
        <f t="shared" si="47"/>
        <v>0</v>
      </c>
      <c r="BI725" s="458" t="str">
        <f t="shared" si="46"/>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31"/>
      <c r="C726" s="2332"/>
      <c r="D726" s="2332"/>
      <c r="E726" s="2332"/>
      <c r="F726" s="2333"/>
      <c r="G726" s="2331"/>
      <c r="H726" s="2332"/>
      <c r="I726" s="2332"/>
      <c r="J726" s="2333"/>
      <c r="K726" s="2340"/>
      <c r="L726" s="2341"/>
      <c r="M726" s="2341"/>
      <c r="N726" s="2342"/>
      <c r="O726" s="2331"/>
      <c r="P726" s="2332"/>
      <c r="Q726" s="2332"/>
      <c r="R726" s="2332"/>
      <c r="S726" s="2333"/>
      <c r="T726" s="2331"/>
      <c r="U726" s="2332"/>
      <c r="V726" s="2332"/>
      <c r="W726" s="2333"/>
      <c r="X726" s="2331"/>
      <c r="Y726" s="2332"/>
      <c r="Z726" s="2332"/>
      <c r="AA726" s="2332"/>
      <c r="AB726" s="2333"/>
      <c r="AC726" s="2331"/>
      <c r="AD726" s="2332"/>
      <c r="AE726" s="2332"/>
      <c r="AF726" s="2332"/>
      <c r="AG726" s="2333"/>
      <c r="AH726" s="2331"/>
      <c r="AI726" s="2332"/>
      <c r="AJ726" s="2333"/>
      <c r="AK726" s="2331"/>
      <c r="AL726" s="2332"/>
      <c r="AM726" s="2332"/>
      <c r="AN726" s="2332"/>
      <c r="AO726" s="2333"/>
      <c r="AP726" s="239"/>
      <c r="AQ726" s="239"/>
      <c r="AR726" s="239"/>
      <c r="AS726" s="239"/>
      <c r="AY726" s="1664"/>
      <c r="AZ726" s="1664"/>
      <c r="BA726" s="1664"/>
      <c r="BB726" s="1664"/>
      <c r="BC726" s="1664"/>
      <c r="BD726" s="58"/>
      <c r="BE726" s="58"/>
      <c r="BF726" s="58"/>
      <c r="BG726" s="454">
        <f t="shared" si="45"/>
        <v>0</v>
      </c>
      <c r="BH726" s="457">
        <f t="shared" si="47"/>
        <v>0</v>
      </c>
      <c r="BI726" s="458" t="str">
        <f t="shared" si="46"/>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34"/>
      <c r="C727" s="2335"/>
      <c r="D727" s="2335"/>
      <c r="E727" s="2335"/>
      <c r="F727" s="2336"/>
      <c r="G727" s="2334"/>
      <c r="H727" s="2335"/>
      <c r="I727" s="2335"/>
      <c r="J727" s="2336"/>
      <c r="K727" s="2340"/>
      <c r="L727" s="2341"/>
      <c r="M727" s="2341"/>
      <c r="N727" s="2342"/>
      <c r="O727" s="2334"/>
      <c r="P727" s="2335"/>
      <c r="Q727" s="2335"/>
      <c r="R727" s="2335"/>
      <c r="S727" s="2336"/>
      <c r="T727" s="2334"/>
      <c r="U727" s="2335"/>
      <c r="V727" s="2335"/>
      <c r="W727" s="2336"/>
      <c r="X727" s="2334"/>
      <c r="Y727" s="2335"/>
      <c r="Z727" s="2335"/>
      <c r="AA727" s="2335"/>
      <c r="AB727" s="2336"/>
      <c r="AC727" s="2334"/>
      <c r="AD727" s="2335"/>
      <c r="AE727" s="2335"/>
      <c r="AF727" s="2335"/>
      <c r="AG727" s="2336"/>
      <c r="AH727" s="2334"/>
      <c r="AI727" s="2335"/>
      <c r="AJ727" s="2336"/>
      <c r="AK727" s="2334"/>
      <c r="AL727" s="2335"/>
      <c r="AM727" s="2335"/>
      <c r="AN727" s="2335"/>
      <c r="AO727" s="2336"/>
      <c r="AP727" s="239"/>
      <c r="AQ727" s="239"/>
      <c r="AR727" s="239"/>
      <c r="AS727" s="239"/>
      <c r="AY727" s="1664"/>
      <c r="AZ727" s="1664"/>
      <c r="BA727" s="1664"/>
      <c r="BB727" s="1664"/>
      <c r="BC727" s="1664"/>
      <c r="BD727" s="58"/>
      <c r="BE727" s="58"/>
      <c r="BF727" s="58"/>
      <c r="BG727" s="1368">
        <f t="shared" si="45"/>
        <v>0</v>
      </c>
      <c r="BH727" s="457">
        <f t="shared" si="47"/>
        <v>0</v>
      </c>
      <c r="BI727" s="458" t="str">
        <f t="shared" si="46"/>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53" t="s">
        <v>329</v>
      </c>
      <c r="C728" s="2054"/>
      <c r="D728" s="2054"/>
      <c r="E728" s="2054"/>
      <c r="F728" s="2055"/>
      <c r="G728" s="2316">
        <v>7</v>
      </c>
      <c r="H728" s="2317"/>
      <c r="I728" s="2317"/>
      <c r="J728" s="2318"/>
      <c r="K728" s="2313">
        <v>431</v>
      </c>
      <c r="L728" s="2314"/>
      <c r="M728" s="2314"/>
      <c r="N728" s="2315"/>
      <c r="O728" s="2306">
        <v>579</v>
      </c>
      <c r="P728" s="2307"/>
      <c r="Q728" s="2307"/>
      <c r="R728" s="2307"/>
      <c r="S728" s="2308"/>
      <c r="T728" s="2306">
        <v>46</v>
      </c>
      <c r="U728" s="2307"/>
      <c r="V728" s="2307"/>
      <c r="W728" s="2308"/>
      <c r="X728" s="2089">
        <f t="shared" ref="X728:X752" si="48">O728+T728</f>
        <v>625</v>
      </c>
      <c r="Y728" s="2090"/>
      <c r="Z728" s="2090"/>
      <c r="AA728" s="2090"/>
      <c r="AB728" s="2091"/>
      <c r="AC728" s="2309">
        <v>0.3</v>
      </c>
      <c r="AD728" s="2310"/>
      <c r="AE728" s="2310"/>
      <c r="AF728" s="2310"/>
      <c r="AG728" s="2311"/>
      <c r="AH728" s="2082">
        <f t="shared" ref="AH728:AH752" si="49">IF($AC728&gt;0,($X728/$BA670), " ")</f>
        <v>0.29990403071017274</v>
      </c>
      <c r="AI728" s="2083"/>
      <c r="AJ728" s="2084"/>
      <c r="AK728" s="2075" t="s">
        <v>1125</v>
      </c>
      <c r="AL728" s="2449"/>
      <c r="AM728" s="2449"/>
      <c r="AN728" s="2449"/>
      <c r="AO728" s="2450"/>
      <c r="AP728" s="239"/>
      <c r="AQ728" s="239"/>
      <c r="AR728" s="239"/>
      <c r="AS728" s="239"/>
      <c r="AY728" s="1820"/>
      <c r="AZ728" s="1820"/>
      <c r="BA728" s="1820"/>
      <c r="BB728" s="1820"/>
      <c r="BC728" s="1820"/>
      <c r="BD728" s="58"/>
      <c r="BE728" s="58"/>
      <c r="BF728" s="58"/>
      <c r="BG728" s="1367">
        <f>SUM(BG703:BG727)</f>
        <v>47</v>
      </c>
      <c r="BH728" s="460">
        <f>SUM(BH703:BH727)</f>
        <v>1</v>
      </c>
      <c r="BI728" s="460">
        <f>SUM(BI703:BI727)</f>
        <v>0.4213523143653285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75" t="s">
        <v>330</v>
      </c>
      <c r="C729" s="2449"/>
      <c r="D729" s="2449"/>
      <c r="E729" s="2449"/>
      <c r="F729" s="2450"/>
      <c r="G729" s="2451">
        <v>9</v>
      </c>
      <c r="H729" s="2452"/>
      <c r="I729" s="2452"/>
      <c r="J729" s="2453"/>
      <c r="K729" s="2313">
        <v>541</v>
      </c>
      <c r="L729" s="2314"/>
      <c r="M729" s="2314"/>
      <c r="N729" s="2315"/>
      <c r="O729" s="2395">
        <v>608</v>
      </c>
      <c r="P729" s="2396"/>
      <c r="Q729" s="2396"/>
      <c r="R729" s="2396"/>
      <c r="S729" s="2397"/>
      <c r="T729" s="2395">
        <v>62</v>
      </c>
      <c r="U729" s="2396"/>
      <c r="V729" s="2396"/>
      <c r="W729" s="2397"/>
      <c r="X729" s="2089">
        <f t="shared" si="48"/>
        <v>670</v>
      </c>
      <c r="Y729" s="2090"/>
      <c r="Z729" s="2090"/>
      <c r="AA729" s="2090"/>
      <c r="AB729" s="2091"/>
      <c r="AC729" s="2398">
        <v>0.3</v>
      </c>
      <c r="AD729" s="2399"/>
      <c r="AE729" s="2399"/>
      <c r="AF729" s="2399"/>
      <c r="AG729" s="2400"/>
      <c r="AH729" s="2082">
        <f t="shared" si="49"/>
        <v>0.30017921146953402</v>
      </c>
      <c r="AI729" s="2083"/>
      <c r="AJ729" s="2084"/>
      <c r="AK729" s="2075" t="s">
        <v>1125</v>
      </c>
      <c r="AL729" s="2449"/>
      <c r="AM729" s="2449"/>
      <c r="AN729" s="2449"/>
      <c r="AO729" s="2450"/>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75" t="s">
        <v>329</v>
      </c>
      <c r="C730" s="2449"/>
      <c r="D730" s="2449"/>
      <c r="E730" s="2449"/>
      <c r="F730" s="2450"/>
      <c r="G730" s="2451">
        <v>1</v>
      </c>
      <c r="H730" s="2452"/>
      <c r="I730" s="2452"/>
      <c r="J730" s="2453"/>
      <c r="K730" s="2313">
        <v>431</v>
      </c>
      <c r="L730" s="2314"/>
      <c r="M730" s="2314"/>
      <c r="N730" s="2315"/>
      <c r="O730" s="2395">
        <v>579</v>
      </c>
      <c r="P730" s="2396"/>
      <c r="Q730" s="2396"/>
      <c r="R730" s="2396"/>
      <c r="S730" s="2397"/>
      <c r="T730" s="2395">
        <v>46</v>
      </c>
      <c r="U730" s="2396"/>
      <c r="V730" s="2396"/>
      <c r="W730" s="2397"/>
      <c r="X730" s="2089">
        <f t="shared" si="48"/>
        <v>625</v>
      </c>
      <c r="Y730" s="2090"/>
      <c r="Z730" s="2090"/>
      <c r="AA730" s="2090"/>
      <c r="AB730" s="2091"/>
      <c r="AC730" s="2398">
        <v>0.3</v>
      </c>
      <c r="AD730" s="2399"/>
      <c r="AE730" s="2399"/>
      <c r="AF730" s="2399"/>
      <c r="AG730" s="2400"/>
      <c r="AH730" s="2082">
        <f t="shared" si="49"/>
        <v>0.29990403071017274</v>
      </c>
      <c r="AI730" s="2083"/>
      <c r="AJ730" s="2084"/>
      <c r="AK730" s="2075" t="s">
        <v>1125</v>
      </c>
      <c r="AL730" s="2449"/>
      <c r="AM730" s="2449"/>
      <c r="AN730" s="2449"/>
      <c r="AO730" s="2450"/>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75" t="s">
        <v>330</v>
      </c>
      <c r="C731" s="2449"/>
      <c r="D731" s="2449"/>
      <c r="E731" s="2449"/>
      <c r="F731" s="2450"/>
      <c r="G731" s="2451">
        <v>3</v>
      </c>
      <c r="H731" s="2452"/>
      <c r="I731" s="2452"/>
      <c r="J731" s="2453"/>
      <c r="K731" s="2313">
        <v>541</v>
      </c>
      <c r="L731" s="2314"/>
      <c r="M731" s="2314"/>
      <c r="N731" s="2315"/>
      <c r="O731" s="2395">
        <v>608</v>
      </c>
      <c r="P731" s="2396"/>
      <c r="Q731" s="2396"/>
      <c r="R731" s="2396"/>
      <c r="S731" s="2397"/>
      <c r="T731" s="2395">
        <v>62</v>
      </c>
      <c r="U731" s="2396"/>
      <c r="V731" s="2396"/>
      <c r="W731" s="2397"/>
      <c r="X731" s="2089">
        <f t="shared" si="48"/>
        <v>670</v>
      </c>
      <c r="Y731" s="2090"/>
      <c r="Z731" s="2090"/>
      <c r="AA731" s="2090"/>
      <c r="AB731" s="2091"/>
      <c r="AC731" s="2398">
        <v>0.3</v>
      </c>
      <c r="AD731" s="2399"/>
      <c r="AE731" s="2399"/>
      <c r="AF731" s="2399"/>
      <c r="AG731" s="2400"/>
      <c r="AH731" s="2082">
        <f t="shared" si="49"/>
        <v>0.30017921146953402</v>
      </c>
      <c r="AI731" s="2083"/>
      <c r="AJ731" s="2084"/>
      <c r="AK731" s="2075" t="s">
        <v>1125</v>
      </c>
      <c r="AL731" s="2449"/>
      <c r="AM731" s="2449"/>
      <c r="AN731" s="2449"/>
      <c r="AO731" s="2450"/>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75" t="s">
        <v>329</v>
      </c>
      <c r="C732" s="2449"/>
      <c r="D732" s="2449"/>
      <c r="E732" s="2449"/>
      <c r="F732" s="2450"/>
      <c r="G732" s="2451">
        <v>2</v>
      </c>
      <c r="H732" s="2452"/>
      <c r="I732" s="2452"/>
      <c r="J732" s="2453"/>
      <c r="K732" s="2313">
        <v>431</v>
      </c>
      <c r="L732" s="2314"/>
      <c r="M732" s="2314"/>
      <c r="N732" s="2315"/>
      <c r="O732" s="2395">
        <v>996</v>
      </c>
      <c r="P732" s="2396"/>
      <c r="Q732" s="2396"/>
      <c r="R732" s="2396"/>
      <c r="S732" s="2397"/>
      <c r="T732" s="2395">
        <v>46</v>
      </c>
      <c r="U732" s="2396"/>
      <c r="V732" s="2396"/>
      <c r="W732" s="2397"/>
      <c r="X732" s="2089">
        <f t="shared" si="48"/>
        <v>1042</v>
      </c>
      <c r="Y732" s="2090"/>
      <c r="Z732" s="2090"/>
      <c r="AA732" s="2090"/>
      <c r="AB732" s="2091"/>
      <c r="AC732" s="2398">
        <v>0.5</v>
      </c>
      <c r="AD732" s="2399"/>
      <c r="AE732" s="2399"/>
      <c r="AF732" s="2399"/>
      <c r="AG732" s="2400"/>
      <c r="AH732" s="2082">
        <f t="shared" si="49"/>
        <v>0.5</v>
      </c>
      <c r="AI732" s="2083"/>
      <c r="AJ732" s="2084"/>
      <c r="AK732" s="2075" t="s">
        <v>1125</v>
      </c>
      <c r="AL732" s="2449"/>
      <c r="AM732" s="2449"/>
      <c r="AN732" s="2449"/>
      <c r="AO732" s="2450"/>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75" t="s">
        <v>330</v>
      </c>
      <c r="C733" s="2449"/>
      <c r="D733" s="2449"/>
      <c r="E733" s="2449"/>
      <c r="F733" s="2450"/>
      <c r="G733" s="2451">
        <v>13</v>
      </c>
      <c r="H733" s="2452"/>
      <c r="I733" s="2452"/>
      <c r="J733" s="2453"/>
      <c r="K733" s="2313">
        <v>541</v>
      </c>
      <c r="L733" s="2314"/>
      <c r="M733" s="2314"/>
      <c r="N733" s="2315"/>
      <c r="O733" s="2395">
        <v>1054</v>
      </c>
      <c r="P733" s="2396"/>
      <c r="Q733" s="2396"/>
      <c r="R733" s="2396"/>
      <c r="S733" s="2397"/>
      <c r="T733" s="2395">
        <v>62</v>
      </c>
      <c r="U733" s="2396"/>
      <c r="V733" s="2396"/>
      <c r="W733" s="2397"/>
      <c r="X733" s="2089">
        <f t="shared" si="48"/>
        <v>1116</v>
      </c>
      <c r="Y733" s="2090"/>
      <c r="Z733" s="2090"/>
      <c r="AA733" s="2090"/>
      <c r="AB733" s="2091"/>
      <c r="AC733" s="2398">
        <v>0.5</v>
      </c>
      <c r="AD733" s="2399"/>
      <c r="AE733" s="2399"/>
      <c r="AF733" s="2399"/>
      <c r="AG733" s="2400"/>
      <c r="AH733" s="2082">
        <f t="shared" si="49"/>
        <v>0.5</v>
      </c>
      <c r="AI733" s="2083"/>
      <c r="AJ733" s="2084"/>
      <c r="AK733" s="2075" t="s">
        <v>1125</v>
      </c>
      <c r="AL733" s="2449"/>
      <c r="AM733" s="2449"/>
      <c r="AN733" s="2449"/>
      <c r="AO733" s="2450"/>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75" t="s">
        <v>329</v>
      </c>
      <c r="C734" s="2449"/>
      <c r="D734" s="2449"/>
      <c r="E734" s="2449"/>
      <c r="F734" s="2450"/>
      <c r="G734" s="2451">
        <v>5</v>
      </c>
      <c r="H734" s="2452"/>
      <c r="I734" s="2452"/>
      <c r="J734" s="2453"/>
      <c r="K734" s="2313">
        <v>431</v>
      </c>
      <c r="L734" s="2314"/>
      <c r="M734" s="2314"/>
      <c r="N734" s="2315"/>
      <c r="O734" s="2395">
        <v>996</v>
      </c>
      <c r="P734" s="2396"/>
      <c r="Q734" s="2396"/>
      <c r="R734" s="2396"/>
      <c r="S734" s="2397"/>
      <c r="T734" s="2395">
        <v>46</v>
      </c>
      <c r="U734" s="2396"/>
      <c r="V734" s="2396"/>
      <c r="W734" s="2397"/>
      <c r="X734" s="2089">
        <f t="shared" si="48"/>
        <v>1042</v>
      </c>
      <c r="Y734" s="2090"/>
      <c r="Z734" s="2090"/>
      <c r="AA734" s="2090"/>
      <c r="AB734" s="2091"/>
      <c r="AC734" s="2398">
        <v>0.5</v>
      </c>
      <c r="AD734" s="2399"/>
      <c r="AE734" s="2399"/>
      <c r="AF734" s="2399"/>
      <c r="AG734" s="2400"/>
      <c r="AH734" s="2082">
        <f t="shared" si="49"/>
        <v>0.5</v>
      </c>
      <c r="AI734" s="2083"/>
      <c r="AJ734" s="2084"/>
      <c r="AK734" s="2053" t="s">
        <v>617</v>
      </c>
      <c r="AL734" s="2054"/>
      <c r="AM734" s="2054"/>
      <c r="AN734" s="2054"/>
      <c r="AO734" s="205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75" t="s">
        <v>330</v>
      </c>
      <c r="C735" s="2449"/>
      <c r="D735" s="2449"/>
      <c r="E735" s="2449"/>
      <c r="F735" s="2450"/>
      <c r="G735" s="2451">
        <v>5</v>
      </c>
      <c r="H735" s="2452"/>
      <c r="I735" s="2452"/>
      <c r="J735" s="2453"/>
      <c r="K735" s="2313">
        <v>541</v>
      </c>
      <c r="L735" s="2314"/>
      <c r="M735" s="2314"/>
      <c r="N735" s="2315"/>
      <c r="O735" s="2395">
        <v>1278</v>
      </c>
      <c r="P735" s="2396"/>
      <c r="Q735" s="2396"/>
      <c r="R735" s="2396"/>
      <c r="S735" s="2397"/>
      <c r="T735" s="2395">
        <v>62</v>
      </c>
      <c r="U735" s="2396"/>
      <c r="V735" s="2396"/>
      <c r="W735" s="2397"/>
      <c r="X735" s="2089">
        <f t="shared" si="48"/>
        <v>1340</v>
      </c>
      <c r="Y735" s="2090"/>
      <c r="Z735" s="2090"/>
      <c r="AA735" s="2090"/>
      <c r="AB735" s="2091"/>
      <c r="AC735" s="2398">
        <v>0.6</v>
      </c>
      <c r="AD735" s="2399"/>
      <c r="AE735" s="2399"/>
      <c r="AF735" s="2399"/>
      <c r="AG735" s="2400"/>
      <c r="AH735" s="2082">
        <f t="shared" si="49"/>
        <v>0.60035842293906805</v>
      </c>
      <c r="AI735" s="2083"/>
      <c r="AJ735" s="2084"/>
      <c r="AK735" s="2053" t="s">
        <v>617</v>
      </c>
      <c r="AL735" s="2054"/>
      <c r="AM735" s="2054"/>
      <c r="AN735" s="2054"/>
      <c r="AO735" s="205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75" t="s">
        <v>329</v>
      </c>
      <c r="C736" s="2449"/>
      <c r="D736" s="2449"/>
      <c r="E736" s="2449"/>
      <c r="F736" s="2450"/>
      <c r="G736" s="2451">
        <v>2</v>
      </c>
      <c r="H736" s="2452"/>
      <c r="I736" s="2452"/>
      <c r="J736" s="2453"/>
      <c r="K736" s="2313">
        <v>431</v>
      </c>
      <c r="L736" s="2314"/>
      <c r="M736" s="2314"/>
      <c r="N736" s="2315"/>
      <c r="O736" s="2395">
        <v>788</v>
      </c>
      <c r="P736" s="2396"/>
      <c r="Q736" s="2396"/>
      <c r="R736" s="2396"/>
      <c r="S736" s="2397"/>
      <c r="T736" s="2395">
        <v>46</v>
      </c>
      <c r="U736" s="2396"/>
      <c r="V736" s="2396"/>
      <c r="W736" s="2397"/>
      <c r="X736" s="2089">
        <f t="shared" si="48"/>
        <v>834</v>
      </c>
      <c r="Y736" s="2090"/>
      <c r="Z736" s="2090"/>
      <c r="AA736" s="2090"/>
      <c r="AB736" s="2091"/>
      <c r="AC736" s="2398">
        <v>0.4</v>
      </c>
      <c r="AD736" s="2399"/>
      <c r="AE736" s="2399"/>
      <c r="AF736" s="2399"/>
      <c r="AG736" s="2400"/>
      <c r="AH736" s="2082">
        <f t="shared" si="49"/>
        <v>0.40019193857965452</v>
      </c>
      <c r="AI736" s="2083"/>
      <c r="AJ736" s="2084"/>
      <c r="AK736" s="2053" t="s">
        <v>617</v>
      </c>
      <c r="AL736" s="2054"/>
      <c r="AM736" s="2054"/>
      <c r="AN736" s="2054"/>
      <c r="AO736" s="205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3"/>
      <c r="C737" s="2054"/>
      <c r="D737" s="2054"/>
      <c r="E737" s="2054"/>
      <c r="F737" s="2055"/>
      <c r="G737" s="2316"/>
      <c r="H737" s="2317"/>
      <c r="I737" s="2317"/>
      <c r="J737" s="2318"/>
      <c r="K737" s="2313"/>
      <c r="L737" s="2314"/>
      <c r="M737" s="2314"/>
      <c r="N737" s="2315"/>
      <c r="O737" s="2306"/>
      <c r="P737" s="2307"/>
      <c r="Q737" s="2307"/>
      <c r="R737" s="2307"/>
      <c r="S737" s="2308"/>
      <c r="T737" s="2306"/>
      <c r="U737" s="2307"/>
      <c r="V737" s="2307"/>
      <c r="W737" s="2308"/>
      <c r="X737" s="2089">
        <f t="shared" si="48"/>
        <v>0</v>
      </c>
      <c r="Y737" s="2090"/>
      <c r="Z737" s="2090"/>
      <c r="AA737" s="2090"/>
      <c r="AB737" s="2091"/>
      <c r="AC737" s="2309"/>
      <c r="AD737" s="2310"/>
      <c r="AE737" s="2310"/>
      <c r="AF737" s="2310"/>
      <c r="AG737" s="2311"/>
      <c r="AH737" s="2082" t="str">
        <f t="shared" si="49"/>
        <v xml:space="preserve"> </v>
      </c>
      <c r="AI737" s="2083"/>
      <c r="AJ737" s="2084"/>
      <c r="AK737" s="2053" t="s">
        <v>617</v>
      </c>
      <c r="AL737" s="2054"/>
      <c r="AM737" s="2054"/>
      <c r="AN737" s="2054"/>
      <c r="AO737" s="205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3"/>
      <c r="C738" s="2054"/>
      <c r="D738" s="2054"/>
      <c r="E738" s="2054"/>
      <c r="F738" s="2055"/>
      <c r="G738" s="2316"/>
      <c r="H738" s="2317"/>
      <c r="I738" s="2317"/>
      <c r="J738" s="2318"/>
      <c r="K738" s="2313"/>
      <c r="L738" s="2314"/>
      <c r="M738" s="2314"/>
      <c r="N738" s="2315"/>
      <c r="O738" s="2306"/>
      <c r="P738" s="2307"/>
      <c r="Q738" s="2307"/>
      <c r="R738" s="2307"/>
      <c r="S738" s="2308"/>
      <c r="T738" s="2306"/>
      <c r="U738" s="2307"/>
      <c r="V738" s="2307"/>
      <c r="W738" s="2308"/>
      <c r="X738" s="2089">
        <f t="shared" si="48"/>
        <v>0</v>
      </c>
      <c r="Y738" s="2090"/>
      <c r="Z738" s="2090"/>
      <c r="AA738" s="2090"/>
      <c r="AB738" s="2091"/>
      <c r="AC738" s="2309"/>
      <c r="AD738" s="2310"/>
      <c r="AE738" s="2310"/>
      <c r="AF738" s="2310"/>
      <c r="AG738" s="2311"/>
      <c r="AH738" s="2082" t="str">
        <f t="shared" si="49"/>
        <v xml:space="preserve"> </v>
      </c>
      <c r="AI738" s="2083"/>
      <c r="AJ738" s="2084"/>
      <c r="AK738" s="2053" t="s">
        <v>617</v>
      </c>
      <c r="AL738" s="2054"/>
      <c r="AM738" s="2054"/>
      <c r="AN738" s="2054"/>
      <c r="AO738" s="205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3"/>
      <c r="C739" s="2054"/>
      <c r="D739" s="2054"/>
      <c r="E739" s="2054"/>
      <c r="F739" s="2055"/>
      <c r="G739" s="2316"/>
      <c r="H739" s="2317"/>
      <c r="I739" s="2317"/>
      <c r="J739" s="2318"/>
      <c r="K739" s="2313"/>
      <c r="L739" s="2314"/>
      <c r="M739" s="2314"/>
      <c r="N739" s="2315"/>
      <c r="O739" s="2306"/>
      <c r="P739" s="2307"/>
      <c r="Q739" s="2307"/>
      <c r="R739" s="2307"/>
      <c r="S739" s="2308"/>
      <c r="T739" s="2306"/>
      <c r="U739" s="2307"/>
      <c r="V739" s="2307"/>
      <c r="W739" s="2308"/>
      <c r="X739" s="2089">
        <f t="shared" si="48"/>
        <v>0</v>
      </c>
      <c r="Y739" s="2090"/>
      <c r="Z739" s="2090"/>
      <c r="AA739" s="2090"/>
      <c r="AB739" s="2091"/>
      <c r="AC739" s="2309"/>
      <c r="AD739" s="2310"/>
      <c r="AE739" s="2310"/>
      <c r="AF739" s="2310"/>
      <c r="AG739" s="2311"/>
      <c r="AH739" s="2082" t="str">
        <f t="shared" si="49"/>
        <v xml:space="preserve"> </v>
      </c>
      <c r="AI739" s="2083"/>
      <c r="AJ739" s="2084"/>
      <c r="AK739" s="2053" t="s">
        <v>617</v>
      </c>
      <c r="AL739" s="2054"/>
      <c r="AM739" s="2054"/>
      <c r="AN739" s="2054"/>
      <c r="AO739" s="205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3"/>
      <c r="C740" s="2054"/>
      <c r="D740" s="2054"/>
      <c r="E740" s="2054"/>
      <c r="F740" s="2055"/>
      <c r="G740" s="2316"/>
      <c r="H740" s="2317"/>
      <c r="I740" s="2317"/>
      <c r="J740" s="2318"/>
      <c r="K740" s="2313"/>
      <c r="L740" s="2314"/>
      <c r="M740" s="2314"/>
      <c r="N740" s="2315"/>
      <c r="O740" s="2306"/>
      <c r="P740" s="2307"/>
      <c r="Q740" s="2307"/>
      <c r="R740" s="2307"/>
      <c r="S740" s="2308"/>
      <c r="T740" s="2306"/>
      <c r="U740" s="2307"/>
      <c r="V740" s="2307"/>
      <c r="W740" s="2308"/>
      <c r="X740" s="2089">
        <f t="shared" si="48"/>
        <v>0</v>
      </c>
      <c r="Y740" s="2090"/>
      <c r="Z740" s="2090"/>
      <c r="AA740" s="2090"/>
      <c r="AB740" s="2091"/>
      <c r="AC740" s="2309"/>
      <c r="AD740" s="2310"/>
      <c r="AE740" s="2310"/>
      <c r="AF740" s="2310"/>
      <c r="AG740" s="2311"/>
      <c r="AH740" s="2082" t="str">
        <f t="shared" si="49"/>
        <v xml:space="preserve"> </v>
      </c>
      <c r="AI740" s="2083"/>
      <c r="AJ740" s="2084"/>
      <c r="AK740" s="2053" t="s">
        <v>617</v>
      </c>
      <c r="AL740" s="2054"/>
      <c r="AM740" s="2054"/>
      <c r="AN740" s="2054"/>
      <c r="AO740" s="205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3"/>
      <c r="C741" s="2054"/>
      <c r="D741" s="2054"/>
      <c r="E741" s="2054"/>
      <c r="F741" s="2055"/>
      <c r="G741" s="2316"/>
      <c r="H741" s="2317"/>
      <c r="I741" s="2317"/>
      <c r="J741" s="2318"/>
      <c r="K741" s="2313"/>
      <c r="L741" s="2314"/>
      <c r="M741" s="2314"/>
      <c r="N741" s="2315"/>
      <c r="O741" s="2306"/>
      <c r="P741" s="2307"/>
      <c r="Q741" s="2307"/>
      <c r="R741" s="2307"/>
      <c r="S741" s="2308"/>
      <c r="T741" s="2306"/>
      <c r="U741" s="2307"/>
      <c r="V741" s="2307"/>
      <c r="W741" s="2308"/>
      <c r="X741" s="2089">
        <f t="shared" si="48"/>
        <v>0</v>
      </c>
      <c r="Y741" s="2090"/>
      <c r="Z741" s="2090"/>
      <c r="AA741" s="2090"/>
      <c r="AB741" s="2091"/>
      <c r="AC741" s="2309">
        <v>0</v>
      </c>
      <c r="AD741" s="2310"/>
      <c r="AE741" s="2310"/>
      <c r="AF741" s="2310"/>
      <c r="AG741" s="2311"/>
      <c r="AH741" s="2082" t="str">
        <f t="shared" si="49"/>
        <v xml:space="preserve"> </v>
      </c>
      <c r="AI741" s="2083"/>
      <c r="AJ741" s="2084"/>
      <c r="AK741" s="2053" t="s">
        <v>617</v>
      </c>
      <c r="AL741" s="2054"/>
      <c r="AM741" s="2054"/>
      <c r="AN741" s="2054"/>
      <c r="AO741" s="205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3"/>
      <c r="C742" s="2054"/>
      <c r="D742" s="2054"/>
      <c r="E742" s="2054"/>
      <c r="F742" s="2055"/>
      <c r="G742" s="2316"/>
      <c r="H742" s="2317"/>
      <c r="I742" s="2317"/>
      <c r="J742" s="2318"/>
      <c r="K742" s="2313"/>
      <c r="L742" s="2314"/>
      <c r="M742" s="2314"/>
      <c r="N742" s="2315"/>
      <c r="O742" s="2306"/>
      <c r="P742" s="2307"/>
      <c r="Q742" s="2307"/>
      <c r="R742" s="2307"/>
      <c r="S742" s="2308"/>
      <c r="T742" s="2306"/>
      <c r="U742" s="2307"/>
      <c r="V742" s="2307"/>
      <c r="W742" s="2308"/>
      <c r="X742" s="2089">
        <f t="shared" si="48"/>
        <v>0</v>
      </c>
      <c r="Y742" s="2090"/>
      <c r="Z742" s="2090"/>
      <c r="AA742" s="2090"/>
      <c r="AB742" s="2091"/>
      <c r="AC742" s="2309">
        <v>0</v>
      </c>
      <c r="AD742" s="2310"/>
      <c r="AE742" s="2310"/>
      <c r="AF742" s="2310"/>
      <c r="AG742" s="2311"/>
      <c r="AH742" s="2082" t="str">
        <f t="shared" si="49"/>
        <v xml:space="preserve"> </v>
      </c>
      <c r="AI742" s="2083"/>
      <c r="AJ742" s="2084"/>
      <c r="AK742" s="2053" t="s">
        <v>617</v>
      </c>
      <c r="AL742" s="2054"/>
      <c r="AM742" s="2054"/>
      <c r="AN742" s="2054"/>
      <c r="AO742" s="205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3"/>
      <c r="C743" s="2054"/>
      <c r="D743" s="2054"/>
      <c r="E743" s="2054"/>
      <c r="F743" s="2055"/>
      <c r="G743" s="2316"/>
      <c r="H743" s="2317"/>
      <c r="I743" s="2317"/>
      <c r="J743" s="2318"/>
      <c r="K743" s="2313"/>
      <c r="L743" s="2314"/>
      <c r="M743" s="2314"/>
      <c r="N743" s="2315"/>
      <c r="O743" s="2306"/>
      <c r="P743" s="2307"/>
      <c r="Q743" s="2307"/>
      <c r="R743" s="2307"/>
      <c r="S743" s="2308"/>
      <c r="T743" s="2306"/>
      <c r="U743" s="2307"/>
      <c r="V743" s="2307"/>
      <c r="W743" s="2308"/>
      <c r="X743" s="2089">
        <f t="shared" si="48"/>
        <v>0</v>
      </c>
      <c r="Y743" s="2090"/>
      <c r="Z743" s="2090"/>
      <c r="AA743" s="2090"/>
      <c r="AB743" s="2091"/>
      <c r="AC743" s="2309">
        <v>0</v>
      </c>
      <c r="AD743" s="2310"/>
      <c r="AE743" s="2310"/>
      <c r="AF743" s="2310"/>
      <c r="AG743" s="2311"/>
      <c r="AH743" s="2082" t="str">
        <f t="shared" si="49"/>
        <v xml:space="preserve"> </v>
      </c>
      <c r="AI743" s="2083"/>
      <c r="AJ743" s="2084"/>
      <c r="AK743" s="2053" t="s">
        <v>617</v>
      </c>
      <c r="AL743" s="2054"/>
      <c r="AM743" s="2054"/>
      <c r="AN743" s="2054"/>
      <c r="AO743" s="205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3"/>
      <c r="C744" s="2054"/>
      <c r="D744" s="2054"/>
      <c r="E744" s="2054"/>
      <c r="F744" s="2055"/>
      <c r="G744" s="2316"/>
      <c r="H744" s="2317"/>
      <c r="I744" s="2317"/>
      <c r="J744" s="2318"/>
      <c r="K744" s="2313"/>
      <c r="L744" s="2314"/>
      <c r="M744" s="2314"/>
      <c r="N744" s="2315"/>
      <c r="O744" s="2306"/>
      <c r="P744" s="2307"/>
      <c r="Q744" s="2307"/>
      <c r="R744" s="2307"/>
      <c r="S744" s="2308"/>
      <c r="T744" s="2306"/>
      <c r="U744" s="2307"/>
      <c r="V744" s="2307"/>
      <c r="W744" s="2308"/>
      <c r="X744" s="2089">
        <f t="shared" si="48"/>
        <v>0</v>
      </c>
      <c r="Y744" s="2090"/>
      <c r="Z744" s="2090"/>
      <c r="AA744" s="2090"/>
      <c r="AB744" s="2091"/>
      <c r="AC744" s="2309">
        <v>0</v>
      </c>
      <c r="AD744" s="2310"/>
      <c r="AE744" s="2310"/>
      <c r="AF744" s="2310"/>
      <c r="AG744" s="2311"/>
      <c r="AH744" s="2082" t="str">
        <f t="shared" si="49"/>
        <v xml:space="preserve"> </v>
      </c>
      <c r="AI744" s="2083"/>
      <c r="AJ744" s="2084"/>
      <c r="AK744" s="2053" t="s">
        <v>617</v>
      </c>
      <c r="AL744" s="2054"/>
      <c r="AM744" s="2054"/>
      <c r="AN744" s="2054"/>
      <c r="AO744" s="205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3"/>
      <c r="C745" s="2054"/>
      <c r="D745" s="2054"/>
      <c r="E745" s="2054"/>
      <c r="F745" s="2055"/>
      <c r="G745" s="2316"/>
      <c r="H745" s="2317"/>
      <c r="I745" s="2317"/>
      <c r="J745" s="2318"/>
      <c r="K745" s="2313"/>
      <c r="L745" s="2314"/>
      <c r="M745" s="2314"/>
      <c r="N745" s="2315"/>
      <c r="O745" s="2306"/>
      <c r="P745" s="2307"/>
      <c r="Q745" s="2307"/>
      <c r="R745" s="2307"/>
      <c r="S745" s="2308"/>
      <c r="T745" s="2306"/>
      <c r="U745" s="2307"/>
      <c r="V745" s="2307"/>
      <c r="W745" s="2308"/>
      <c r="X745" s="2089">
        <f t="shared" si="48"/>
        <v>0</v>
      </c>
      <c r="Y745" s="2090"/>
      <c r="Z745" s="2090"/>
      <c r="AA745" s="2090"/>
      <c r="AB745" s="2091"/>
      <c r="AC745" s="2309">
        <v>0</v>
      </c>
      <c r="AD745" s="2310"/>
      <c r="AE745" s="2310"/>
      <c r="AF745" s="2310"/>
      <c r="AG745" s="2311"/>
      <c r="AH745" s="2082" t="str">
        <f t="shared" si="49"/>
        <v xml:space="preserve"> </v>
      </c>
      <c r="AI745" s="2083"/>
      <c r="AJ745" s="2084"/>
      <c r="AK745" s="2053" t="s">
        <v>617</v>
      </c>
      <c r="AL745" s="2054"/>
      <c r="AM745" s="2054"/>
      <c r="AN745" s="2054"/>
      <c r="AO745" s="205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3"/>
      <c r="C746" s="2054"/>
      <c r="D746" s="2054"/>
      <c r="E746" s="2054"/>
      <c r="F746" s="2055"/>
      <c r="G746" s="2316"/>
      <c r="H746" s="2317"/>
      <c r="I746" s="2317"/>
      <c r="J746" s="2318"/>
      <c r="K746" s="2313"/>
      <c r="L746" s="2314"/>
      <c r="M746" s="2314"/>
      <c r="N746" s="2315"/>
      <c r="O746" s="2306"/>
      <c r="P746" s="2307"/>
      <c r="Q746" s="2307"/>
      <c r="R746" s="2307"/>
      <c r="S746" s="2308"/>
      <c r="T746" s="2306"/>
      <c r="U746" s="2307"/>
      <c r="V746" s="2307"/>
      <c r="W746" s="2308"/>
      <c r="X746" s="2089">
        <f t="shared" si="48"/>
        <v>0</v>
      </c>
      <c r="Y746" s="2090"/>
      <c r="Z746" s="2090"/>
      <c r="AA746" s="2090"/>
      <c r="AB746" s="2091"/>
      <c r="AC746" s="2309">
        <v>0</v>
      </c>
      <c r="AD746" s="2310"/>
      <c r="AE746" s="2310"/>
      <c r="AF746" s="2310"/>
      <c r="AG746" s="2311"/>
      <c r="AH746" s="2082" t="str">
        <f t="shared" si="49"/>
        <v xml:space="preserve"> </v>
      </c>
      <c r="AI746" s="2083"/>
      <c r="AJ746" s="2084"/>
      <c r="AK746" s="2053" t="s">
        <v>617</v>
      </c>
      <c r="AL746" s="2054"/>
      <c r="AM746" s="2054"/>
      <c r="AN746" s="2054"/>
      <c r="AO746" s="205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3"/>
      <c r="C747" s="2054"/>
      <c r="D747" s="2054"/>
      <c r="E747" s="2054"/>
      <c r="F747" s="2055"/>
      <c r="G747" s="2316"/>
      <c r="H747" s="2317"/>
      <c r="I747" s="2317"/>
      <c r="J747" s="2318"/>
      <c r="K747" s="2313"/>
      <c r="L747" s="2314"/>
      <c r="M747" s="2314"/>
      <c r="N747" s="2315"/>
      <c r="O747" s="2306"/>
      <c r="P747" s="2307"/>
      <c r="Q747" s="2307"/>
      <c r="R747" s="2307"/>
      <c r="S747" s="2308"/>
      <c r="T747" s="2306"/>
      <c r="U747" s="2307"/>
      <c r="V747" s="2307"/>
      <c r="W747" s="2308"/>
      <c r="X747" s="2089">
        <f t="shared" si="48"/>
        <v>0</v>
      </c>
      <c r="Y747" s="2090"/>
      <c r="Z747" s="2090"/>
      <c r="AA747" s="2090"/>
      <c r="AB747" s="2091"/>
      <c r="AC747" s="2309">
        <v>0</v>
      </c>
      <c r="AD747" s="2310"/>
      <c r="AE747" s="2310"/>
      <c r="AF747" s="2310"/>
      <c r="AG747" s="2311"/>
      <c r="AH747" s="2082" t="str">
        <f t="shared" si="49"/>
        <v xml:space="preserve"> </v>
      </c>
      <c r="AI747" s="2083"/>
      <c r="AJ747" s="2084"/>
      <c r="AK747" s="2053" t="s">
        <v>617</v>
      </c>
      <c r="AL747" s="2054"/>
      <c r="AM747" s="2054"/>
      <c r="AN747" s="2054"/>
      <c r="AO747" s="205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3"/>
      <c r="C748" s="2054"/>
      <c r="D748" s="2054"/>
      <c r="E748" s="2054"/>
      <c r="F748" s="2055"/>
      <c r="G748" s="2316"/>
      <c r="H748" s="2317"/>
      <c r="I748" s="2317"/>
      <c r="J748" s="2318"/>
      <c r="K748" s="2313"/>
      <c r="L748" s="2314"/>
      <c r="M748" s="2314"/>
      <c r="N748" s="2315"/>
      <c r="O748" s="2306"/>
      <c r="P748" s="2307"/>
      <c r="Q748" s="2307"/>
      <c r="R748" s="2307"/>
      <c r="S748" s="2308"/>
      <c r="T748" s="2306"/>
      <c r="U748" s="2307"/>
      <c r="V748" s="2307"/>
      <c r="W748" s="2308"/>
      <c r="X748" s="2089">
        <f t="shared" si="48"/>
        <v>0</v>
      </c>
      <c r="Y748" s="2090"/>
      <c r="Z748" s="2090"/>
      <c r="AA748" s="2090"/>
      <c r="AB748" s="2091"/>
      <c r="AC748" s="2309">
        <v>0</v>
      </c>
      <c r="AD748" s="2310"/>
      <c r="AE748" s="2310"/>
      <c r="AF748" s="2310"/>
      <c r="AG748" s="2311"/>
      <c r="AH748" s="2082" t="str">
        <f t="shared" si="49"/>
        <v xml:space="preserve"> </v>
      </c>
      <c r="AI748" s="2083"/>
      <c r="AJ748" s="2084"/>
      <c r="AK748" s="2053" t="s">
        <v>617</v>
      </c>
      <c r="AL748" s="2054"/>
      <c r="AM748" s="2054"/>
      <c r="AN748" s="2054"/>
      <c r="AO748" s="205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3"/>
      <c r="C749" s="2054"/>
      <c r="D749" s="2054"/>
      <c r="E749" s="2054"/>
      <c r="F749" s="2055"/>
      <c r="G749" s="2316"/>
      <c r="H749" s="2317"/>
      <c r="I749" s="2317"/>
      <c r="J749" s="2318"/>
      <c r="K749" s="2313"/>
      <c r="L749" s="2314"/>
      <c r="M749" s="2314"/>
      <c r="N749" s="2315"/>
      <c r="O749" s="2306"/>
      <c r="P749" s="2307"/>
      <c r="Q749" s="2307"/>
      <c r="R749" s="2307"/>
      <c r="S749" s="2308"/>
      <c r="T749" s="2306"/>
      <c r="U749" s="2307"/>
      <c r="V749" s="2307"/>
      <c r="W749" s="2308"/>
      <c r="X749" s="2089">
        <f t="shared" si="48"/>
        <v>0</v>
      </c>
      <c r="Y749" s="2090"/>
      <c r="Z749" s="2090"/>
      <c r="AA749" s="2090"/>
      <c r="AB749" s="2091"/>
      <c r="AC749" s="2309">
        <v>0</v>
      </c>
      <c r="AD749" s="2310"/>
      <c r="AE749" s="2310"/>
      <c r="AF749" s="2310"/>
      <c r="AG749" s="2311"/>
      <c r="AH749" s="2082" t="str">
        <f t="shared" si="49"/>
        <v xml:space="preserve"> </v>
      </c>
      <c r="AI749" s="2083"/>
      <c r="AJ749" s="2084"/>
      <c r="AK749" s="2053" t="s">
        <v>617</v>
      </c>
      <c r="AL749" s="2054"/>
      <c r="AM749" s="2054"/>
      <c r="AN749" s="2054"/>
      <c r="AO749" s="205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3"/>
      <c r="C750" s="2054"/>
      <c r="D750" s="2054"/>
      <c r="E750" s="2054"/>
      <c r="F750" s="2055"/>
      <c r="G750" s="2316"/>
      <c r="H750" s="2317"/>
      <c r="I750" s="2317"/>
      <c r="J750" s="2318"/>
      <c r="K750" s="2313"/>
      <c r="L750" s="2314"/>
      <c r="M750" s="2314"/>
      <c r="N750" s="2315"/>
      <c r="O750" s="2306"/>
      <c r="P750" s="2307"/>
      <c r="Q750" s="2307"/>
      <c r="R750" s="2307"/>
      <c r="S750" s="2308"/>
      <c r="T750" s="2306"/>
      <c r="U750" s="2307"/>
      <c r="V750" s="2307"/>
      <c r="W750" s="2308"/>
      <c r="X750" s="2089">
        <f t="shared" si="48"/>
        <v>0</v>
      </c>
      <c r="Y750" s="2090"/>
      <c r="Z750" s="2090"/>
      <c r="AA750" s="2090"/>
      <c r="AB750" s="2091"/>
      <c r="AC750" s="2309">
        <v>0</v>
      </c>
      <c r="AD750" s="2310"/>
      <c r="AE750" s="2310"/>
      <c r="AF750" s="2310"/>
      <c r="AG750" s="2311"/>
      <c r="AH750" s="2082" t="str">
        <f t="shared" si="49"/>
        <v xml:space="preserve"> </v>
      </c>
      <c r="AI750" s="2083"/>
      <c r="AJ750" s="2084"/>
      <c r="AK750" s="2053" t="s">
        <v>617</v>
      </c>
      <c r="AL750" s="2054"/>
      <c r="AM750" s="2054"/>
      <c r="AN750" s="2054"/>
      <c r="AO750" s="205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3"/>
      <c r="C751" s="2054"/>
      <c r="D751" s="2054"/>
      <c r="E751" s="2054"/>
      <c r="F751" s="2055"/>
      <c r="G751" s="2316"/>
      <c r="H751" s="2317"/>
      <c r="I751" s="2317"/>
      <c r="J751" s="2318"/>
      <c r="K751" s="2313"/>
      <c r="L751" s="2314"/>
      <c r="M751" s="2314"/>
      <c r="N751" s="2315"/>
      <c r="O751" s="2306"/>
      <c r="P751" s="2307"/>
      <c r="Q751" s="2307"/>
      <c r="R751" s="2307"/>
      <c r="S751" s="2308"/>
      <c r="T751" s="2306"/>
      <c r="U751" s="2307"/>
      <c r="V751" s="2307"/>
      <c r="W751" s="2308"/>
      <c r="X751" s="2089">
        <f t="shared" si="48"/>
        <v>0</v>
      </c>
      <c r="Y751" s="2090"/>
      <c r="Z751" s="2090"/>
      <c r="AA751" s="2090"/>
      <c r="AB751" s="2091"/>
      <c r="AC751" s="2309">
        <v>0</v>
      </c>
      <c r="AD751" s="2310"/>
      <c r="AE751" s="2310"/>
      <c r="AF751" s="2310"/>
      <c r="AG751" s="2311"/>
      <c r="AH751" s="2082" t="str">
        <f t="shared" si="49"/>
        <v xml:space="preserve"> </v>
      </c>
      <c r="AI751" s="2083"/>
      <c r="AJ751" s="2084"/>
      <c r="AK751" s="2053" t="s">
        <v>617</v>
      </c>
      <c r="AL751" s="2054"/>
      <c r="AM751" s="2054"/>
      <c r="AN751" s="2054"/>
      <c r="AO751" s="205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3"/>
      <c r="C752" s="2054"/>
      <c r="D752" s="2054"/>
      <c r="E752" s="2054"/>
      <c r="F752" s="2055"/>
      <c r="G752" s="2316"/>
      <c r="H752" s="2317"/>
      <c r="I752" s="2317"/>
      <c r="J752" s="2318"/>
      <c r="K752" s="2313"/>
      <c r="L752" s="2314"/>
      <c r="M752" s="2314"/>
      <c r="N752" s="2315"/>
      <c r="O752" s="2306"/>
      <c r="P752" s="2307"/>
      <c r="Q752" s="2307"/>
      <c r="R752" s="2307"/>
      <c r="S752" s="2308"/>
      <c r="T752" s="2306"/>
      <c r="U752" s="2307"/>
      <c r="V752" s="2307"/>
      <c r="W752" s="2308"/>
      <c r="X752" s="2089">
        <f t="shared" si="48"/>
        <v>0</v>
      </c>
      <c r="Y752" s="2090"/>
      <c r="Z752" s="2090"/>
      <c r="AA752" s="2090"/>
      <c r="AB752" s="2091"/>
      <c r="AC752" s="2309">
        <v>0</v>
      </c>
      <c r="AD752" s="2310"/>
      <c r="AE752" s="2310"/>
      <c r="AF752" s="2310"/>
      <c r="AG752" s="2311"/>
      <c r="AH752" s="2082" t="str">
        <f t="shared" si="49"/>
        <v xml:space="preserve"> </v>
      </c>
      <c r="AI752" s="2083"/>
      <c r="AJ752" s="2084"/>
      <c r="AK752" s="2053" t="s">
        <v>617</v>
      </c>
      <c r="AL752" s="2054"/>
      <c r="AM752" s="2054"/>
      <c r="AN752" s="2054"/>
      <c r="AO752" s="205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409" t="s">
        <v>130</v>
      </c>
      <c r="C753" s="2410"/>
      <c r="D753" s="2410"/>
      <c r="E753" s="2410"/>
      <c r="F753" s="2411"/>
      <c r="G753" s="2505">
        <f>SUM(G728:J752)</f>
        <v>47</v>
      </c>
      <c r="H753" s="2506"/>
      <c r="I753" s="2506"/>
      <c r="J753" s="2507"/>
      <c r="K753" s="1438" t="s">
        <v>129</v>
      </c>
      <c r="L753" s="77"/>
      <c r="M753" s="77"/>
      <c r="N753" s="78"/>
      <c r="O753" s="2089">
        <f>SUMPRODUCT(G728:G752,O728:O752)</f>
        <v>40568</v>
      </c>
      <c r="P753" s="2090"/>
      <c r="Q753" s="2090"/>
      <c r="R753" s="2090"/>
      <c r="S753" s="2091"/>
      <c r="X753" s="1440" t="s">
        <v>952</v>
      </c>
      <c r="Y753" s="1439"/>
      <c r="Z753" s="1439"/>
      <c r="AA753" s="1439"/>
      <c r="AB753" s="1441"/>
      <c r="AC753" s="2252">
        <f>BI696</f>
        <v>0.4212765957446809</v>
      </c>
      <c r="AD753" s="2253"/>
      <c r="AE753" s="2253"/>
      <c r="AF753" s="2253"/>
      <c r="AG753" s="2254"/>
      <c r="AH753" s="2252">
        <f>BI728</f>
        <v>0.4213523143653285</v>
      </c>
      <c r="AI753" s="2253"/>
      <c r="AJ753" s="225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504" t="s">
        <v>2318</v>
      </c>
      <c r="C754" s="2504"/>
      <c r="D754" s="2504"/>
      <c r="E754" s="2504"/>
      <c r="F754" s="2504"/>
      <c r="G754" s="2504"/>
      <c r="H754" s="2504"/>
      <c r="I754" s="2504"/>
      <c r="J754" s="2504"/>
      <c r="K754" s="2504"/>
      <c r="L754" s="2504"/>
      <c r="M754" s="2504"/>
      <c r="N754" s="2504"/>
      <c r="O754" s="2504"/>
      <c r="P754" s="2504"/>
      <c r="Q754" s="2504"/>
      <c r="R754" s="2504"/>
      <c r="S754" s="2504"/>
      <c r="T754" s="2504"/>
      <c r="U754" s="2504"/>
      <c r="V754" s="2504"/>
      <c r="W754" s="2504"/>
      <c r="X754" s="2504"/>
      <c r="Y754" s="2504"/>
      <c r="Z754" s="2504"/>
      <c r="AA754" s="2504"/>
      <c r="AB754" s="2504"/>
      <c r="AC754" s="2504"/>
      <c r="AD754" s="2504"/>
      <c r="AE754" s="2504"/>
      <c r="AF754" s="2504"/>
      <c r="AG754" s="2504"/>
      <c r="AH754" s="250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504"/>
      <c r="C755" s="2504"/>
      <c r="D755" s="2504"/>
      <c r="E755" s="2504"/>
      <c r="F755" s="2504"/>
      <c r="G755" s="2504"/>
      <c r="H755" s="2504"/>
      <c r="I755" s="2504"/>
      <c r="J755" s="2504"/>
      <c r="K755" s="2504"/>
      <c r="L755" s="2504"/>
      <c r="M755" s="2504"/>
      <c r="N755" s="2504"/>
      <c r="O755" s="2504"/>
      <c r="P755" s="2504"/>
      <c r="Q755" s="2504"/>
      <c r="R755" s="2504"/>
      <c r="S755" s="2504"/>
      <c r="T755" s="2504"/>
      <c r="U755" s="2504"/>
      <c r="V755" s="2504"/>
      <c r="W755" s="2504"/>
      <c r="X755" s="2504"/>
      <c r="Y755" s="2504"/>
      <c r="Z755" s="2504"/>
      <c r="AA755" s="2504"/>
      <c r="AB755" s="2504"/>
      <c r="AC755" s="2504"/>
      <c r="AD755" s="2504"/>
      <c r="AE755" s="2504"/>
      <c r="AF755" s="2504"/>
      <c r="AG755" s="2504"/>
      <c r="AH755" s="250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108">
        <f>CS637</f>
        <v>47</v>
      </c>
      <c r="P756" s="2108"/>
      <c r="Q756" s="2108"/>
      <c r="R756" s="2108"/>
      <c r="S756" s="1699"/>
      <c r="T756" s="1699"/>
      <c r="U756" s="179" t="s">
        <v>2317</v>
      </c>
      <c r="V756" s="1697"/>
      <c r="W756" s="1697"/>
      <c r="X756" s="1697"/>
      <c r="Y756" s="1698"/>
      <c r="Z756" s="1698"/>
      <c r="AA756" s="1698"/>
      <c r="AB756" s="1698"/>
      <c r="AC756" s="1697"/>
      <c r="AD756" s="1697"/>
      <c r="AE756" s="1697"/>
      <c r="AF756" s="1697"/>
      <c r="AG756" s="2447">
        <v>35</v>
      </c>
      <c r="AH756" s="2447"/>
      <c r="AI756" s="2447"/>
      <c r="AJ756" s="244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312" t="s">
        <v>617</v>
      </c>
      <c r="AE758" s="2312"/>
      <c r="AF758" s="2312"/>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503" t="s">
        <v>2587</v>
      </c>
      <c r="D762" s="2503"/>
      <c r="E762" s="2503"/>
      <c r="F762" s="2503"/>
      <c r="G762" s="2503"/>
      <c r="H762" s="2503"/>
      <c r="I762" s="2503"/>
      <c r="J762" s="2503"/>
      <c r="K762" s="2503"/>
      <c r="L762" s="2503"/>
      <c r="M762" s="2503"/>
      <c r="N762" s="2503"/>
      <c r="O762" s="2503"/>
      <c r="P762" s="2503"/>
      <c r="Q762" s="2503"/>
      <c r="R762" s="2503"/>
      <c r="S762" s="2503"/>
      <c r="T762" s="2503"/>
      <c r="U762" s="2503"/>
      <c r="V762" s="2503"/>
      <c r="W762" s="2503"/>
      <c r="X762" s="2503"/>
      <c r="Y762" s="2503"/>
      <c r="Z762" s="2503"/>
      <c r="AA762" s="2503"/>
      <c r="AB762" s="2503"/>
      <c r="AC762" s="2503"/>
      <c r="AD762" s="2503"/>
      <c r="AE762" s="2503"/>
      <c r="AF762" s="2503"/>
      <c r="AG762" s="2503"/>
      <c r="AH762" s="2503"/>
      <c r="AI762" s="2503"/>
      <c r="AJ762" s="2503"/>
      <c r="AK762" s="2503"/>
      <c r="AL762" s="2503"/>
      <c r="AM762" s="2503"/>
      <c r="AN762" s="2503"/>
      <c r="AO762" s="2503"/>
      <c r="AP762" s="2503"/>
      <c r="AQ762" s="2503"/>
      <c r="AR762" s="2503"/>
      <c r="AS762" s="239"/>
      <c r="AT762" s="88"/>
      <c r="AU762" s="88"/>
      <c r="AV762" s="88"/>
      <c r="AW762" s="88"/>
      <c r="AX762" s="88"/>
      <c r="AY762" s="88"/>
      <c r="CR762" s="177"/>
    </row>
    <row r="763" spans="1:16383" s="58" customFormat="1" ht="12.75" customHeight="1">
      <c r="A763" s="239"/>
      <c r="B763" s="1700"/>
      <c r="C763" s="2503"/>
      <c r="D763" s="2503"/>
      <c r="E763" s="2503"/>
      <c r="F763" s="2503"/>
      <c r="G763" s="2503"/>
      <c r="H763" s="2503"/>
      <c r="I763" s="2503"/>
      <c r="J763" s="2503"/>
      <c r="K763" s="2503"/>
      <c r="L763" s="2503"/>
      <c r="M763" s="2503"/>
      <c r="N763" s="2503"/>
      <c r="O763" s="2503"/>
      <c r="P763" s="2503"/>
      <c r="Q763" s="2503"/>
      <c r="R763" s="2503"/>
      <c r="S763" s="2503"/>
      <c r="T763" s="2503"/>
      <c r="U763" s="2503"/>
      <c r="V763" s="2503"/>
      <c r="W763" s="2503"/>
      <c r="X763" s="2503"/>
      <c r="Y763" s="2503"/>
      <c r="Z763" s="2503"/>
      <c r="AA763" s="2503"/>
      <c r="AB763" s="2503"/>
      <c r="AC763" s="2503"/>
      <c r="AD763" s="2503"/>
      <c r="AE763" s="2503"/>
      <c r="AF763" s="2503"/>
      <c r="AG763" s="2503"/>
      <c r="AH763" s="2503"/>
      <c r="AI763" s="2503"/>
      <c r="AJ763" s="2503"/>
      <c r="AK763" s="2503"/>
      <c r="AL763" s="2503"/>
      <c r="AM763" s="2503"/>
      <c r="AN763" s="2503"/>
      <c r="AO763" s="2503"/>
      <c r="AP763" s="2503"/>
      <c r="AQ763" s="2503"/>
      <c r="AR763" s="2503"/>
      <c r="AS763" s="239"/>
      <c r="AT763" s="88"/>
      <c r="AU763" s="88"/>
      <c r="AV763" s="88"/>
      <c r="AW763" s="88"/>
      <c r="AX763" s="88"/>
      <c r="AY763" s="88"/>
      <c r="CR763" s="177"/>
    </row>
    <row r="764" spans="1:16383" s="58" customFormat="1" ht="12.75" customHeight="1">
      <c r="B764" s="1700"/>
      <c r="C764" s="2503"/>
      <c r="D764" s="2503"/>
      <c r="E764" s="2503"/>
      <c r="F764" s="2503"/>
      <c r="G764" s="2503"/>
      <c r="H764" s="2503"/>
      <c r="I764" s="2503"/>
      <c r="J764" s="2503"/>
      <c r="K764" s="2503"/>
      <c r="L764" s="2503"/>
      <c r="M764" s="2503"/>
      <c r="N764" s="2503"/>
      <c r="O764" s="2503"/>
      <c r="P764" s="2503"/>
      <c r="Q764" s="2503"/>
      <c r="R764" s="2503"/>
      <c r="S764" s="2503"/>
      <c r="T764" s="2503"/>
      <c r="U764" s="2503"/>
      <c r="V764" s="2503"/>
      <c r="W764" s="2503"/>
      <c r="X764" s="2503"/>
      <c r="Y764" s="2503"/>
      <c r="Z764" s="2503"/>
      <c r="AA764" s="2503"/>
      <c r="AB764" s="2503"/>
      <c r="AC764" s="2503"/>
      <c r="AD764" s="2503"/>
      <c r="AE764" s="2503"/>
      <c r="AF764" s="2503"/>
      <c r="AG764" s="2503"/>
      <c r="AH764" s="2503"/>
      <c r="AI764" s="2503"/>
      <c r="AJ764" s="2503"/>
      <c r="AK764" s="2503"/>
      <c r="AL764" s="2503"/>
      <c r="AM764" s="2503"/>
      <c r="AN764" s="2503"/>
      <c r="AO764" s="2503"/>
      <c r="AP764" s="2503"/>
      <c r="AQ764" s="2503"/>
      <c r="AR764" s="2503"/>
      <c r="AS764" s="239"/>
      <c r="AT764" s="88"/>
      <c r="AU764" s="88"/>
      <c r="AV764" s="88"/>
      <c r="AW764" s="88"/>
      <c r="AX764" s="88"/>
      <c r="AY764" s="88"/>
      <c r="CR764" s="177"/>
    </row>
    <row r="765" spans="1:16383" s="58" customFormat="1" ht="12.75" customHeight="1">
      <c r="B765" s="1700"/>
      <c r="C765" s="2503" t="s">
        <v>2588</v>
      </c>
      <c r="D765" s="2503"/>
      <c r="E765" s="2503"/>
      <c r="F765" s="2503"/>
      <c r="G765" s="2503"/>
      <c r="H765" s="2503"/>
      <c r="I765" s="2503"/>
      <c r="J765" s="2503"/>
      <c r="K765" s="2503"/>
      <c r="L765" s="2503"/>
      <c r="M765" s="2503"/>
      <c r="N765" s="2503"/>
      <c r="O765" s="2503"/>
      <c r="P765" s="2503"/>
      <c r="Q765" s="2503"/>
      <c r="R765" s="2503"/>
      <c r="S765" s="2503"/>
      <c r="T765" s="2503"/>
      <c r="U765" s="2503"/>
      <c r="V765" s="2503"/>
      <c r="W765" s="2503"/>
      <c r="X765" s="2503"/>
      <c r="Y765" s="2503"/>
      <c r="Z765" s="2503"/>
      <c r="AA765" s="2503"/>
      <c r="AB765" s="2503"/>
      <c r="AC765" s="2503"/>
      <c r="AD765" s="2503"/>
      <c r="AE765" s="2503"/>
      <c r="AF765" s="2503"/>
      <c r="AG765" s="2503"/>
      <c r="AH765" s="2503"/>
      <c r="AI765" s="2503"/>
      <c r="AJ765" s="2503"/>
      <c r="AK765" s="2503"/>
      <c r="AL765" s="2503"/>
      <c r="AM765" s="2503"/>
      <c r="AN765" s="2503"/>
      <c r="AO765" s="2503"/>
      <c r="AP765" s="2503"/>
      <c r="AQ765" s="2503"/>
      <c r="AR765" s="2503"/>
      <c r="AS765" s="239"/>
      <c r="AT765" s="88"/>
      <c r="AU765" s="88"/>
      <c r="AV765" s="88"/>
      <c r="AW765" s="88"/>
      <c r="AX765" s="88"/>
      <c r="AY765" s="88"/>
      <c r="CR765" s="177"/>
    </row>
    <row r="766" spans="1:16383" s="58" customFormat="1" ht="12.75" customHeight="1">
      <c r="B766" s="1700"/>
      <c r="C766" s="2503"/>
      <c r="D766" s="2503"/>
      <c r="E766" s="2503"/>
      <c r="F766" s="2503"/>
      <c r="G766" s="2503"/>
      <c r="H766" s="2503"/>
      <c r="I766" s="2503"/>
      <c r="J766" s="2503"/>
      <c r="K766" s="2503"/>
      <c r="L766" s="2503"/>
      <c r="M766" s="2503"/>
      <c r="N766" s="2503"/>
      <c r="O766" s="2503"/>
      <c r="P766" s="2503"/>
      <c r="Q766" s="2503"/>
      <c r="R766" s="2503"/>
      <c r="S766" s="2503"/>
      <c r="T766" s="2503"/>
      <c r="U766" s="2503"/>
      <c r="V766" s="2503"/>
      <c r="W766" s="2503"/>
      <c r="X766" s="2503"/>
      <c r="Y766" s="2503"/>
      <c r="Z766" s="2503"/>
      <c r="AA766" s="2503"/>
      <c r="AB766" s="2503"/>
      <c r="AC766" s="2503"/>
      <c r="AD766" s="2503"/>
      <c r="AE766" s="2503"/>
      <c r="AF766" s="2503"/>
      <c r="AG766" s="2503"/>
      <c r="AH766" s="2503"/>
      <c r="AI766" s="2503"/>
      <c r="AJ766" s="2503"/>
      <c r="AK766" s="2503"/>
      <c r="AL766" s="2503"/>
      <c r="AM766" s="2503"/>
      <c r="AN766" s="2503"/>
      <c r="AO766" s="2503"/>
      <c r="AP766" s="2503"/>
      <c r="AQ766" s="2503"/>
      <c r="AR766" s="2503"/>
      <c r="AS766" s="239"/>
      <c r="AT766" s="88"/>
      <c r="AU766" s="88"/>
      <c r="AV766" s="88"/>
      <c r="AW766" s="88"/>
      <c r="AX766" s="88"/>
      <c r="AY766" s="88"/>
      <c r="CR766" s="177"/>
    </row>
    <row r="767" spans="1:16383" s="58" customFormat="1" ht="12.75" customHeight="1">
      <c r="B767" s="1700"/>
      <c r="C767" s="2503"/>
      <c r="D767" s="2503"/>
      <c r="E767" s="2503"/>
      <c r="F767" s="2503"/>
      <c r="G767" s="2503"/>
      <c r="H767" s="2503"/>
      <c r="I767" s="2503"/>
      <c r="J767" s="2503"/>
      <c r="K767" s="2503"/>
      <c r="L767" s="2503"/>
      <c r="M767" s="2503"/>
      <c r="N767" s="2503"/>
      <c r="O767" s="2503"/>
      <c r="P767" s="2503"/>
      <c r="Q767" s="2503"/>
      <c r="R767" s="2503"/>
      <c r="S767" s="2503"/>
      <c r="T767" s="2503"/>
      <c r="U767" s="2503"/>
      <c r="V767" s="2503"/>
      <c r="W767" s="2503"/>
      <c r="X767" s="2503"/>
      <c r="Y767" s="2503"/>
      <c r="Z767" s="2503"/>
      <c r="AA767" s="2503"/>
      <c r="AB767" s="2503"/>
      <c r="AC767" s="2503"/>
      <c r="AD767" s="2503"/>
      <c r="AE767" s="2503"/>
      <c r="AF767" s="2503"/>
      <c r="AG767" s="2503"/>
      <c r="AH767" s="2503"/>
      <c r="AI767" s="2503"/>
      <c r="AJ767" s="2503"/>
      <c r="AK767" s="2503"/>
      <c r="AL767" s="2503"/>
      <c r="AM767" s="2503"/>
      <c r="AN767" s="2503"/>
      <c r="AO767" s="2503"/>
      <c r="AP767" s="2503"/>
      <c r="AQ767" s="2503"/>
      <c r="AR767" s="2503"/>
      <c r="AS767" s="239"/>
      <c r="AT767" s="88"/>
      <c r="AU767" s="88"/>
      <c r="AV767" s="88"/>
      <c r="AW767" s="88"/>
      <c r="AX767" s="88"/>
      <c r="AY767" s="88"/>
      <c r="CR767" s="177"/>
    </row>
    <row r="768" spans="1:16383" ht="12.75" customHeight="1">
      <c r="J768" s="2328" t="s">
        <v>403</v>
      </c>
      <c r="K768" s="2329"/>
      <c r="L768" s="2329"/>
      <c r="M768" s="2329"/>
      <c r="N768" s="2330"/>
      <c r="O768" s="2446" t="s">
        <v>290</v>
      </c>
      <c r="P768" s="2446"/>
      <c r="Q768" s="2446"/>
      <c r="R768" s="2446"/>
      <c r="S768" s="2446"/>
      <c r="T768" s="2337" t="s">
        <v>1991</v>
      </c>
      <c r="U768" s="2338"/>
      <c r="V768" s="2338"/>
      <c r="W768" s="2339"/>
      <c r="X768" s="2328" t="s">
        <v>471</v>
      </c>
      <c r="Y768" s="2329"/>
      <c r="Z768" s="2329"/>
      <c r="AA768" s="2329"/>
      <c r="AB768" s="2330"/>
      <c r="AC768" s="2328" t="s">
        <v>291</v>
      </c>
      <c r="AD768" s="2329"/>
      <c r="AE768" s="2329"/>
      <c r="AF768" s="2329"/>
      <c r="AG768" s="233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31"/>
      <c r="K769" s="2332"/>
      <c r="L769" s="2332"/>
      <c r="M769" s="2332"/>
      <c r="N769" s="2333"/>
      <c r="O769" s="2446"/>
      <c r="P769" s="2446"/>
      <c r="Q769" s="2446"/>
      <c r="R769" s="2446"/>
      <c r="S769" s="2446"/>
      <c r="T769" s="2340"/>
      <c r="U769" s="2341"/>
      <c r="V769" s="2341"/>
      <c r="W769" s="2342"/>
      <c r="X769" s="2331"/>
      <c r="Y769" s="2332"/>
      <c r="Z769" s="2332"/>
      <c r="AA769" s="2332"/>
      <c r="AB769" s="2333"/>
      <c r="AC769" s="2331"/>
      <c r="AD769" s="2332"/>
      <c r="AE769" s="2332"/>
      <c r="AF769" s="2332"/>
      <c r="AG769" s="233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31"/>
      <c r="K770" s="2332"/>
      <c r="L770" s="2332"/>
      <c r="M770" s="2332"/>
      <c r="N770" s="2333"/>
      <c r="O770" s="2446"/>
      <c r="P770" s="2446"/>
      <c r="Q770" s="2446"/>
      <c r="R770" s="2446"/>
      <c r="S770" s="2446"/>
      <c r="T770" s="2340"/>
      <c r="U770" s="2341"/>
      <c r="V770" s="2341"/>
      <c r="W770" s="2342"/>
      <c r="X770" s="2331"/>
      <c r="Y770" s="2332"/>
      <c r="Z770" s="2332"/>
      <c r="AA770" s="2332"/>
      <c r="AB770" s="2333"/>
      <c r="AC770" s="2331"/>
      <c r="AD770" s="2332"/>
      <c r="AE770" s="2332"/>
      <c r="AF770" s="2332"/>
      <c r="AG770" s="233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34"/>
      <c r="K771" s="2335"/>
      <c r="L771" s="2335"/>
      <c r="M771" s="2335"/>
      <c r="N771" s="2336"/>
      <c r="O771" s="2446"/>
      <c r="P771" s="2446"/>
      <c r="Q771" s="2446"/>
      <c r="R771" s="2446"/>
      <c r="S771" s="2446"/>
      <c r="T771" s="2343"/>
      <c r="U771" s="2344"/>
      <c r="V771" s="2344"/>
      <c r="W771" s="2345"/>
      <c r="X771" s="2334"/>
      <c r="Y771" s="2335"/>
      <c r="Z771" s="2335"/>
      <c r="AA771" s="2335"/>
      <c r="AB771" s="2336"/>
      <c r="AC771" s="2334"/>
      <c r="AD771" s="2335"/>
      <c r="AE771" s="2335"/>
      <c r="AF771" s="2335"/>
      <c r="AG771" s="233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3" t="s">
        <v>168</v>
      </c>
      <c r="K772" s="2054"/>
      <c r="L772" s="2054"/>
      <c r="M772" s="2054"/>
      <c r="N772" s="2055"/>
      <c r="O772" s="2351">
        <v>1</v>
      </c>
      <c r="P772" s="2351"/>
      <c r="Q772" s="2351"/>
      <c r="R772" s="2351"/>
      <c r="S772" s="2351"/>
      <c r="T772" s="2313">
        <v>1127</v>
      </c>
      <c r="U772" s="2314"/>
      <c r="V772" s="2314"/>
      <c r="W772" s="2315"/>
      <c r="X772" s="2306"/>
      <c r="Y772" s="2307"/>
      <c r="Z772" s="2307"/>
      <c r="AA772" s="2307"/>
      <c r="AB772" s="2308"/>
      <c r="AC772" s="2089">
        <f>X772*O772</f>
        <v>0</v>
      </c>
      <c r="AD772" s="2090"/>
      <c r="AE772" s="2090"/>
      <c r="AF772" s="2090"/>
      <c r="AG772" s="209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3"/>
      <c r="K773" s="2054"/>
      <c r="L773" s="2054"/>
      <c r="M773" s="2054"/>
      <c r="N773" s="2055"/>
      <c r="O773" s="2351"/>
      <c r="P773" s="2351"/>
      <c r="Q773" s="2351"/>
      <c r="R773" s="2351"/>
      <c r="S773" s="2351"/>
      <c r="T773" s="2313"/>
      <c r="U773" s="2314"/>
      <c r="V773" s="2314"/>
      <c r="W773" s="2315"/>
      <c r="X773" s="2306"/>
      <c r="Y773" s="2307"/>
      <c r="Z773" s="2307"/>
      <c r="AA773" s="2307"/>
      <c r="AB773" s="2308"/>
      <c r="AC773" s="2089">
        <f>X773*O773</f>
        <v>0</v>
      </c>
      <c r="AD773" s="2090"/>
      <c r="AE773" s="2090"/>
      <c r="AF773" s="2090"/>
      <c r="AG773" s="209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3"/>
      <c r="K774" s="2054"/>
      <c r="L774" s="2054"/>
      <c r="M774" s="2054"/>
      <c r="N774" s="2055"/>
      <c r="O774" s="2351"/>
      <c r="P774" s="2351"/>
      <c r="Q774" s="2351"/>
      <c r="R774" s="2351"/>
      <c r="S774" s="2351"/>
      <c r="T774" s="2313"/>
      <c r="U774" s="2314"/>
      <c r="V774" s="2314"/>
      <c r="W774" s="2315"/>
      <c r="X774" s="2306"/>
      <c r="Y774" s="2307"/>
      <c r="Z774" s="2307"/>
      <c r="AA774" s="2307"/>
      <c r="AB774" s="2308"/>
      <c r="AC774" s="2089">
        <f>X774*O774</f>
        <v>0</v>
      </c>
      <c r="AD774" s="2090"/>
      <c r="AE774" s="2090"/>
      <c r="AF774" s="2090"/>
      <c r="AG774" s="209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3"/>
      <c r="K775" s="2054"/>
      <c r="L775" s="2054"/>
      <c r="M775" s="2054"/>
      <c r="N775" s="2055"/>
      <c r="O775" s="2351"/>
      <c r="P775" s="2351"/>
      <c r="Q775" s="2351"/>
      <c r="R775" s="2351"/>
      <c r="S775" s="2351"/>
      <c r="T775" s="2313"/>
      <c r="U775" s="2314"/>
      <c r="V775" s="2314"/>
      <c r="W775" s="2315"/>
      <c r="X775" s="2306"/>
      <c r="Y775" s="2307"/>
      <c r="Z775" s="2307"/>
      <c r="AA775" s="2307"/>
      <c r="AB775" s="2308"/>
      <c r="AC775" s="2089">
        <f>X775*O775</f>
        <v>0</v>
      </c>
      <c r="AD775" s="2090"/>
      <c r="AE775" s="2090"/>
      <c r="AF775" s="2090"/>
      <c r="AG775" s="209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409" t="s">
        <v>130</v>
      </c>
      <c r="K776" s="2410"/>
      <c r="L776" s="2410"/>
      <c r="M776" s="2410"/>
      <c r="N776" s="2411"/>
      <c r="O776" s="2402">
        <f>SUM(O772:S775)</f>
        <v>1</v>
      </c>
      <c r="P776" s="2403"/>
      <c r="Q776" s="2403"/>
      <c r="R776" s="2403"/>
      <c r="S776" s="2404"/>
      <c r="X776" s="2325" t="s">
        <v>129</v>
      </c>
      <c r="Y776" s="2326"/>
      <c r="Z776" s="2326"/>
      <c r="AA776" s="2326"/>
      <c r="AB776" s="2327"/>
      <c r="AC776" s="2089">
        <f>SUM(AC772:AG775)</f>
        <v>0</v>
      </c>
      <c r="AD776" s="2090"/>
      <c r="AE776" s="2090"/>
      <c r="AF776" s="2090"/>
      <c r="AG776" s="209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32" t="s">
        <v>695</v>
      </c>
      <c r="K778" s="2432"/>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28" t="s">
        <v>403</v>
      </c>
      <c r="K782" s="2329"/>
      <c r="L782" s="2329"/>
      <c r="M782" s="2329"/>
      <c r="N782" s="2330"/>
      <c r="O782" s="2446" t="s">
        <v>290</v>
      </c>
      <c r="P782" s="2446"/>
      <c r="Q782" s="2446"/>
      <c r="R782" s="2446"/>
      <c r="S782" s="2446"/>
      <c r="T782" s="2337" t="s">
        <v>1991</v>
      </c>
      <c r="U782" s="2338"/>
      <c r="V782" s="2338"/>
      <c r="W782" s="2339"/>
      <c r="X782" s="2328" t="s">
        <v>471</v>
      </c>
      <c r="Y782" s="2329"/>
      <c r="Z782" s="2329"/>
      <c r="AA782" s="2329"/>
      <c r="AB782" s="2330"/>
      <c r="AC782" s="2328" t="s">
        <v>291</v>
      </c>
      <c r="AD782" s="2329"/>
      <c r="AE782" s="2329"/>
      <c r="AF782" s="2329"/>
      <c r="AG782" s="2330"/>
      <c r="AH782" s="2499" t="s">
        <v>2186</v>
      </c>
      <c r="AI782" s="2500"/>
      <c r="AJ782" s="2500"/>
      <c r="AK782" s="2500"/>
      <c r="AL782" s="25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31"/>
      <c r="K783" s="2332"/>
      <c r="L783" s="2332"/>
      <c r="M783" s="2332"/>
      <c r="N783" s="2333"/>
      <c r="O783" s="2446"/>
      <c r="P783" s="2446"/>
      <c r="Q783" s="2446"/>
      <c r="R783" s="2446"/>
      <c r="S783" s="2446"/>
      <c r="T783" s="2340"/>
      <c r="U783" s="2341"/>
      <c r="V783" s="2341"/>
      <c r="W783" s="2342"/>
      <c r="X783" s="2331"/>
      <c r="Y783" s="2332"/>
      <c r="Z783" s="2332"/>
      <c r="AA783" s="2332"/>
      <c r="AB783" s="2333"/>
      <c r="AC783" s="2331"/>
      <c r="AD783" s="2332"/>
      <c r="AE783" s="2332"/>
      <c r="AF783" s="2332"/>
      <c r="AG783" s="2333"/>
      <c r="AH783" s="2499"/>
      <c r="AI783" s="2500"/>
      <c r="AJ783" s="2500"/>
      <c r="AK783" s="2500"/>
      <c r="AL783" s="250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31"/>
      <c r="K784" s="2332"/>
      <c r="L784" s="2332"/>
      <c r="M784" s="2332"/>
      <c r="N784" s="2333"/>
      <c r="O784" s="2446"/>
      <c r="P784" s="2446"/>
      <c r="Q784" s="2446"/>
      <c r="R784" s="2446"/>
      <c r="S784" s="2446"/>
      <c r="T784" s="2340"/>
      <c r="U784" s="2341"/>
      <c r="V784" s="2341"/>
      <c r="W784" s="2342"/>
      <c r="X784" s="2331"/>
      <c r="Y784" s="2332"/>
      <c r="Z784" s="2332"/>
      <c r="AA784" s="2332"/>
      <c r="AB784" s="2333"/>
      <c r="AC784" s="2331"/>
      <c r="AD784" s="2332"/>
      <c r="AE784" s="2332"/>
      <c r="AF784" s="2332"/>
      <c r="AG784" s="2333"/>
      <c r="AH784" s="2499"/>
      <c r="AI784" s="2500"/>
      <c r="AJ784" s="2500"/>
      <c r="AK784" s="2500"/>
      <c r="AL784" s="25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34"/>
      <c r="K785" s="2335"/>
      <c r="L785" s="2335"/>
      <c r="M785" s="2335"/>
      <c r="N785" s="2336"/>
      <c r="O785" s="2446"/>
      <c r="P785" s="2446"/>
      <c r="Q785" s="2446"/>
      <c r="R785" s="2446"/>
      <c r="S785" s="2446"/>
      <c r="T785" s="2343"/>
      <c r="U785" s="2344"/>
      <c r="V785" s="2344"/>
      <c r="W785" s="2345"/>
      <c r="X785" s="2334"/>
      <c r="Y785" s="2335"/>
      <c r="Z785" s="2335"/>
      <c r="AA785" s="2335"/>
      <c r="AB785" s="2336"/>
      <c r="AC785" s="2334"/>
      <c r="AD785" s="2335"/>
      <c r="AE785" s="2335"/>
      <c r="AF785" s="2335"/>
      <c r="AG785" s="2336"/>
      <c r="AH785" s="2499"/>
      <c r="AI785" s="2500"/>
      <c r="AJ785" s="2500"/>
      <c r="AK785" s="2500"/>
      <c r="AL785" s="25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3"/>
      <c r="K786" s="2054"/>
      <c r="L786" s="2054"/>
      <c r="M786" s="2054"/>
      <c r="N786" s="2055"/>
      <c r="O786" s="2351"/>
      <c r="P786" s="2351"/>
      <c r="Q786" s="2351"/>
      <c r="R786" s="2351"/>
      <c r="S786" s="2351"/>
      <c r="T786" s="2313"/>
      <c r="U786" s="2314"/>
      <c r="V786" s="2314"/>
      <c r="W786" s="2315"/>
      <c r="X786" s="2306"/>
      <c r="Y786" s="2307"/>
      <c r="Z786" s="2307"/>
      <c r="AA786" s="2307"/>
      <c r="AB786" s="2308"/>
      <c r="AC786" s="2089">
        <f t="shared" ref="AC786:AC795" si="50">X786*O786</f>
        <v>0</v>
      </c>
      <c r="AD786" s="2090"/>
      <c r="AE786" s="2090"/>
      <c r="AF786" s="2090"/>
      <c r="AG786" s="2091"/>
      <c r="AH786" s="2352"/>
      <c r="AI786" s="2353"/>
      <c r="AJ786" s="2353"/>
      <c r="AK786" s="2353"/>
      <c r="AL786" s="235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3"/>
      <c r="K787" s="2054"/>
      <c r="L787" s="2054"/>
      <c r="M787" s="2054"/>
      <c r="N787" s="2055"/>
      <c r="O787" s="2351"/>
      <c r="P787" s="2351"/>
      <c r="Q787" s="2351"/>
      <c r="R787" s="2351"/>
      <c r="S787" s="2351"/>
      <c r="T787" s="2313"/>
      <c r="U787" s="2314"/>
      <c r="V787" s="2314"/>
      <c r="W787" s="2315"/>
      <c r="X787" s="2306"/>
      <c r="Y787" s="2307"/>
      <c r="Z787" s="2307"/>
      <c r="AA787" s="2307"/>
      <c r="AB787" s="2308"/>
      <c r="AC787" s="2089">
        <f t="shared" si="50"/>
        <v>0</v>
      </c>
      <c r="AD787" s="2090"/>
      <c r="AE787" s="2090"/>
      <c r="AF787" s="2090"/>
      <c r="AG787" s="2091"/>
      <c r="AH787" s="2352"/>
      <c r="AI787" s="2353"/>
      <c r="AJ787" s="2353"/>
      <c r="AK787" s="2353"/>
      <c r="AL787" s="235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3"/>
      <c r="K788" s="2054"/>
      <c r="L788" s="2054"/>
      <c r="M788" s="2054"/>
      <c r="N788" s="2055"/>
      <c r="O788" s="2351"/>
      <c r="P788" s="2351"/>
      <c r="Q788" s="2351"/>
      <c r="R788" s="2351"/>
      <c r="S788" s="2351"/>
      <c r="T788" s="2313"/>
      <c r="U788" s="2314"/>
      <c r="V788" s="2314"/>
      <c r="W788" s="2315"/>
      <c r="X788" s="2306"/>
      <c r="Y788" s="2307"/>
      <c r="Z788" s="2307"/>
      <c r="AA788" s="2307"/>
      <c r="AB788" s="2308"/>
      <c r="AC788" s="2089">
        <f t="shared" si="50"/>
        <v>0</v>
      </c>
      <c r="AD788" s="2090"/>
      <c r="AE788" s="2090"/>
      <c r="AF788" s="2090"/>
      <c r="AG788" s="2091"/>
      <c r="AH788" s="2352"/>
      <c r="AI788" s="2353"/>
      <c r="AJ788" s="2353"/>
      <c r="AK788" s="2353"/>
      <c r="AL788" s="235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3"/>
      <c r="K789" s="2054"/>
      <c r="L789" s="2054"/>
      <c r="M789" s="2054"/>
      <c r="N789" s="2055"/>
      <c r="O789" s="2351"/>
      <c r="P789" s="2351"/>
      <c r="Q789" s="2351"/>
      <c r="R789" s="2351"/>
      <c r="S789" s="2351"/>
      <c r="T789" s="2313"/>
      <c r="U789" s="2314"/>
      <c r="V789" s="2314"/>
      <c r="W789" s="2315"/>
      <c r="X789" s="2306"/>
      <c r="Y789" s="2307"/>
      <c r="Z789" s="2307"/>
      <c r="AA789" s="2307"/>
      <c r="AB789" s="2308"/>
      <c r="AC789" s="2089">
        <f t="shared" si="50"/>
        <v>0</v>
      </c>
      <c r="AD789" s="2090"/>
      <c r="AE789" s="2090"/>
      <c r="AF789" s="2090"/>
      <c r="AG789" s="2091"/>
      <c r="AH789" s="2352"/>
      <c r="AI789" s="2353"/>
      <c r="AJ789" s="2353"/>
      <c r="AK789" s="2353"/>
      <c r="AL789" s="235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3"/>
      <c r="K790" s="2054"/>
      <c r="L790" s="2054"/>
      <c r="M790" s="2054"/>
      <c r="N790" s="2055"/>
      <c r="O790" s="2351"/>
      <c r="P790" s="2351"/>
      <c r="Q790" s="2351"/>
      <c r="R790" s="2351"/>
      <c r="S790" s="2351"/>
      <c r="T790" s="2313"/>
      <c r="U790" s="2314"/>
      <c r="V790" s="2314"/>
      <c r="W790" s="2315"/>
      <c r="X790" s="2306"/>
      <c r="Y790" s="2307"/>
      <c r="Z790" s="2307"/>
      <c r="AA790" s="2307"/>
      <c r="AB790" s="2308"/>
      <c r="AC790" s="2089">
        <f t="shared" si="50"/>
        <v>0</v>
      </c>
      <c r="AD790" s="2090"/>
      <c r="AE790" s="2090"/>
      <c r="AF790" s="2090"/>
      <c r="AG790" s="2091"/>
      <c r="AH790" s="2352"/>
      <c r="AI790" s="2353"/>
      <c r="AJ790" s="2353"/>
      <c r="AK790" s="2353"/>
      <c r="AL790" s="235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3"/>
      <c r="K791" s="2054"/>
      <c r="L791" s="2054"/>
      <c r="M791" s="2054"/>
      <c r="N791" s="2055"/>
      <c r="O791" s="2351"/>
      <c r="P791" s="2351"/>
      <c r="Q791" s="2351"/>
      <c r="R791" s="2351"/>
      <c r="S791" s="2351"/>
      <c r="T791" s="2313"/>
      <c r="U791" s="2314"/>
      <c r="V791" s="2314"/>
      <c r="W791" s="2315"/>
      <c r="X791" s="2306"/>
      <c r="Y791" s="2307"/>
      <c r="Z791" s="2307"/>
      <c r="AA791" s="2307"/>
      <c r="AB791" s="2308"/>
      <c r="AC791" s="2089">
        <f t="shared" si="50"/>
        <v>0</v>
      </c>
      <c r="AD791" s="2090"/>
      <c r="AE791" s="2090"/>
      <c r="AF791" s="2090"/>
      <c r="AG791" s="2091"/>
      <c r="AH791" s="2352"/>
      <c r="AI791" s="2353"/>
      <c r="AJ791" s="2353"/>
      <c r="AK791" s="2353"/>
      <c r="AL791" s="235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3"/>
      <c r="K792" s="2054"/>
      <c r="L792" s="2054"/>
      <c r="M792" s="2054"/>
      <c r="N792" s="2055"/>
      <c r="O792" s="2351"/>
      <c r="P792" s="2351"/>
      <c r="Q792" s="2351"/>
      <c r="R792" s="2351"/>
      <c r="S792" s="2351"/>
      <c r="T792" s="2313"/>
      <c r="U792" s="2314"/>
      <c r="V792" s="2314"/>
      <c r="W792" s="2315"/>
      <c r="X792" s="2306"/>
      <c r="Y792" s="2307"/>
      <c r="Z792" s="2307"/>
      <c r="AA792" s="2307"/>
      <c r="AB792" s="2308"/>
      <c r="AC792" s="2089">
        <f t="shared" si="50"/>
        <v>0</v>
      </c>
      <c r="AD792" s="2090"/>
      <c r="AE792" s="2090"/>
      <c r="AF792" s="2090"/>
      <c r="AG792" s="2091"/>
      <c r="AH792" s="2352"/>
      <c r="AI792" s="2353"/>
      <c r="AJ792" s="2353"/>
      <c r="AK792" s="2353"/>
      <c r="AL792" s="235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3"/>
      <c r="K793" s="2054"/>
      <c r="L793" s="2054"/>
      <c r="M793" s="2054"/>
      <c r="N793" s="2055"/>
      <c r="O793" s="2351"/>
      <c r="P793" s="2351"/>
      <c r="Q793" s="2351"/>
      <c r="R793" s="2351"/>
      <c r="S793" s="2351"/>
      <c r="T793" s="2313"/>
      <c r="U793" s="2314"/>
      <c r="V793" s="2314"/>
      <c r="W793" s="2315"/>
      <c r="X793" s="2306"/>
      <c r="Y793" s="2307"/>
      <c r="Z793" s="2307"/>
      <c r="AA793" s="2307"/>
      <c r="AB793" s="2308"/>
      <c r="AC793" s="2089">
        <f t="shared" si="50"/>
        <v>0</v>
      </c>
      <c r="AD793" s="2090"/>
      <c r="AE793" s="2090"/>
      <c r="AF793" s="2090"/>
      <c r="AG793" s="2091"/>
      <c r="AH793" s="2352"/>
      <c r="AI793" s="2353"/>
      <c r="AJ793" s="2353"/>
      <c r="AK793" s="2353"/>
      <c r="AL793" s="235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3"/>
      <c r="K794" s="2054"/>
      <c r="L794" s="2054"/>
      <c r="M794" s="2054"/>
      <c r="N794" s="2055"/>
      <c r="O794" s="2351"/>
      <c r="P794" s="2351"/>
      <c r="Q794" s="2351"/>
      <c r="R794" s="2351"/>
      <c r="S794" s="2351"/>
      <c r="T794" s="2313"/>
      <c r="U794" s="2314"/>
      <c r="V794" s="2314"/>
      <c r="W794" s="2315"/>
      <c r="X794" s="2306"/>
      <c r="Y794" s="2307"/>
      <c r="Z794" s="2307"/>
      <c r="AA794" s="2307"/>
      <c r="AB794" s="2308"/>
      <c r="AC794" s="2089">
        <f t="shared" si="50"/>
        <v>0</v>
      </c>
      <c r="AD794" s="2090"/>
      <c r="AE794" s="2090"/>
      <c r="AF794" s="2090"/>
      <c r="AG794" s="2091"/>
      <c r="AH794" s="2352"/>
      <c r="AI794" s="2353"/>
      <c r="AJ794" s="2353"/>
      <c r="AK794" s="2353"/>
      <c r="AL794" s="235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3"/>
      <c r="K795" s="2054"/>
      <c r="L795" s="2054"/>
      <c r="M795" s="2054"/>
      <c r="N795" s="2055"/>
      <c r="O795" s="2351"/>
      <c r="P795" s="2351"/>
      <c r="Q795" s="2351"/>
      <c r="R795" s="2351"/>
      <c r="S795" s="2351"/>
      <c r="T795" s="2313"/>
      <c r="U795" s="2314"/>
      <c r="V795" s="2314"/>
      <c r="W795" s="2315"/>
      <c r="X795" s="2306"/>
      <c r="Y795" s="2307"/>
      <c r="Z795" s="2307"/>
      <c r="AA795" s="2307"/>
      <c r="AB795" s="2308"/>
      <c r="AC795" s="2089">
        <f t="shared" si="50"/>
        <v>0</v>
      </c>
      <c r="AD795" s="2090"/>
      <c r="AE795" s="2090"/>
      <c r="AF795" s="2090"/>
      <c r="AG795" s="2091"/>
      <c r="AH795" s="2352"/>
      <c r="AI795" s="2353"/>
      <c r="AJ795" s="2353"/>
      <c r="AK795" s="2353"/>
      <c r="AL795" s="235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409" t="s">
        <v>130</v>
      </c>
      <c r="K796" s="2410"/>
      <c r="L796" s="2410"/>
      <c r="M796" s="2410"/>
      <c r="N796" s="2411"/>
      <c r="O796" s="2502">
        <f>SUM(O786:S795)</f>
        <v>0</v>
      </c>
      <c r="P796" s="2502"/>
      <c r="Q796" s="2502"/>
      <c r="R796" s="2502"/>
      <c r="S796" s="2502"/>
      <c r="X796" s="1453" t="s">
        <v>129</v>
      </c>
      <c r="Y796" s="1454"/>
      <c r="Z796" s="1454"/>
      <c r="AA796" s="1454"/>
      <c r="AB796" s="1455"/>
      <c r="AC796" s="2089">
        <f>SUM(AC786:AG795)</f>
        <v>0</v>
      </c>
      <c r="AD796" s="2090"/>
      <c r="AE796" s="2090"/>
      <c r="AF796" s="2090"/>
      <c r="AG796" s="209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5">
        <f>O753+AC776+AC796</f>
        <v>40568</v>
      </c>
      <c r="Z798" s="2405"/>
      <c r="AA798" s="2405"/>
      <c r="AB798" s="2405"/>
      <c r="AC798" s="24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5">
        <f>(O753+AC776+AC796)*12</f>
        <v>486816</v>
      </c>
      <c r="Z799" s="2405"/>
      <c r="AA799" s="2405"/>
      <c r="AB799" s="2405"/>
      <c r="AC799" s="2405"/>
      <c r="AZ799" s="58"/>
      <c r="BA799" s="51" t="s">
        <v>658</v>
      </c>
      <c r="BB799" s="51"/>
      <c r="BC799" s="51"/>
      <c r="BD799" s="51"/>
      <c r="BE799" s="51"/>
      <c r="BF799" s="51"/>
      <c r="BG799" s="51"/>
      <c r="BH799" s="51"/>
      <c r="BI799" s="51"/>
      <c r="BJ799" s="51"/>
      <c r="BK799" s="51"/>
      <c r="BL799" s="51"/>
      <c r="BM799" s="51"/>
      <c r="BN799" s="2444" t="s">
        <v>494</v>
      </c>
      <c r="BO799" s="2445"/>
      <c r="BP799" s="58"/>
      <c r="BQ799" s="58"/>
      <c r="BR799" s="58"/>
      <c r="BS799" s="51" t="s">
        <v>660</v>
      </c>
      <c r="BT799" s="51"/>
      <c r="BU799" s="51"/>
      <c r="BV799" s="51"/>
      <c r="BW799" s="51"/>
      <c r="BX799" s="51"/>
      <c r="BY799" s="51"/>
      <c r="BZ799" s="51"/>
      <c r="CA799" s="51"/>
      <c r="CB799" s="2441" t="str">
        <f>T189</f>
        <v>Los Angeles</v>
      </c>
      <c r="CC799" s="2442"/>
      <c r="CD799" s="2442"/>
      <c r="CE799" s="2442"/>
      <c r="CF799" s="2442"/>
      <c r="CG799" s="2442"/>
      <c r="CH799" s="244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59">
        <v>35</v>
      </c>
      <c r="AA804" s="2460"/>
      <c r="AB804" s="2460"/>
      <c r="AC804" s="2460"/>
      <c r="AD804" s="2460"/>
      <c r="AE804" s="246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501">
        <v>20</v>
      </c>
      <c r="AA805" s="2460"/>
      <c r="AB805" s="2460"/>
      <c r="AC805" s="2460"/>
      <c r="AD805" s="2460"/>
      <c r="AE805" s="246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1">
        <v>52902</v>
      </c>
      <c r="AA806" s="2282"/>
      <c r="AB806" s="2282"/>
      <c r="AC806" s="2282"/>
      <c r="AD806" s="2282"/>
      <c r="AE806" s="22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414">
        <f>'Subsidy Contract Calculation'!J30</f>
        <v>409944</v>
      </c>
      <c r="AA807" s="2415"/>
      <c r="AB807" s="2415"/>
      <c r="AC807" s="2415"/>
      <c r="AD807" s="2415"/>
      <c r="AE807" s="241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58">
        <v>3792</v>
      </c>
      <c r="AA811" s="2259"/>
      <c r="AB811" s="2259"/>
      <c r="AC811" s="2259"/>
      <c r="AD811" s="2259"/>
      <c r="AE811" s="226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58"/>
      <c r="AA812" s="2259"/>
      <c r="AB812" s="2259"/>
      <c r="AC812" s="2259"/>
      <c r="AD812" s="2259"/>
      <c r="AE812" s="226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58"/>
      <c r="AA813" s="2259"/>
      <c r="AB813" s="2259"/>
      <c r="AC813" s="2259"/>
      <c r="AD813" s="2259"/>
      <c r="AE813" s="226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55" t="s">
        <v>339</v>
      </c>
      <c r="Q814" s="2278"/>
      <c r="R814" s="2278"/>
      <c r="S814" s="2278"/>
      <c r="T814" s="2278"/>
      <c r="U814" s="2278"/>
      <c r="V814" s="2278"/>
      <c r="W814" s="2278"/>
      <c r="X814" s="2278"/>
      <c r="Y814" s="2279"/>
      <c r="Z814" s="2258"/>
      <c r="AA814" s="2259"/>
      <c r="AB814" s="2259"/>
      <c r="AC814" s="2259"/>
      <c r="AD814" s="2259"/>
      <c r="AE814" s="226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414">
        <f>SUM(Z811:AE814)</f>
        <v>3792</v>
      </c>
      <c r="AA815" s="2415"/>
      <c r="AB815" s="2415"/>
      <c r="AC815" s="2415"/>
      <c r="AD815" s="2415"/>
      <c r="AE815" s="241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414">
        <f>Z815+Y799+Z807</f>
        <v>900552</v>
      </c>
      <c r="AA816" s="2415"/>
      <c r="AB816" s="2415"/>
      <c r="AC816" s="2415"/>
      <c r="AD816" s="2415"/>
      <c r="AE816" s="241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93" t="s">
        <v>131</v>
      </c>
      <c r="N821" s="2493"/>
      <c r="O821" s="2493"/>
      <c r="P821" s="2494"/>
      <c r="Q821" s="2393" t="s">
        <v>295</v>
      </c>
      <c r="R821" s="2393"/>
      <c r="S821" s="2393"/>
      <c r="T821" s="2393"/>
      <c r="U821" s="2393" t="s">
        <v>296</v>
      </c>
      <c r="V821" s="2393"/>
      <c r="W821" s="2393"/>
      <c r="X821" s="2393"/>
      <c r="Y821" s="2393" t="s">
        <v>297</v>
      </c>
      <c r="Z821" s="2393"/>
      <c r="AA821" s="2393"/>
      <c r="AB821" s="2393"/>
      <c r="AC821" s="2393" t="s">
        <v>367</v>
      </c>
      <c r="AD821" s="2393"/>
      <c r="AE821" s="2393"/>
      <c r="AF821" s="2393"/>
      <c r="AG821" s="2319" t="s">
        <v>340</v>
      </c>
      <c r="AH821" s="2319"/>
      <c r="AI821" s="2319"/>
      <c r="AJ821" s="23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95"/>
      <c r="N822" s="2495"/>
      <c r="O822" s="2495"/>
      <c r="P822" s="2496"/>
      <c r="Q822" s="2393"/>
      <c r="R822" s="2393"/>
      <c r="S822" s="2393"/>
      <c r="T822" s="2393"/>
      <c r="U822" s="2393"/>
      <c r="V822" s="2393"/>
      <c r="W822" s="2393"/>
      <c r="X822" s="2393"/>
      <c r="Y822" s="2393"/>
      <c r="Z822" s="2393"/>
      <c r="AA822" s="2393"/>
      <c r="AB822" s="2393"/>
      <c r="AC822" s="2393"/>
      <c r="AD822" s="2393"/>
      <c r="AE822" s="2393"/>
      <c r="AF822" s="2393"/>
      <c r="AG822" s="2319"/>
      <c r="AH822" s="2319"/>
      <c r="AI822" s="2319"/>
      <c r="AJ822" s="23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346">
        <v>11</v>
      </c>
      <c r="N823" s="2346"/>
      <c r="O823" s="2346"/>
      <c r="P823" s="2346"/>
      <c r="Q823" s="2346">
        <v>17</v>
      </c>
      <c r="R823" s="2346"/>
      <c r="S823" s="2346"/>
      <c r="T823" s="2346"/>
      <c r="U823" s="2346"/>
      <c r="V823" s="2346"/>
      <c r="W823" s="2346"/>
      <c r="X823" s="2346"/>
      <c r="Y823" s="2346"/>
      <c r="Z823" s="2346"/>
      <c r="AA823" s="2346"/>
      <c r="AB823" s="2346"/>
      <c r="AC823" s="2119"/>
      <c r="AD823" s="2120"/>
      <c r="AE823" s="2120"/>
      <c r="AF823" s="2121"/>
      <c r="AG823" s="2119"/>
      <c r="AH823" s="2120"/>
      <c r="AI823" s="2120"/>
      <c r="AJ823" s="21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349" t="s">
        <v>44</v>
      </c>
      <c r="D824" s="2350"/>
      <c r="E824" s="2350"/>
      <c r="F824" s="2350"/>
      <c r="G824" s="2350"/>
      <c r="H824" s="2350"/>
      <c r="I824" s="77"/>
      <c r="J824" s="77"/>
      <c r="K824" s="77"/>
      <c r="L824" s="78"/>
      <c r="M824" s="2346"/>
      <c r="N824" s="2346"/>
      <c r="O824" s="2346"/>
      <c r="P824" s="2346"/>
      <c r="Q824" s="2346"/>
      <c r="R824" s="2346"/>
      <c r="S824" s="2346"/>
      <c r="T824" s="2346"/>
      <c r="U824" s="2346"/>
      <c r="V824" s="2346"/>
      <c r="W824" s="2346"/>
      <c r="X824" s="2346"/>
      <c r="Y824" s="2346"/>
      <c r="Z824" s="2346"/>
      <c r="AA824" s="2346"/>
      <c r="AB824" s="2346"/>
      <c r="AC824" s="2119"/>
      <c r="AD824" s="2120"/>
      <c r="AE824" s="2120"/>
      <c r="AF824" s="2121"/>
      <c r="AG824" s="2119"/>
      <c r="AH824" s="2120"/>
      <c r="AI824" s="2120"/>
      <c r="AJ824" s="21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349" t="s">
        <v>45</v>
      </c>
      <c r="D825" s="2350"/>
      <c r="E825" s="2350"/>
      <c r="F825" s="2350"/>
      <c r="G825" s="2350"/>
      <c r="H825" s="2350"/>
      <c r="I825" s="96"/>
      <c r="J825" s="96"/>
      <c r="K825" s="96"/>
      <c r="L825" s="97"/>
      <c r="M825" s="2346">
        <v>6</v>
      </c>
      <c r="N825" s="2346"/>
      <c r="O825" s="2346"/>
      <c r="P825" s="2346"/>
      <c r="Q825" s="2346">
        <v>9</v>
      </c>
      <c r="R825" s="2346"/>
      <c r="S825" s="2346"/>
      <c r="T825" s="2346"/>
      <c r="U825" s="2346"/>
      <c r="V825" s="2346"/>
      <c r="W825" s="2346"/>
      <c r="X825" s="2346"/>
      <c r="Y825" s="2346"/>
      <c r="Z825" s="2346"/>
      <c r="AA825" s="2346"/>
      <c r="AB825" s="2346"/>
      <c r="AC825" s="2119"/>
      <c r="AD825" s="2120"/>
      <c r="AE825" s="2120"/>
      <c r="AF825" s="2121"/>
      <c r="AG825" s="2119"/>
      <c r="AH825" s="2120"/>
      <c r="AI825" s="2120"/>
      <c r="AJ825" s="21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349" t="s">
        <v>804</v>
      </c>
      <c r="D826" s="2350"/>
      <c r="E826" s="2350"/>
      <c r="F826" s="2350"/>
      <c r="G826" s="2350"/>
      <c r="H826" s="2350"/>
      <c r="I826" s="96"/>
      <c r="J826" s="96"/>
      <c r="K826" s="96"/>
      <c r="L826" s="97"/>
      <c r="M826" s="2346"/>
      <c r="N826" s="2346"/>
      <c r="O826" s="2346"/>
      <c r="P826" s="2346"/>
      <c r="Q826" s="2346"/>
      <c r="R826" s="2346"/>
      <c r="S826" s="2346"/>
      <c r="T826" s="2346"/>
      <c r="U826" s="2346"/>
      <c r="V826" s="2346"/>
      <c r="W826" s="2346"/>
      <c r="X826" s="2346"/>
      <c r="Y826" s="2346"/>
      <c r="Z826" s="2346"/>
      <c r="AA826" s="2346"/>
      <c r="AB826" s="2346"/>
      <c r="AC826" s="2119"/>
      <c r="AD826" s="2120"/>
      <c r="AE826" s="2120"/>
      <c r="AF826" s="2121"/>
      <c r="AG826" s="2119"/>
      <c r="AH826" s="2120"/>
      <c r="AI826" s="2120"/>
      <c r="AJ826" s="21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349" t="s">
        <v>484</v>
      </c>
      <c r="D827" s="2350"/>
      <c r="E827" s="2350"/>
      <c r="F827" s="2350"/>
      <c r="G827" s="2350"/>
      <c r="H827" s="2350"/>
      <c r="I827" s="96"/>
      <c r="J827" s="96"/>
      <c r="K827" s="96"/>
      <c r="L827" s="97"/>
      <c r="M827" s="2346">
        <v>21</v>
      </c>
      <c r="N827" s="2346"/>
      <c r="O827" s="2346"/>
      <c r="P827" s="2346"/>
      <c r="Q827" s="2346">
        <v>25</v>
      </c>
      <c r="R827" s="2346"/>
      <c r="S827" s="2346"/>
      <c r="T827" s="2346"/>
      <c r="U827" s="2346"/>
      <c r="V827" s="2346"/>
      <c r="W827" s="2346"/>
      <c r="X827" s="2346"/>
      <c r="Y827" s="2346"/>
      <c r="Z827" s="2346"/>
      <c r="AA827" s="2346"/>
      <c r="AB827" s="2346"/>
      <c r="AC827" s="2119"/>
      <c r="AD827" s="2120"/>
      <c r="AE827" s="2120"/>
      <c r="AF827" s="2121"/>
      <c r="AG827" s="2119"/>
      <c r="AH827" s="2120"/>
      <c r="AI827" s="2120"/>
      <c r="AJ827" s="21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84" t="s">
        <v>825</v>
      </c>
      <c r="D828" s="2350"/>
      <c r="E828" s="2350"/>
      <c r="F828" s="2350"/>
      <c r="G828" s="2350"/>
      <c r="H828" s="2350"/>
      <c r="I828" s="96"/>
      <c r="J828" s="96"/>
      <c r="K828" s="96"/>
      <c r="L828" s="97"/>
      <c r="M828" s="2346"/>
      <c r="N828" s="2346"/>
      <c r="O828" s="2346"/>
      <c r="P828" s="2346"/>
      <c r="Q828" s="2346"/>
      <c r="R828" s="2346"/>
      <c r="S828" s="2346"/>
      <c r="T828" s="2346"/>
      <c r="U828" s="2346"/>
      <c r="V828" s="2346"/>
      <c r="W828" s="2346"/>
      <c r="X828" s="2346"/>
      <c r="Y828" s="2346"/>
      <c r="Z828" s="2346"/>
      <c r="AA828" s="2346"/>
      <c r="AB828" s="2346"/>
      <c r="AC828" s="2119"/>
      <c r="AD828" s="2120"/>
      <c r="AE828" s="2120"/>
      <c r="AF828" s="2121"/>
      <c r="AG828" s="2119"/>
      <c r="AH828" s="2120"/>
      <c r="AI828" s="2120"/>
      <c r="AJ828" s="21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80" t="s">
        <v>339</v>
      </c>
      <c r="G829" s="2250"/>
      <c r="H829" s="2250"/>
      <c r="I829" s="2250"/>
      <c r="J829" s="2250"/>
      <c r="K829" s="2250"/>
      <c r="L829" s="2251"/>
      <c r="M829" s="2346">
        <v>8</v>
      </c>
      <c r="N829" s="2346"/>
      <c r="O829" s="2346"/>
      <c r="P829" s="2346"/>
      <c r="Q829" s="2346">
        <v>11</v>
      </c>
      <c r="R829" s="2346"/>
      <c r="S829" s="2346"/>
      <c r="T829" s="2346"/>
      <c r="U829" s="2346"/>
      <c r="V829" s="2346"/>
      <c r="W829" s="2346"/>
      <c r="X829" s="2346"/>
      <c r="Y829" s="2346"/>
      <c r="Z829" s="2346"/>
      <c r="AA829" s="2346"/>
      <c r="AB829" s="2346"/>
      <c r="AC829" s="2119"/>
      <c r="AD829" s="2120"/>
      <c r="AE829" s="2120"/>
      <c r="AF829" s="2121"/>
      <c r="AG829" s="2119"/>
      <c r="AH829" s="2120"/>
      <c r="AI829" s="2120"/>
      <c r="AJ829" s="21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409" t="s">
        <v>129</v>
      </c>
      <c r="D830" s="2410"/>
      <c r="E830" s="2410"/>
      <c r="F830" s="2410"/>
      <c r="G830" s="2410"/>
      <c r="H830" s="2410"/>
      <c r="I830" s="2410"/>
      <c r="J830" s="2410"/>
      <c r="K830" s="2410"/>
      <c r="L830" s="2411"/>
      <c r="M830" s="2401">
        <f>SUM(M823:P829)</f>
        <v>46</v>
      </c>
      <c r="N830" s="2401"/>
      <c r="O830" s="2401"/>
      <c r="P830" s="2401"/>
      <c r="Q830" s="2401">
        <f>SUM(Q823:T829)</f>
        <v>62</v>
      </c>
      <c r="R830" s="2401"/>
      <c r="S830" s="2401"/>
      <c r="T830" s="2401"/>
      <c r="U830" s="2401">
        <f>SUM(U823:X829)</f>
        <v>0</v>
      </c>
      <c r="V830" s="2401"/>
      <c r="W830" s="2401"/>
      <c r="X830" s="2401"/>
      <c r="Y830" s="2401">
        <f>SUM(Y823:AB829)</f>
        <v>0</v>
      </c>
      <c r="Z830" s="2401"/>
      <c r="AA830" s="2401"/>
      <c r="AB830" s="2401"/>
      <c r="AC830" s="2401">
        <f>SUM(AC823:AF829)</f>
        <v>0</v>
      </c>
      <c r="AD830" s="2401"/>
      <c r="AE830" s="2401"/>
      <c r="AF830" s="2401"/>
      <c r="AG830" s="2401">
        <f>SUM(AG823:AJ829)</f>
        <v>0</v>
      </c>
      <c r="AH830" s="2401"/>
      <c r="AI830" s="2401"/>
      <c r="AJ830" s="24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71" t="s">
        <v>2716</v>
      </c>
      <c r="D835" s="2472"/>
      <c r="E835" s="2472"/>
      <c r="F835" s="2472"/>
      <c r="G835" s="2472"/>
      <c r="H835" s="2472"/>
      <c r="I835" s="2472"/>
      <c r="J835" s="2472"/>
      <c r="K835" s="2472"/>
      <c r="L835" s="2472"/>
      <c r="M835" s="2472"/>
      <c r="N835" s="2472"/>
      <c r="O835" s="2472"/>
      <c r="P835" s="2472"/>
      <c r="Q835" s="2472"/>
      <c r="R835" s="2472"/>
      <c r="S835" s="2472"/>
      <c r="T835" s="2472"/>
      <c r="U835" s="2472"/>
      <c r="V835" s="2472"/>
      <c r="W835" s="2472"/>
      <c r="X835" s="2472"/>
      <c r="Y835" s="2472"/>
      <c r="Z835" s="2472"/>
      <c r="AA835" s="2472"/>
      <c r="AB835" s="2472"/>
      <c r="AC835" s="2472"/>
      <c r="AD835" s="2472"/>
      <c r="AE835" s="2472"/>
      <c r="AF835" s="2472"/>
      <c r="AG835" s="2472"/>
      <c r="AH835" s="2472"/>
      <c r="AI835" s="2472"/>
      <c r="AJ835" s="24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258">
        <v>800</v>
      </c>
      <c r="X840" s="2259"/>
      <c r="Y840" s="2259"/>
      <c r="Z840" s="2259"/>
      <c r="AA840" s="2259"/>
      <c r="AB840" s="2259"/>
      <c r="AC840" s="226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258">
        <v>2500</v>
      </c>
      <c r="X841" s="2259"/>
      <c r="Y841" s="2259"/>
      <c r="Z841" s="2259"/>
      <c r="AA841" s="2259"/>
      <c r="AB841" s="2259"/>
      <c r="AC841" s="226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258">
        <v>9000</v>
      </c>
      <c r="X842" s="2259"/>
      <c r="Y842" s="2259"/>
      <c r="Z842" s="2259"/>
      <c r="AA842" s="2259"/>
      <c r="AB842" s="2259"/>
      <c r="AC842" s="226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258">
        <v>54000</v>
      </c>
      <c r="X843" s="2259"/>
      <c r="Y843" s="2259"/>
      <c r="Z843" s="2259"/>
      <c r="AA843" s="2259"/>
      <c r="AB843" s="2259"/>
      <c r="AC843" s="226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0" t="s">
        <v>339</v>
      </c>
      <c r="N844" s="2250"/>
      <c r="O844" s="2250"/>
      <c r="P844" s="2250"/>
      <c r="Q844" s="2250"/>
      <c r="R844" s="2250"/>
      <c r="S844" s="2250"/>
      <c r="T844" s="2250"/>
      <c r="U844" s="2250"/>
      <c r="V844" s="2251"/>
      <c r="W844" s="2258">
        <v>19120</v>
      </c>
      <c r="X844" s="2259"/>
      <c r="Y844" s="2259"/>
      <c r="Z844" s="2259"/>
      <c r="AA844" s="2259"/>
      <c r="AB844" s="2259"/>
      <c r="AC844" s="226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414">
        <f>SUM(W840:AC844)</f>
        <v>85420</v>
      </c>
      <c r="X845" s="2415"/>
      <c r="Y845" s="2415"/>
      <c r="Z845" s="2415"/>
      <c r="AA845" s="2415"/>
      <c r="AB845" s="2415"/>
      <c r="AC845" s="241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409" t="s">
        <v>351</v>
      </c>
      <c r="K847" s="2410"/>
      <c r="L847" s="2410"/>
      <c r="M847" s="2410"/>
      <c r="N847" s="2410"/>
      <c r="O847" s="2410"/>
      <c r="P847" s="2410"/>
      <c r="Q847" s="2410"/>
      <c r="R847" s="2410"/>
      <c r="S847" s="2410"/>
      <c r="T847" s="2410"/>
      <c r="U847" s="2410"/>
      <c r="V847" s="2411"/>
      <c r="W847" s="2258">
        <v>37440</v>
      </c>
      <c r="X847" s="2259"/>
      <c r="Y847" s="2259"/>
      <c r="Z847" s="2259"/>
      <c r="AA847" s="2259"/>
      <c r="AB847" s="2259"/>
      <c r="AC847" s="226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20"/>
      <c r="X849" s="2320"/>
      <c r="Y849" s="2320"/>
      <c r="Z849" s="2320"/>
      <c r="AA849" s="2320"/>
      <c r="AB849" s="2320"/>
      <c r="AC849" s="232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0">
        <v>4700</v>
      </c>
      <c r="X850" s="2320"/>
      <c r="Y850" s="2320"/>
      <c r="Z850" s="2320"/>
      <c r="AA850" s="2320"/>
      <c r="AB850" s="2320"/>
      <c r="AC850" s="232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0">
        <v>35250</v>
      </c>
      <c r="X851" s="2320"/>
      <c r="Y851" s="2320"/>
      <c r="Z851" s="2320"/>
      <c r="AA851" s="2320"/>
      <c r="AB851" s="2320"/>
      <c r="AC851" s="232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417"/>
      <c r="BH851" s="2417"/>
      <c r="BI851" s="2417"/>
      <c r="BJ851" s="2417"/>
      <c r="BK851" s="2417"/>
      <c r="BL851" s="2417"/>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0">
        <v>14100</v>
      </c>
      <c r="X852" s="2320"/>
      <c r="Y852" s="2320"/>
      <c r="Z852" s="2320"/>
      <c r="AA852" s="2320"/>
      <c r="AB852" s="2320"/>
      <c r="AC852" s="232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85">
        <f>SUM(W849:AC852)</f>
        <v>54050</v>
      </c>
      <c r="X853" s="2485"/>
      <c r="Y853" s="2485"/>
      <c r="Z853" s="2485"/>
      <c r="AA853" s="2485"/>
      <c r="AB853" s="2485"/>
      <c r="AC853" s="24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92">
        <f>SUM(AZ821:AZ849)</f>
        <v>7.5000000000000011E-2</v>
      </c>
      <c r="BA854" s="2492"/>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06">
        <v>50000</v>
      </c>
      <c r="X855" s="2407"/>
      <c r="Y855" s="2407"/>
      <c r="Z855" s="2407"/>
      <c r="AA855" s="2407"/>
      <c r="AB855" s="2407"/>
      <c r="AC855" s="2408"/>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1863</v>
      </c>
      <c r="K856" s="77"/>
      <c r="L856" s="77"/>
      <c r="M856" s="77"/>
      <c r="N856" s="77"/>
      <c r="O856" s="77"/>
      <c r="P856" s="77"/>
      <c r="Q856" s="77"/>
      <c r="R856" s="77"/>
      <c r="S856" s="77"/>
      <c r="T856" s="2478">
        <v>1</v>
      </c>
      <c r="U856" s="2431"/>
      <c r="V856" s="2479"/>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06">
        <v>20000</v>
      </c>
      <c r="X857" s="2407"/>
      <c r="Y857" s="2407"/>
      <c r="Z857" s="2407"/>
      <c r="AA857" s="2407"/>
      <c r="AB857" s="2407"/>
      <c r="AC857" s="2408"/>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78">
        <v>1</v>
      </c>
      <c r="U858" s="2431"/>
      <c r="V858" s="2479"/>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12" t="s">
        <v>2717</v>
      </c>
      <c r="N859" s="2250"/>
      <c r="O859" s="2250"/>
      <c r="P859" s="2250"/>
      <c r="Q859" s="2250"/>
      <c r="R859" s="2250"/>
      <c r="S859" s="2250"/>
      <c r="T859" s="2250"/>
      <c r="U859" s="2250"/>
      <c r="V859" s="2251"/>
      <c r="W859" s="2406">
        <v>12500</v>
      </c>
      <c r="X859" s="2407"/>
      <c r="Y859" s="2407"/>
      <c r="Z859" s="2407"/>
      <c r="AA859" s="2407"/>
      <c r="AB859" s="2407"/>
      <c r="AC859" s="2408"/>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21">
        <f>SUM(W855:AC859)</f>
        <v>82500</v>
      </c>
      <c r="X860" s="2322"/>
      <c r="Y860" s="2322"/>
      <c r="Z860" s="2322"/>
      <c r="AA860" s="2322"/>
      <c r="AB860" s="2322"/>
      <c r="AC860" s="232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06">
        <v>32000</v>
      </c>
      <c r="X861" s="2407"/>
      <c r="Y861" s="2407"/>
      <c r="Z861" s="2407"/>
      <c r="AA861" s="2407"/>
      <c r="AB861" s="2407"/>
      <c r="AC861" s="2408"/>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15">
        <v>2000</v>
      </c>
      <c r="X863" s="2115"/>
      <c r="Y863" s="2115"/>
      <c r="Z863" s="2115"/>
      <c r="AA863" s="2115"/>
      <c r="AB863" s="2115"/>
      <c r="AC863" s="211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15">
        <v>45250</v>
      </c>
      <c r="X864" s="2115"/>
      <c r="Y864" s="2115"/>
      <c r="Z864" s="2115"/>
      <c r="AA864" s="2115"/>
      <c r="AB864" s="2115"/>
      <c r="AC864" s="211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15">
        <v>14100</v>
      </c>
      <c r="X865" s="2115"/>
      <c r="Y865" s="2115"/>
      <c r="Z865" s="2115"/>
      <c r="AA865" s="2115"/>
      <c r="AB865" s="2115"/>
      <c r="AC865" s="211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15">
        <v>4200</v>
      </c>
      <c r="X866" s="2115"/>
      <c r="Y866" s="2115"/>
      <c r="Z866" s="2115"/>
      <c r="AA866" s="2115"/>
      <c r="AB866" s="2115"/>
      <c r="AC866" s="2115"/>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15">
        <v>7000</v>
      </c>
      <c r="X867" s="2115"/>
      <c r="Y867" s="2115"/>
      <c r="Z867" s="2115"/>
      <c r="AA867" s="2115"/>
      <c r="AB867" s="2115"/>
      <c r="AC867" s="211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15">
        <v>10000</v>
      </c>
      <c r="X868" s="2115"/>
      <c r="Y868" s="2115"/>
      <c r="Z868" s="2115"/>
      <c r="AA868" s="2115"/>
      <c r="AB868" s="2115"/>
      <c r="AC868" s="211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0" t="s">
        <v>339</v>
      </c>
      <c r="N869" s="2250"/>
      <c r="O869" s="2250"/>
      <c r="P869" s="2250"/>
      <c r="Q869" s="2250"/>
      <c r="R869" s="2250"/>
      <c r="S869" s="2250"/>
      <c r="T869" s="2250"/>
      <c r="U869" s="2250"/>
      <c r="V869" s="2251"/>
      <c r="W869" s="2115"/>
      <c r="X869" s="2115"/>
      <c r="Y869" s="2115"/>
      <c r="Z869" s="2115"/>
      <c r="AA869" s="2115"/>
      <c r="AB869" s="2115"/>
      <c r="AC869" s="211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5">
        <f>SUM(W863:AC869)</f>
        <v>82550</v>
      </c>
      <c r="X870" s="2405"/>
      <c r="Y870" s="2405"/>
      <c r="Z870" s="2405"/>
      <c r="AA870" s="2405"/>
      <c r="AB870" s="2405"/>
      <c r="AC870" s="24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174</v>
      </c>
      <c r="K872" s="77"/>
      <c r="L872" s="77"/>
      <c r="M872" s="2112" t="s">
        <v>2718</v>
      </c>
      <c r="N872" s="2250"/>
      <c r="O872" s="2250"/>
      <c r="P872" s="2250"/>
      <c r="Q872" s="2250"/>
      <c r="R872" s="2250"/>
      <c r="S872" s="2250"/>
      <c r="T872" s="2250"/>
      <c r="U872" s="2250"/>
      <c r="V872" s="2251"/>
      <c r="W872" s="2258">
        <v>7500</v>
      </c>
      <c r="X872" s="2259"/>
      <c r="Y872" s="2259"/>
      <c r="Z872" s="2259"/>
      <c r="AA872" s="2259"/>
      <c r="AB872" s="2259"/>
      <c r="AC872" s="226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174</v>
      </c>
      <c r="K873" s="77"/>
      <c r="L873" s="77"/>
      <c r="M873" s="2112" t="s">
        <v>2719</v>
      </c>
      <c r="N873" s="2250"/>
      <c r="O873" s="2250"/>
      <c r="P873" s="2250"/>
      <c r="Q873" s="2250"/>
      <c r="R873" s="2250"/>
      <c r="S873" s="2250"/>
      <c r="T873" s="2250"/>
      <c r="U873" s="2250"/>
      <c r="V873" s="2251"/>
      <c r="W873" s="2258">
        <v>1000</v>
      </c>
      <c r="X873" s="2259"/>
      <c r="Y873" s="2259"/>
      <c r="Z873" s="2259"/>
      <c r="AA873" s="2259"/>
      <c r="AB873" s="2259"/>
      <c r="AC873" s="226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12" t="s">
        <v>2720</v>
      </c>
      <c r="N874" s="2250"/>
      <c r="O874" s="2250"/>
      <c r="P874" s="2250"/>
      <c r="Q874" s="2250"/>
      <c r="R874" s="2250"/>
      <c r="S874" s="2250"/>
      <c r="T874" s="2250"/>
      <c r="U874" s="2250"/>
      <c r="V874" s="2251"/>
      <c r="W874" s="2258">
        <v>7150</v>
      </c>
      <c r="X874" s="2259"/>
      <c r="Y874" s="2259"/>
      <c r="Z874" s="2259"/>
      <c r="AA874" s="2259"/>
      <c r="AB874" s="2259"/>
      <c r="AC874" s="226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0" t="s">
        <v>339</v>
      </c>
      <c r="N875" s="2250"/>
      <c r="O875" s="2250"/>
      <c r="P875" s="2250"/>
      <c r="Q875" s="2250"/>
      <c r="R875" s="2250"/>
      <c r="S875" s="2250"/>
      <c r="T875" s="2250"/>
      <c r="U875" s="2250"/>
      <c r="V875" s="2251"/>
      <c r="W875" s="2258"/>
      <c r="X875" s="2259"/>
      <c r="Y875" s="2259"/>
      <c r="Z875" s="2259"/>
      <c r="AA875" s="2259"/>
      <c r="AB875" s="2259"/>
      <c r="AC875" s="226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0" t="s">
        <v>339</v>
      </c>
      <c r="N876" s="2250"/>
      <c r="O876" s="2250"/>
      <c r="P876" s="2250"/>
      <c r="Q876" s="2250"/>
      <c r="R876" s="2250"/>
      <c r="S876" s="2250"/>
      <c r="T876" s="2250"/>
      <c r="U876" s="2250"/>
      <c r="V876" s="2251"/>
      <c r="W876" s="2258"/>
      <c r="X876" s="2259"/>
      <c r="Y876" s="2259"/>
      <c r="Z876" s="2259"/>
      <c r="AA876" s="2259"/>
      <c r="AB876" s="2259"/>
      <c r="AC876" s="226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414">
        <f>SUM(W872:AC876)</f>
        <v>15650</v>
      </c>
      <c r="X877" s="2415"/>
      <c r="Y877" s="2415"/>
      <c r="Z877" s="2415"/>
      <c r="AA877" s="2415"/>
      <c r="AB877" s="2415"/>
      <c r="AC877" s="241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415">
        <f>W845+W853+W860+W861+W870+W877+W847</f>
        <v>389610</v>
      </c>
      <c r="AD881" s="2415"/>
      <c r="AE881" s="2415"/>
      <c r="AF881" s="2415"/>
      <c r="AG881" s="2415"/>
      <c r="AH881" s="241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476">
        <f>O796+O776+G753</f>
        <v>48</v>
      </c>
      <c r="AD882" s="2476"/>
      <c r="AE882" s="2476"/>
      <c r="AF882" s="2476"/>
      <c r="AG882" s="2476"/>
      <c r="AH882" s="24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74" t="s">
        <v>33</v>
      </c>
      <c r="F883" s="2474"/>
      <c r="G883" s="2474"/>
      <c r="H883" s="2474"/>
      <c r="I883" s="2474"/>
      <c r="J883" s="2474"/>
      <c r="K883" s="2474"/>
      <c r="L883" s="2474"/>
      <c r="M883" s="2474"/>
      <c r="N883" s="2474"/>
      <c r="O883" s="2474"/>
      <c r="P883" s="2474"/>
      <c r="Q883" s="2474"/>
      <c r="R883" s="2474"/>
      <c r="S883" s="2474"/>
      <c r="T883" s="2474"/>
      <c r="U883" s="2474"/>
      <c r="V883" s="2474"/>
      <c r="W883" s="2474"/>
      <c r="X883" s="2474"/>
      <c r="Y883" s="2474"/>
      <c r="Z883" s="2474"/>
      <c r="AA883" s="2474"/>
      <c r="AB883" s="2475"/>
      <c r="AC883" s="2405">
        <f>IF(ISERROR((ROUNDDOWN(AC881/AC882,0))),0,(ROUNDDOWN(AC881/AC882,0)))</f>
        <v>8116</v>
      </c>
      <c r="AD883" s="2405"/>
      <c r="AE883" s="2405"/>
      <c r="AF883" s="2405"/>
      <c r="AG883" s="2405"/>
      <c r="AH883" s="24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497">
        <v>194610</v>
      </c>
      <c r="AD884" s="2498"/>
      <c r="AE884" s="2498"/>
      <c r="AF884" s="2498"/>
      <c r="AG884" s="2498"/>
      <c r="AH884" s="249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260"/>
      <c r="AD885" s="2115"/>
      <c r="AE885" s="2115"/>
      <c r="AF885" s="2115"/>
      <c r="AG885" s="2115"/>
      <c r="AH885" s="211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259">
        <v>62000</v>
      </c>
      <c r="AD886" s="2259"/>
      <c r="AE886" s="2259"/>
      <c r="AF886" s="2259"/>
      <c r="AG886" s="2259"/>
      <c r="AH886" s="226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59">
        <v>24000</v>
      </c>
      <c r="AD887" s="2259"/>
      <c r="AE887" s="2259"/>
      <c r="AF887" s="2259"/>
      <c r="AG887" s="2259"/>
      <c r="AH887" s="226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19"/>
      <c r="AD888" s="2120"/>
      <c r="AE888" s="2120"/>
      <c r="AF888" s="2120"/>
      <c r="AG888" s="2120"/>
      <c r="AH888" s="21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59">
        <v>6000</v>
      </c>
      <c r="AD889" s="2259"/>
      <c r="AE889" s="2259"/>
      <c r="AF889" s="2259"/>
      <c r="AG889" s="2259"/>
      <c r="AH889" s="226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59"/>
      <c r="AD890" s="2259"/>
      <c r="AE890" s="2259"/>
      <c r="AF890" s="2259"/>
      <c r="AG890" s="2259"/>
      <c r="AH890" s="226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88" t="s">
        <v>1015</v>
      </c>
      <c r="D891" s="2489"/>
      <c r="E891" s="2489"/>
      <c r="F891" s="2489"/>
      <c r="G891" s="2489"/>
      <c r="H891" s="2489"/>
      <c r="I891" s="2489"/>
      <c r="J891" s="2489"/>
      <c r="K891" s="2489"/>
      <c r="L891" s="2489"/>
      <c r="M891" s="2489"/>
      <c r="N891" s="2489"/>
      <c r="O891" s="2489"/>
      <c r="P891" s="2489"/>
      <c r="Q891" s="2489"/>
      <c r="R891" s="2489"/>
      <c r="S891" s="2489"/>
      <c r="T891" s="2489"/>
      <c r="U891" s="2489"/>
      <c r="V891" s="2489"/>
      <c r="W891" s="2489"/>
      <c r="X891" s="2489"/>
      <c r="Y891" s="2489"/>
      <c r="Z891" s="2489"/>
      <c r="AA891" s="2489"/>
      <c r="AB891" s="2490"/>
      <c r="AC891" s="2115"/>
      <c r="AD891" s="2115"/>
      <c r="AE891" s="2115"/>
      <c r="AF891" s="2115"/>
      <c r="AG891" s="2115"/>
      <c r="AH891" s="211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88" t="s">
        <v>1015</v>
      </c>
      <c r="D892" s="2489"/>
      <c r="E892" s="2489"/>
      <c r="F892" s="2489"/>
      <c r="G892" s="2489"/>
      <c r="H892" s="2489"/>
      <c r="I892" s="2489"/>
      <c r="J892" s="2489"/>
      <c r="K892" s="2489"/>
      <c r="L892" s="2489"/>
      <c r="M892" s="2489"/>
      <c r="N892" s="2489"/>
      <c r="O892" s="2489"/>
      <c r="P892" s="2489"/>
      <c r="Q892" s="2489"/>
      <c r="R892" s="2489"/>
      <c r="S892" s="2489"/>
      <c r="T892" s="2489"/>
      <c r="U892" s="2489"/>
      <c r="V892" s="2489"/>
      <c r="W892" s="2489"/>
      <c r="X892" s="2489"/>
      <c r="Y892" s="2489"/>
      <c r="Z892" s="2489"/>
      <c r="AA892" s="2489"/>
      <c r="AB892" s="2490"/>
      <c r="AC892" s="2115"/>
      <c r="AD892" s="2115"/>
      <c r="AE892" s="2115"/>
      <c r="AF892" s="2115"/>
      <c r="AG892" s="2115"/>
      <c r="AH892" s="211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58"/>
      <c r="AA896" s="2259"/>
      <c r="AB896" s="2259"/>
      <c r="AC896" s="2259"/>
      <c r="AD896" s="2259"/>
      <c r="AE896" s="226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58"/>
      <c r="AA897" s="2259"/>
      <c r="AB897" s="2259"/>
      <c r="AC897" s="2259"/>
      <c r="AD897" s="2259"/>
      <c r="AE897" s="226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58"/>
      <c r="AA898" s="2259"/>
      <c r="AB898" s="2259"/>
      <c r="AC898" s="2259"/>
      <c r="AD898" s="2259"/>
      <c r="AE898" s="226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414">
        <f>Z896-(Z897+Z898)</f>
        <v>0</v>
      </c>
      <c r="AA899" s="2415"/>
      <c r="AB899" s="2415"/>
      <c r="AC899" s="2415"/>
      <c r="AD899" s="2415"/>
      <c r="AE899" s="241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82"/>
      <c r="BE901" s="248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87"/>
      <c r="BE902" s="2487"/>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81"/>
      <c r="BE903" s="2481"/>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81"/>
      <c r="BE904" s="2481"/>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81"/>
      <c r="BE905" s="2481"/>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82"/>
      <c r="BE906" s="2481"/>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57" t="s">
        <v>101</v>
      </c>
      <c r="B907" s="2357"/>
      <c r="C907" s="2357"/>
      <c r="D907" s="2357"/>
      <c r="E907" s="2357"/>
      <c r="F907" s="2357"/>
      <c r="G907" s="2357"/>
      <c r="H907" s="2357"/>
      <c r="I907" s="2357"/>
      <c r="J907" s="2357"/>
      <c r="K907" s="2357"/>
      <c r="L907" s="2357"/>
      <c r="M907" s="2357"/>
      <c r="N907" s="2357"/>
      <c r="O907" s="2357"/>
      <c r="P907" s="2357"/>
      <c r="Q907" s="2357"/>
      <c r="R907" s="2357"/>
      <c r="S907" s="2357"/>
      <c r="T907" s="2357"/>
      <c r="U907" s="2357"/>
      <c r="V907" s="2357"/>
      <c r="W907" s="2357"/>
      <c r="X907" s="2357"/>
      <c r="Y907" s="2357"/>
      <c r="Z907" s="2357"/>
      <c r="AA907" s="2357"/>
      <c r="AB907" s="2357"/>
      <c r="AC907" s="2357"/>
      <c r="AD907" s="2357"/>
      <c r="AE907" s="2357"/>
      <c r="AF907" s="2357"/>
      <c r="AG907" s="2357"/>
      <c r="AH907" s="2357"/>
      <c r="AI907" s="2357"/>
      <c r="AJ907" s="2357"/>
      <c r="AK907" s="2357"/>
      <c r="AL907" s="2357"/>
      <c r="AM907" s="144"/>
      <c r="AN907" s="144"/>
      <c r="AO907" s="144"/>
      <c r="AP907" s="144"/>
      <c r="AQ907" s="144"/>
      <c r="AR907" s="144"/>
      <c r="AS907" s="144"/>
      <c r="AT907" s="144"/>
      <c r="AU907" s="144"/>
      <c r="AV907" s="144"/>
      <c r="AW907" s="144"/>
      <c r="AX907" s="144"/>
      <c r="AY907" s="144"/>
      <c r="AZ907" s="61"/>
      <c r="BA907" s="25"/>
      <c r="BB907" s="127"/>
      <c r="BC907" s="1458"/>
      <c r="BD907" s="2486"/>
      <c r="BE907" s="2486"/>
      <c r="BF907" s="2486"/>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58"/>
      <c r="B908" s="2358"/>
      <c r="C908" s="2358"/>
      <c r="D908" s="2358"/>
      <c r="E908" s="2358"/>
      <c r="F908" s="2358"/>
      <c r="G908" s="2358"/>
      <c r="H908" s="2358"/>
      <c r="I908" s="2358"/>
      <c r="J908" s="2358"/>
      <c r="K908" s="2358"/>
      <c r="L908" s="2358"/>
      <c r="M908" s="2358"/>
      <c r="N908" s="2358"/>
      <c r="O908" s="2358"/>
      <c r="P908" s="2358"/>
      <c r="Q908" s="2358"/>
      <c r="R908" s="2358"/>
      <c r="S908" s="2358"/>
      <c r="T908" s="2358"/>
      <c r="U908" s="2358"/>
      <c r="V908" s="2358"/>
      <c r="W908" s="2358"/>
      <c r="X908" s="2358"/>
      <c r="Y908" s="2358"/>
      <c r="Z908" s="2358"/>
      <c r="AA908" s="2358"/>
      <c r="AB908" s="2358"/>
      <c r="AC908" s="2358"/>
      <c r="AD908" s="2358"/>
      <c r="AE908" s="2358"/>
      <c r="AF908" s="2358"/>
      <c r="AG908" s="2358"/>
      <c r="AH908" s="2358"/>
      <c r="AI908" s="2358"/>
      <c r="AJ908" s="2358"/>
      <c r="AK908" s="2358"/>
      <c r="AL908" s="2358"/>
      <c r="AM908" s="144"/>
      <c r="AN908" s="144"/>
      <c r="AO908" s="144"/>
      <c r="AP908" s="144"/>
      <c r="AQ908" s="144"/>
      <c r="AR908" s="144"/>
      <c r="AS908" s="144"/>
      <c r="AT908" s="144"/>
      <c r="AU908" s="144"/>
      <c r="AV908" s="144"/>
      <c r="AW908" s="144"/>
      <c r="AX908" s="144"/>
      <c r="AY908" s="144"/>
      <c r="AZ908" s="61"/>
      <c r="BA908" s="25"/>
      <c r="BB908" s="127"/>
      <c r="BC908" s="1458"/>
      <c r="BD908" s="2491"/>
      <c r="BE908" s="2491"/>
      <c r="BF908" s="2491"/>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81"/>
      <c r="BE909" s="2481"/>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82"/>
      <c r="BE910" s="2481"/>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75" t="s">
        <v>834</v>
      </c>
      <c r="G912" s="2276"/>
      <c r="H912" s="2276"/>
      <c r="I912" s="2276"/>
      <c r="J912" s="2276"/>
      <c r="K912" s="2276"/>
      <c r="L912" s="2276"/>
      <c r="M912" s="2276"/>
      <c r="N912" s="2276"/>
      <c r="O912" s="2276"/>
      <c r="P912" s="2276"/>
      <c r="Q912" s="2276"/>
      <c r="R912" s="2276"/>
      <c r="S912" s="2276"/>
      <c r="T912" s="2277"/>
      <c r="U912" s="2135" t="s">
        <v>32</v>
      </c>
      <c r="V912" s="2136"/>
      <c r="W912" s="2136"/>
      <c r="X912" s="2136"/>
      <c r="Y912" s="2136"/>
      <c r="Z912" s="2136"/>
      <c r="AA912" s="73"/>
      <c r="AB912" s="161"/>
      <c r="AC912" s="161"/>
      <c r="AD912" s="161"/>
      <c r="AE912" s="161"/>
      <c r="AF912" s="162"/>
      <c r="AZ912" s="61"/>
      <c r="BA912" s="1457"/>
      <c r="BB912" s="127"/>
      <c r="BC912" s="127"/>
      <c r="BD912" s="2482"/>
      <c r="BE912" s="2481"/>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38" t="s">
        <v>863</v>
      </c>
      <c r="G913" s="2139"/>
      <c r="H913" s="2139"/>
      <c r="I913" s="2139"/>
      <c r="J913" s="2139"/>
      <c r="K913" s="2139"/>
      <c r="L913" s="2139"/>
      <c r="M913" s="2139"/>
      <c r="N913" s="2139"/>
      <c r="O913" s="2139"/>
      <c r="P913" s="2139"/>
      <c r="Q913" s="2139"/>
      <c r="R913" s="2139"/>
      <c r="S913" s="2139"/>
      <c r="T913" s="2140"/>
      <c r="U913" s="2138"/>
      <c r="V913" s="2139"/>
      <c r="W913" s="2139"/>
      <c r="X913" s="2139"/>
      <c r="Y913" s="2139"/>
      <c r="Z913" s="213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41"/>
      <c r="G914" s="2142"/>
      <c r="H914" s="2142"/>
      <c r="I914" s="2142"/>
      <c r="J914" s="2142"/>
      <c r="K914" s="2142"/>
      <c r="L914" s="2142"/>
      <c r="M914" s="2142"/>
      <c r="N914" s="2142"/>
      <c r="O914" s="2142"/>
      <c r="P914" s="2142"/>
      <c r="Q914" s="2142"/>
      <c r="R914" s="2142"/>
      <c r="S914" s="2142"/>
      <c r="T914" s="2143"/>
      <c r="U914" s="2141"/>
      <c r="V914" s="2142"/>
      <c r="W914" s="2142"/>
      <c r="X914" s="2142"/>
      <c r="Y914" s="2142"/>
      <c r="Z914" s="2142"/>
      <c r="AA914" s="164"/>
      <c r="AB914" s="2483" t="s">
        <v>405</v>
      </c>
      <c r="AC914" s="2483"/>
      <c r="AD914" s="2483"/>
      <c r="AE914" s="2483"/>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62" t="s">
        <v>617</v>
      </c>
      <c r="V915" s="2079"/>
      <c r="W915" s="2079"/>
      <c r="X915" s="2079"/>
      <c r="Y915" s="2079"/>
      <c r="Z915" s="2080"/>
      <c r="AA915" s="2266"/>
      <c r="AB915" s="2267"/>
      <c r="AC915" s="2267"/>
      <c r="AD915" s="2267"/>
      <c r="AE915" s="2267"/>
      <c r="AF915" s="226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62" t="s">
        <v>617</v>
      </c>
      <c r="V916" s="2079"/>
      <c r="W916" s="2079"/>
      <c r="X916" s="2079"/>
      <c r="Y916" s="2079"/>
      <c r="Z916" s="2080"/>
      <c r="AA916" s="2266"/>
      <c r="AB916" s="2267"/>
      <c r="AC916" s="2267"/>
      <c r="AD916" s="2267"/>
      <c r="AE916" s="2267"/>
      <c r="AF916" s="226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62" t="s">
        <v>617</v>
      </c>
      <c r="V917" s="2079"/>
      <c r="W917" s="2079"/>
      <c r="X917" s="2079"/>
      <c r="Y917" s="2079"/>
      <c r="Z917" s="2080"/>
      <c r="AA917" s="2266"/>
      <c r="AB917" s="2267"/>
      <c r="AC917" s="2267"/>
      <c r="AD917" s="2267"/>
      <c r="AE917" s="2267"/>
      <c r="AF917" s="226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62" t="s">
        <v>617</v>
      </c>
      <c r="V918" s="2079"/>
      <c r="W918" s="2079"/>
      <c r="X918" s="2079"/>
      <c r="Y918" s="2079"/>
      <c r="Z918" s="2080"/>
      <c r="AA918" s="2266"/>
      <c r="AB918" s="2267"/>
      <c r="AC918" s="2267"/>
      <c r="AD918" s="2267"/>
      <c r="AE918" s="2267"/>
      <c r="AF918" s="226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62" t="s">
        <v>617</v>
      </c>
      <c r="V919" s="2079"/>
      <c r="W919" s="2079"/>
      <c r="X919" s="2079"/>
      <c r="Y919" s="2079"/>
      <c r="Z919" s="2080"/>
      <c r="AA919" s="2266"/>
      <c r="AB919" s="2267"/>
      <c r="AC919" s="2267"/>
      <c r="AD919" s="2267"/>
      <c r="AE919" s="2267"/>
      <c r="AF919" s="226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62" t="s">
        <v>617</v>
      </c>
      <c r="V920" s="2079"/>
      <c r="W920" s="2079"/>
      <c r="X920" s="2079"/>
      <c r="Y920" s="2079"/>
      <c r="Z920" s="2080"/>
      <c r="AA920" s="2266"/>
      <c r="AB920" s="2267"/>
      <c r="AC920" s="2267"/>
      <c r="AD920" s="2267"/>
      <c r="AE920" s="2267"/>
      <c r="AF920" s="226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62" t="s">
        <v>617</v>
      </c>
      <c r="V921" s="2079"/>
      <c r="W921" s="2079"/>
      <c r="X921" s="2079"/>
      <c r="Y921" s="2079"/>
      <c r="Z921" s="2080"/>
      <c r="AA921" s="2266"/>
      <c r="AB921" s="2267"/>
      <c r="AC921" s="2267"/>
      <c r="AD921" s="2267"/>
      <c r="AE921" s="2267"/>
      <c r="AF921" s="226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62" t="s">
        <v>617</v>
      </c>
      <c r="V922" s="2079"/>
      <c r="W922" s="2079"/>
      <c r="X922" s="2079"/>
      <c r="Y922" s="2079"/>
      <c r="Z922" s="2080"/>
      <c r="AA922" s="2266"/>
      <c r="AB922" s="2267"/>
      <c r="AC922" s="2267"/>
      <c r="AD922" s="2267"/>
      <c r="AE922" s="2267"/>
      <c r="AF922" s="226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62" t="s">
        <v>617</v>
      </c>
      <c r="V923" s="2079"/>
      <c r="W923" s="2079"/>
      <c r="X923" s="2079"/>
      <c r="Y923" s="2079"/>
      <c r="Z923" s="2080"/>
      <c r="AA923" s="2266"/>
      <c r="AB923" s="2267"/>
      <c r="AC923" s="2267"/>
      <c r="AD923" s="2267"/>
      <c r="AE923" s="2267"/>
      <c r="AF923" s="226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62" t="s">
        <v>617</v>
      </c>
      <c r="V924" s="2079"/>
      <c r="W924" s="2079"/>
      <c r="X924" s="2079"/>
      <c r="Y924" s="2079"/>
      <c r="Z924" s="2080"/>
      <c r="AA924" s="2266"/>
      <c r="AB924" s="2267"/>
      <c r="AC924" s="2267"/>
      <c r="AD924" s="2267"/>
      <c r="AE924" s="2267"/>
      <c r="AF924" s="226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62" t="s">
        <v>617</v>
      </c>
      <c r="V925" s="2079"/>
      <c r="W925" s="2079"/>
      <c r="X925" s="2079"/>
      <c r="Y925" s="2079"/>
      <c r="Z925" s="2080"/>
      <c r="AA925" s="2266"/>
      <c r="AB925" s="2267"/>
      <c r="AC925" s="2267"/>
      <c r="AD925" s="2267"/>
      <c r="AE925" s="2267"/>
      <c r="AF925" s="226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62" t="s">
        <v>570</v>
      </c>
      <c r="V926" s="2079"/>
      <c r="W926" s="2079"/>
      <c r="X926" s="2079"/>
      <c r="Y926" s="2079"/>
      <c r="Z926" s="2080"/>
      <c r="AA926" s="2266">
        <v>2000000</v>
      </c>
      <c r="AB926" s="2267"/>
      <c r="AC926" s="2267"/>
      <c r="AD926" s="2267"/>
      <c r="AE926" s="2267"/>
      <c r="AF926" s="226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62" t="s">
        <v>617</v>
      </c>
      <c r="V927" s="2079"/>
      <c r="W927" s="2079"/>
      <c r="X927" s="2079"/>
      <c r="Y927" s="2079"/>
      <c r="Z927" s="2080"/>
      <c r="AA927" s="2266"/>
      <c r="AB927" s="2267"/>
      <c r="AC927" s="2267"/>
      <c r="AD927" s="2267"/>
      <c r="AE927" s="2267"/>
      <c r="AF927" s="226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262" t="s">
        <v>617</v>
      </c>
      <c r="V928" s="2079"/>
      <c r="W928" s="2079"/>
      <c r="X928" s="2079"/>
      <c r="Y928" s="2079"/>
      <c r="Z928" s="2080"/>
      <c r="AA928" s="2266"/>
      <c r="AB928" s="2267"/>
      <c r="AC928" s="2267"/>
      <c r="AD928" s="2267"/>
      <c r="AE928" s="2267"/>
      <c r="AF928" s="226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262" t="s">
        <v>617</v>
      </c>
      <c r="V929" s="2079"/>
      <c r="W929" s="2079"/>
      <c r="X929" s="2079"/>
      <c r="Y929" s="2079"/>
      <c r="Z929" s="2080"/>
      <c r="AA929" s="2266"/>
      <c r="AB929" s="2267"/>
      <c r="AC929" s="2267"/>
      <c r="AD929" s="2267"/>
      <c r="AE929" s="2267"/>
      <c r="AF929" s="226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62" t="s">
        <v>695</v>
      </c>
      <c r="Q930" s="2079"/>
      <c r="R930" s="2079"/>
      <c r="S930" s="2079"/>
      <c r="T930" s="2080"/>
      <c r="U930" s="2262" t="s">
        <v>617</v>
      </c>
      <c r="V930" s="2079"/>
      <c r="W930" s="2079"/>
      <c r="X930" s="2079"/>
      <c r="Y930" s="2079"/>
      <c r="Z930" s="2080"/>
      <c r="AA930" s="2266"/>
      <c r="AB930" s="2267"/>
      <c r="AC930" s="2267"/>
      <c r="AD930" s="2267"/>
      <c r="AE930" s="2267"/>
      <c r="AF930" s="226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72" t="s">
        <v>2715</v>
      </c>
      <c r="J931" s="2273"/>
      <c r="K931" s="2273"/>
      <c r="L931" s="2273"/>
      <c r="M931" s="2273"/>
      <c r="N931" s="2273"/>
      <c r="O931" s="2273"/>
      <c r="P931" s="2273"/>
      <c r="Q931" s="2273"/>
      <c r="R931" s="2273"/>
      <c r="S931" s="2273"/>
      <c r="T931" s="2274"/>
      <c r="U931" s="2262" t="s">
        <v>570</v>
      </c>
      <c r="V931" s="2079"/>
      <c r="W931" s="2079"/>
      <c r="X931" s="2079"/>
      <c r="Y931" s="2079"/>
      <c r="Z931" s="2080"/>
      <c r="AA931" s="2266">
        <v>8401939</v>
      </c>
      <c r="AB931" s="2267"/>
      <c r="AC931" s="2267"/>
      <c r="AD931" s="2267"/>
      <c r="AE931" s="2267"/>
      <c r="AF931" s="226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2" t="s">
        <v>2708</v>
      </c>
      <c r="J932" s="2278"/>
      <c r="K932" s="2278"/>
      <c r="L932" s="2278"/>
      <c r="M932" s="2278"/>
      <c r="N932" s="2278"/>
      <c r="O932" s="2278"/>
      <c r="P932" s="2278"/>
      <c r="Q932" s="2278"/>
      <c r="R932" s="2278"/>
      <c r="S932" s="2278"/>
      <c r="T932" s="2279"/>
      <c r="U932" s="2262" t="s">
        <v>570</v>
      </c>
      <c r="V932" s="2079"/>
      <c r="W932" s="2079"/>
      <c r="X932" s="2079"/>
      <c r="Y932" s="2079"/>
      <c r="Z932" s="2080"/>
      <c r="AA932" s="2266">
        <v>5000000</v>
      </c>
      <c r="AB932" s="2267"/>
      <c r="AC932" s="2267"/>
      <c r="AD932" s="2267"/>
      <c r="AE932" s="2267"/>
      <c r="AF932" s="226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55" t="s">
        <v>339</v>
      </c>
      <c r="J933" s="2278"/>
      <c r="K933" s="2278"/>
      <c r="L933" s="2278"/>
      <c r="M933" s="2278"/>
      <c r="N933" s="2278"/>
      <c r="O933" s="2278"/>
      <c r="P933" s="2278"/>
      <c r="Q933" s="2278"/>
      <c r="R933" s="2278"/>
      <c r="S933" s="2278"/>
      <c r="T933" s="2279"/>
      <c r="U933" s="2262" t="s">
        <v>617</v>
      </c>
      <c r="V933" s="2079"/>
      <c r="W933" s="2079"/>
      <c r="X933" s="2079"/>
      <c r="Y933" s="2079"/>
      <c r="Z933" s="2080"/>
      <c r="AA933" s="2266"/>
      <c r="AB933" s="2267"/>
      <c r="AC933" s="2267"/>
      <c r="AD933" s="2267"/>
      <c r="AE933" s="2267"/>
      <c r="AF933" s="226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55" t="s">
        <v>339</v>
      </c>
      <c r="J934" s="2278"/>
      <c r="K934" s="2278"/>
      <c r="L934" s="2278"/>
      <c r="M934" s="2278"/>
      <c r="N934" s="2278"/>
      <c r="O934" s="2278"/>
      <c r="P934" s="2278"/>
      <c r="Q934" s="2278"/>
      <c r="R934" s="2278"/>
      <c r="S934" s="2278"/>
      <c r="T934" s="2279"/>
      <c r="U934" s="2262" t="s">
        <v>617</v>
      </c>
      <c r="V934" s="2079"/>
      <c r="W934" s="2079"/>
      <c r="X934" s="2079"/>
      <c r="Y934" s="2079"/>
      <c r="Z934" s="2080"/>
      <c r="AA934" s="2266"/>
      <c r="AB934" s="2267"/>
      <c r="AC934" s="2267"/>
      <c r="AD934" s="2267"/>
      <c r="AE934" s="2267"/>
      <c r="AF934" s="226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56">
        <v>44734</v>
      </c>
      <c r="N939" s="2282"/>
      <c r="O939" s="2282"/>
      <c r="P939" s="2282"/>
      <c r="Q939" s="2282"/>
      <c r="R939" s="2282"/>
      <c r="S939" s="2283"/>
      <c r="U939" s="103" t="s">
        <v>11</v>
      </c>
      <c r="V939" s="77"/>
      <c r="W939" s="77"/>
      <c r="X939" s="77"/>
      <c r="Y939" s="77"/>
      <c r="Z939" s="77"/>
      <c r="AA939" s="77"/>
      <c r="AB939" s="77"/>
      <c r="AC939" s="77"/>
      <c r="AD939" s="78"/>
      <c r="AE939" s="2456">
        <v>44734</v>
      </c>
      <c r="AF939" s="2282"/>
      <c r="AG939" s="2282"/>
      <c r="AH939" s="2282"/>
      <c r="AI939" s="2282"/>
      <c r="AJ939" s="2282"/>
      <c r="AK939" s="22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2721</v>
      </c>
      <c r="N940" s="2355"/>
      <c r="O940" s="2355"/>
      <c r="P940" s="2355"/>
      <c r="Q940" s="2355"/>
      <c r="R940" s="2355"/>
      <c r="S940" s="2356"/>
      <c r="U940" s="103" t="s">
        <v>12</v>
      </c>
      <c r="V940" s="77"/>
      <c r="W940" s="77"/>
      <c r="X940" s="77"/>
      <c r="Y940" s="77"/>
      <c r="Z940" s="77"/>
      <c r="AA940" s="77"/>
      <c r="AB940" s="77"/>
      <c r="AC940" s="77"/>
      <c r="AD940" s="78"/>
      <c r="AE940" s="2354" t="s">
        <v>2723</v>
      </c>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62" t="s">
        <v>2722</v>
      </c>
      <c r="K941" s="2463"/>
      <c r="L941" s="2463"/>
      <c r="M941" s="2463"/>
      <c r="N941" s="2463"/>
      <c r="O941" s="2463"/>
      <c r="P941" s="2463"/>
      <c r="Q941" s="2463"/>
      <c r="R941" s="2463"/>
      <c r="S941" s="2464"/>
      <c r="U941" s="103" t="s">
        <v>928</v>
      </c>
      <c r="V941" s="77"/>
      <c r="W941" s="77"/>
      <c r="AB941" s="2462" t="s">
        <v>2722</v>
      </c>
      <c r="AC941" s="2463"/>
      <c r="AD941" s="2463"/>
      <c r="AE941" s="2463"/>
      <c r="AF941" s="2463"/>
      <c r="AG941" s="2463"/>
      <c r="AH941" s="2463"/>
      <c r="AI941" s="2463"/>
      <c r="AJ941" s="2463"/>
      <c r="AK941" s="246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55">
        <v>0.66</v>
      </c>
      <c r="N942" s="2256"/>
      <c r="O942" s="2256"/>
      <c r="P942" s="2256"/>
      <c r="Q942" s="2256"/>
      <c r="R942" s="2256"/>
      <c r="S942" s="2257"/>
      <c r="U942" s="103" t="s">
        <v>13</v>
      </c>
      <c r="V942" s="77"/>
      <c r="W942" s="77"/>
      <c r="X942" s="77"/>
      <c r="Y942" s="77"/>
      <c r="Z942" s="77"/>
      <c r="AA942" s="77"/>
      <c r="AB942" s="77"/>
      <c r="AC942" s="77"/>
      <c r="AD942" s="78"/>
      <c r="AE942" s="2480">
        <v>0.09</v>
      </c>
      <c r="AF942" s="2256"/>
      <c r="AG942" s="2256"/>
      <c r="AH942" s="2256"/>
      <c r="AI942" s="2256"/>
      <c r="AJ942" s="2256"/>
      <c r="AK942" s="22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59">
        <v>31</v>
      </c>
      <c r="N943" s="2460"/>
      <c r="O943" s="2460"/>
      <c r="P943" s="2460"/>
      <c r="Q943" s="2460"/>
      <c r="R943" s="2460"/>
      <c r="S943" s="2461"/>
      <c r="U943" s="103" t="s">
        <v>14</v>
      </c>
      <c r="V943" s="77"/>
      <c r="W943" s="77"/>
      <c r="X943" s="77"/>
      <c r="Y943" s="77"/>
      <c r="Z943" s="77"/>
      <c r="AA943" s="77"/>
      <c r="AB943" s="77"/>
      <c r="AC943" s="77"/>
      <c r="AD943" s="78"/>
      <c r="AE943" s="2459">
        <v>4</v>
      </c>
      <c r="AF943" s="2460"/>
      <c r="AG943" s="2460"/>
      <c r="AH943" s="2460"/>
      <c r="AI943" s="2460"/>
      <c r="AJ943" s="2460"/>
      <c r="AK943" s="24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6">
        <v>353520</v>
      </c>
      <c r="N944" s="2267"/>
      <c r="O944" s="2267"/>
      <c r="P944" s="2267"/>
      <c r="Q944" s="2267"/>
      <c r="R944" s="2267"/>
      <c r="S944" s="2268"/>
      <c r="U944" s="103" t="s">
        <v>15</v>
      </c>
      <c r="V944" s="77"/>
      <c r="W944" s="77"/>
      <c r="X944" s="77"/>
      <c r="Y944" s="77"/>
      <c r="Z944" s="77"/>
      <c r="AA944" s="77"/>
      <c r="AB944" s="77"/>
      <c r="AC944" s="77"/>
      <c r="AD944" s="78"/>
      <c r="AE944" s="2266">
        <v>56424</v>
      </c>
      <c r="AF944" s="2267"/>
      <c r="AG944" s="2267"/>
      <c r="AH944" s="2267"/>
      <c r="AI944" s="2267"/>
      <c r="AJ944" s="2267"/>
      <c r="AK944" s="226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6">
        <v>10959120</v>
      </c>
      <c r="N945" s="2267"/>
      <c r="O945" s="2267"/>
      <c r="P945" s="2267"/>
      <c r="Q945" s="2267"/>
      <c r="R945" s="2267"/>
      <c r="S945" s="2268"/>
      <c r="U945" s="103" t="s">
        <v>16</v>
      </c>
      <c r="V945" s="77"/>
      <c r="W945" s="77"/>
      <c r="X945" s="77"/>
      <c r="Y945" s="77"/>
      <c r="Z945" s="77"/>
      <c r="AA945" s="77"/>
      <c r="AB945" s="77"/>
      <c r="AC945" s="77"/>
      <c r="AD945" s="78"/>
      <c r="AE945" s="2266">
        <v>225696</v>
      </c>
      <c r="AF945" s="2267"/>
      <c r="AG945" s="2267"/>
      <c r="AH945" s="2267"/>
      <c r="AI945" s="2267"/>
      <c r="AJ945" s="2267"/>
      <c r="AK945" s="226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50">
        <v>20</v>
      </c>
      <c r="N946" s="2151"/>
      <c r="O946" s="2151"/>
      <c r="P946" s="2151"/>
      <c r="Q946" s="2151"/>
      <c r="R946" s="2151"/>
      <c r="S946" s="2152"/>
      <c r="U946" s="103" t="s">
        <v>596</v>
      </c>
      <c r="V946" s="77"/>
      <c r="W946" s="77"/>
      <c r="X946" s="77"/>
      <c r="Y946" s="77"/>
      <c r="Z946" s="77"/>
      <c r="AA946" s="77"/>
      <c r="AB946" s="77"/>
      <c r="AC946" s="77"/>
      <c r="AD946" s="78"/>
      <c r="AE946" s="2150">
        <v>20</v>
      </c>
      <c r="AF946" s="2151"/>
      <c r="AG946" s="2151"/>
      <c r="AH946" s="2151"/>
      <c r="AI946" s="2151"/>
      <c r="AJ946" s="2151"/>
      <c r="AK946" s="21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47"/>
      <c r="N951" s="2248"/>
      <c r="O951" s="2248"/>
      <c r="P951" s="2248"/>
      <c r="Q951" s="2248"/>
      <c r="R951" s="2248"/>
      <c r="S951" s="2249"/>
      <c r="T951" s="103" t="s">
        <v>832</v>
      </c>
      <c r="U951" s="77"/>
      <c r="V951" s="77"/>
      <c r="W951" s="77"/>
      <c r="X951" s="77"/>
      <c r="Y951" s="77"/>
      <c r="Z951" s="78"/>
      <c r="AA951" s="2247"/>
      <c r="AB951" s="2248"/>
      <c r="AC951" s="2248"/>
      <c r="AD951" s="2248"/>
      <c r="AE951" s="2248"/>
      <c r="AF951" s="2248"/>
      <c r="AG951" s="22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47"/>
      <c r="N952" s="2248"/>
      <c r="O952" s="2248"/>
      <c r="P952" s="2248"/>
      <c r="Q952" s="2248"/>
      <c r="R952" s="2248"/>
      <c r="S952" s="2249"/>
      <c r="T952" s="103" t="s">
        <v>831</v>
      </c>
      <c r="U952" s="77"/>
      <c r="V952" s="77"/>
      <c r="W952" s="77"/>
      <c r="X952" s="77"/>
      <c r="Y952" s="77"/>
      <c r="Z952" s="78"/>
      <c r="AA952" s="2247"/>
      <c r="AB952" s="2248"/>
      <c r="AC952" s="2248"/>
      <c r="AD952" s="2248"/>
      <c r="AE952" s="2248"/>
      <c r="AF952" s="2248"/>
      <c r="AG952" s="22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65" t="s">
        <v>617</v>
      </c>
      <c r="N953" s="2466"/>
      <c r="O953" s="2466"/>
      <c r="P953" s="2466"/>
      <c r="Q953" s="2466"/>
      <c r="R953" s="2466"/>
      <c r="S953" s="2467"/>
      <c r="T953" s="76" t="s">
        <v>342</v>
      </c>
      <c r="U953" s="77"/>
      <c r="V953" s="77"/>
      <c r="W953" s="77"/>
      <c r="X953" s="77"/>
      <c r="Y953" s="77"/>
      <c r="Z953" s="78"/>
      <c r="AA953" s="2247"/>
      <c r="AB953" s="2248"/>
      <c r="AC953" s="2248"/>
      <c r="AD953" s="2248"/>
      <c r="AE953" s="2248"/>
      <c r="AF953" s="2248"/>
      <c r="AG953" s="22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47"/>
      <c r="N954" s="2248"/>
      <c r="O954" s="2248"/>
      <c r="P954" s="2248"/>
      <c r="Q954" s="2248"/>
      <c r="R954" s="2248"/>
      <c r="S954" s="2249"/>
      <c r="T954" s="76" t="s">
        <v>343</v>
      </c>
      <c r="U954" s="77"/>
      <c r="V954" s="77"/>
      <c r="W954" s="77"/>
      <c r="X954" s="77"/>
      <c r="Y954" s="77"/>
      <c r="Z954" s="78"/>
      <c r="AA954" s="2247"/>
      <c r="AB954" s="2248"/>
      <c r="AC954" s="2248"/>
      <c r="AD954" s="2248"/>
      <c r="AE954" s="2248"/>
      <c r="AF954" s="2248"/>
      <c r="AG954" s="22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47"/>
      <c r="N955" s="2248"/>
      <c r="O955" s="2248"/>
      <c r="P955" s="2248"/>
      <c r="Q955" s="2248"/>
      <c r="R955" s="2248"/>
      <c r="S955" s="2249"/>
      <c r="T955" s="76" t="s">
        <v>390</v>
      </c>
      <c r="U955" s="77"/>
      <c r="V955" s="77"/>
      <c r="W955" s="77"/>
      <c r="X955" s="77"/>
      <c r="Y955" s="77"/>
      <c r="Z955" s="78"/>
      <c r="AA955" s="2247"/>
      <c r="AB955" s="2248"/>
      <c r="AC955" s="2248"/>
      <c r="AD955" s="2248"/>
      <c r="AE955" s="2248"/>
      <c r="AF955" s="2248"/>
      <c r="AG955" s="22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68" t="s">
        <v>312</v>
      </c>
      <c r="N956" s="2469"/>
      <c r="O956" s="2469"/>
      <c r="P956" s="2469"/>
      <c r="Q956" s="2469"/>
      <c r="R956" s="2469"/>
      <c r="S956" s="2470"/>
      <c r="T956" s="2269"/>
      <c r="U956" s="2270"/>
      <c r="V956" s="2270"/>
      <c r="W956" s="2270"/>
      <c r="X956" s="2270"/>
      <c r="Y956" s="2270"/>
      <c r="Z956" s="2271"/>
      <c r="AA956" s="2247"/>
      <c r="AB956" s="2248"/>
      <c r="AC956" s="2248"/>
      <c r="AD956" s="2248"/>
      <c r="AE956" s="2248"/>
      <c r="AF956" s="2248"/>
      <c r="AG956" s="22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47"/>
      <c r="N957" s="2248"/>
      <c r="O957" s="2248"/>
      <c r="P957" s="2248"/>
      <c r="Q957" s="2248"/>
      <c r="R957" s="2248"/>
      <c r="S957" s="2249"/>
      <c r="T957" s="2269"/>
      <c r="U957" s="2270"/>
      <c r="V957" s="2270"/>
      <c r="W957" s="2270"/>
      <c r="X957" s="2270"/>
      <c r="Y957" s="2270"/>
      <c r="Z957" s="2271"/>
      <c r="AA957" s="2247"/>
      <c r="AB957" s="2248"/>
      <c r="AC957" s="2248"/>
      <c r="AD957" s="2248"/>
      <c r="AE957" s="2248"/>
      <c r="AF957" s="2248"/>
      <c r="AG957" s="22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57" t="s">
        <v>695</v>
      </c>
      <c r="P958" s="2458"/>
      <c r="Q958" s="139"/>
      <c r="R958" s="139"/>
      <c r="S958" s="140"/>
      <c r="T958" s="71" t="s">
        <v>174</v>
      </c>
      <c r="U958" s="72"/>
      <c r="V958" s="72"/>
      <c r="W958" s="2280" t="s">
        <v>339</v>
      </c>
      <c r="X958" s="2250"/>
      <c r="Y958" s="2250"/>
      <c r="Z958" s="2250"/>
      <c r="AA958" s="2250"/>
      <c r="AB958" s="2250"/>
      <c r="AC958" s="2250"/>
      <c r="AD958" s="2250"/>
      <c r="AE958" s="2250"/>
      <c r="AF958" s="2250"/>
      <c r="AG958" s="22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247"/>
      <c r="N959" s="2248"/>
      <c r="O959" s="2248"/>
      <c r="P959" s="2248"/>
      <c r="Q959" s="2248"/>
      <c r="R959" s="2248"/>
      <c r="S959" s="2249"/>
      <c r="T959" s="79"/>
      <c r="U959" s="80"/>
      <c r="V959" s="80"/>
      <c r="W959" s="80"/>
      <c r="X959" s="80"/>
      <c r="Y959" s="80"/>
      <c r="Z959" s="188" t="s">
        <v>139</v>
      </c>
      <c r="AA959" s="2263"/>
      <c r="AB959" s="2264"/>
      <c r="AC959" s="2264"/>
      <c r="AD959" s="2264"/>
      <c r="AE959" s="2264"/>
      <c r="AF959" s="2264"/>
      <c r="AG959" s="22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24" t="s">
        <v>573</v>
      </c>
      <c r="B963" s="2324"/>
      <c r="C963" s="2324"/>
      <c r="D963" s="2324"/>
      <c r="E963" s="2324"/>
      <c r="F963" s="2324"/>
      <c r="G963" s="2324"/>
      <c r="H963" s="2324"/>
      <c r="I963" s="2324"/>
      <c r="J963" s="2324"/>
      <c r="K963" s="2324"/>
      <c r="L963" s="2324"/>
      <c r="M963" s="2324"/>
      <c r="N963" s="2324"/>
      <c r="O963" s="2324"/>
      <c r="P963" s="2324"/>
      <c r="Q963" s="2324"/>
      <c r="R963" s="2324"/>
      <c r="S963" s="2324"/>
      <c r="T963" s="2324"/>
      <c r="U963" s="2324"/>
      <c r="V963" s="2324"/>
      <c r="W963" s="2324"/>
      <c r="X963" s="2324"/>
      <c r="Y963" s="2324"/>
      <c r="Z963" s="2324"/>
      <c r="AA963" s="2324"/>
      <c r="AB963" s="2324"/>
      <c r="AC963" s="2324"/>
      <c r="AD963" s="2324"/>
      <c r="AE963" s="2324"/>
      <c r="AF963" s="2324"/>
      <c r="AG963" s="2324"/>
      <c r="AH963" s="2324"/>
      <c r="AI963" s="2324"/>
      <c r="AJ963" s="2324"/>
      <c r="AK963" s="2324"/>
      <c r="AL963" s="2324"/>
      <c r="AM963" s="2324"/>
      <c r="AN963" s="2324"/>
      <c r="AO963" s="2324"/>
      <c r="AP963" s="2324"/>
      <c r="AQ963" s="2324"/>
      <c r="AR963" s="2324"/>
      <c r="AS963" s="232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24"/>
      <c r="B964" s="2324"/>
      <c r="C964" s="2324"/>
      <c r="D964" s="2324"/>
      <c r="E964" s="2324"/>
      <c r="F964" s="2324"/>
      <c r="G964" s="2324"/>
      <c r="H964" s="2324"/>
      <c r="I964" s="2324"/>
      <c r="J964" s="2324"/>
      <c r="K964" s="2324"/>
      <c r="L964" s="2324"/>
      <c r="M964" s="2324"/>
      <c r="N964" s="2324"/>
      <c r="O964" s="2324"/>
      <c r="P964" s="2324"/>
      <c r="Q964" s="2324"/>
      <c r="R964" s="2324"/>
      <c r="S964" s="2324"/>
      <c r="T964" s="2324"/>
      <c r="U964" s="2324"/>
      <c r="V964" s="2324"/>
      <c r="W964" s="2324"/>
      <c r="X964" s="2324"/>
      <c r="Y964" s="2324"/>
      <c r="Z964" s="2324"/>
      <c r="AA964" s="2324"/>
      <c r="AB964" s="2324"/>
      <c r="AC964" s="2324"/>
      <c r="AD964" s="2324"/>
      <c r="AE964" s="2324"/>
      <c r="AF964" s="2324"/>
      <c r="AG964" s="2324"/>
      <c r="AH964" s="2324"/>
      <c r="AI964" s="2324"/>
      <c r="AJ964" s="2324"/>
      <c r="AK964" s="2324"/>
      <c r="AL964" s="2324"/>
      <c r="AM964" s="2324"/>
      <c r="AN964" s="2324"/>
      <c r="AO964" s="2324"/>
      <c r="AP964" s="2324"/>
      <c r="AQ964" s="2324"/>
      <c r="AR964" s="2324"/>
      <c r="AS964" s="232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417"/>
      <c r="BH965" s="2417"/>
      <c r="BI965" s="2417"/>
      <c r="BJ965" s="2417"/>
      <c r="BK965" s="2417"/>
      <c r="BL965" s="2417"/>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202" t="s">
        <v>664</v>
      </c>
      <c r="E968" s="2203"/>
      <c r="F968" s="2203"/>
      <c r="G968" s="2203"/>
      <c r="H968" s="2203"/>
      <c r="I968" s="2203"/>
      <c r="J968" s="2203"/>
      <c r="K968" s="2203"/>
      <c r="L968" s="2203"/>
      <c r="M968" s="2203"/>
      <c r="N968" s="2203"/>
      <c r="O968" s="2203"/>
      <c r="P968" s="2203"/>
      <c r="Q968" s="2204"/>
      <c r="R968" s="2202" t="s">
        <v>665</v>
      </c>
      <c r="S968" s="2203"/>
      <c r="T968" s="2203"/>
      <c r="U968" s="2203"/>
      <c r="V968" s="2203"/>
      <c r="W968" s="2203"/>
      <c r="X968" s="2203"/>
      <c r="Y968" s="2203"/>
      <c r="Z968" s="2203"/>
      <c r="AA968" s="2204"/>
      <c r="AB968" s="2202" t="s">
        <v>666</v>
      </c>
      <c r="AC968" s="2203"/>
      <c r="AD968" s="2203"/>
      <c r="AE968" s="2203"/>
      <c r="AF968" s="2203"/>
      <c r="AG968" s="2203"/>
      <c r="AH968" s="2203"/>
      <c r="AI968" s="2204"/>
      <c r="AJ968" s="2202" t="s">
        <v>667</v>
      </c>
      <c r="AK968" s="2203"/>
      <c r="AL968" s="2203"/>
      <c r="AM968" s="2203"/>
      <c r="AN968" s="2203"/>
      <c r="AO968" s="2203"/>
      <c r="AP968" s="2203"/>
      <c r="AQ968" s="220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99" t="s">
        <v>659</v>
      </c>
      <c r="E969" s="2200"/>
      <c r="F969" s="2200"/>
      <c r="G969" s="2200"/>
      <c r="H969" s="2200"/>
      <c r="I969" s="2200"/>
      <c r="J969" s="2200"/>
      <c r="K969" s="2200"/>
      <c r="L969" s="2200"/>
      <c r="M969" s="2200"/>
      <c r="N969" s="2200"/>
      <c r="O969" s="2200"/>
      <c r="P969" s="2200"/>
      <c r="Q969" s="2201"/>
      <c r="R969" s="2261">
        <f>IF(ISNA(IF($BN$799="4%",(INDEX($BP$809:$BT$866,MATCH($CB$799,$BO$809:$BO$866,0),MATCH(D969,$BP$808:$BT$808,0))),(INDEX($BW$809:$CA$866,MATCH($CB$799,$BV$809:$BV$866,0),MATCH(D969,$BW$808:$CA$808,0))))),0,IF($BN$799="4%",(INDEX($BP$809:$BT$866,MATCH($CB$799,$BO$809:$BO$866,0),MATCH(D969,$BP$808:$BT$808,0))),(INDEX($BW$809:$CA$866,MATCH($CB$799,$BV$809:$BV$866,0),MATCH(D969,$BW$808:$CA$808,0)))))</f>
        <v>341094</v>
      </c>
      <c r="S969" s="2261"/>
      <c r="T969" s="2261"/>
      <c r="U969" s="2261"/>
      <c r="V969" s="2261"/>
      <c r="W969" s="2261"/>
      <c r="X969" s="2261"/>
      <c r="Y969" s="2261"/>
      <c r="Z969" s="2261"/>
      <c r="AA969" s="2261"/>
      <c r="AB969" s="2147">
        <f>BN663</f>
        <v>17</v>
      </c>
      <c r="AC969" s="2148"/>
      <c r="AD969" s="2148"/>
      <c r="AE969" s="2148"/>
      <c r="AF969" s="2148"/>
      <c r="AG969" s="2148"/>
      <c r="AH969" s="2148"/>
      <c r="AI969" s="2149"/>
      <c r="AJ969" s="2180">
        <f>IF(ISERROR((R969*AB969)),0,(R969*AB969))</f>
        <v>5798598</v>
      </c>
      <c r="AK969" s="2181"/>
      <c r="AL969" s="2181"/>
      <c r="AM969" s="2181"/>
      <c r="AN969" s="2181"/>
      <c r="AO969" s="2181"/>
      <c r="AP969" s="2181"/>
      <c r="AQ969" s="218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99" t="s">
        <v>330</v>
      </c>
      <c r="E970" s="2200"/>
      <c r="F970" s="2200"/>
      <c r="G970" s="2200"/>
      <c r="H970" s="2200"/>
      <c r="I970" s="2200"/>
      <c r="J970" s="2200"/>
      <c r="K970" s="2200"/>
      <c r="L970" s="2200"/>
      <c r="M970" s="2200"/>
      <c r="N970" s="2200"/>
      <c r="O970" s="2200"/>
      <c r="P970" s="2200"/>
      <c r="Q970" s="2201"/>
      <c r="R970" s="2261">
        <f>IF(ISNA(IF($BN$799="4%",(INDEX($BP$809:$BT$866,MATCH($CB$799,$BO$809:$BO$866,0),MATCH(D970,$BP$808:$BT$808,0))),(INDEX($BW$809:$CA$866,MATCH($CB$799,$BV$809:$BV$866,0),MATCH(D970,$BW$808:$CA$808,0))))),0,IF($BN$799="4%",(INDEX($BP$809:$BT$866,MATCH($CB$799,$BO$809:$BO$866,0),MATCH(D970,$BP$808:$BT$808,0))),(INDEX($BW$809:$CA$866,MATCH($CB$799,$BV$809:$BV$866,0),MATCH(D970,$BW$808:$CA$808,0)))))</f>
        <v>393278</v>
      </c>
      <c r="S970" s="2261"/>
      <c r="T970" s="2261"/>
      <c r="U970" s="2261"/>
      <c r="V970" s="2261"/>
      <c r="W970" s="2261"/>
      <c r="X970" s="2261"/>
      <c r="Y970" s="2261"/>
      <c r="Z970" s="2261"/>
      <c r="AA970" s="2261"/>
      <c r="AB970" s="2147">
        <f>BS663</f>
        <v>30</v>
      </c>
      <c r="AC970" s="2148"/>
      <c r="AD970" s="2148"/>
      <c r="AE970" s="2148"/>
      <c r="AF970" s="2148"/>
      <c r="AG970" s="2148"/>
      <c r="AH970" s="2148"/>
      <c r="AI970" s="2149"/>
      <c r="AJ970" s="2180">
        <f>IF(ISERROR((R970*AB970)),0,(R970*AB970))</f>
        <v>11798340</v>
      </c>
      <c r="AK970" s="2181"/>
      <c r="AL970" s="2181"/>
      <c r="AM970" s="2181"/>
      <c r="AN970" s="2181"/>
      <c r="AO970" s="2181"/>
      <c r="AP970" s="2181"/>
      <c r="AQ970" s="218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99" t="s">
        <v>168</v>
      </c>
      <c r="E971" s="2200"/>
      <c r="F971" s="2200"/>
      <c r="G971" s="2200"/>
      <c r="H971" s="2200"/>
      <c r="I971" s="2200"/>
      <c r="J971" s="2200"/>
      <c r="K971" s="2200"/>
      <c r="L971" s="2200"/>
      <c r="M971" s="2200"/>
      <c r="N971" s="2200"/>
      <c r="O971" s="2200"/>
      <c r="P971" s="2200"/>
      <c r="Q971" s="2201"/>
      <c r="R971" s="2261">
        <f>IF(ISNA(IF($BN$799="4%",(INDEX($BP$809:$BT$866,MATCH($CB$799,$BO$809:$BO$866,0),MATCH(D971,$BP$808:$BT$808,0))),(INDEX($BW$809:$CA$866,MATCH($CB$799,$BV$809:$BV$866,0),MATCH(D971,$BW$808:$CA$808,0))))),0,IF($BN$799="4%",(INDEX($BP$809:$BT$866,MATCH($CB$799,$BO$809:$BO$866,0),MATCH(D971,$BP$808:$BT$808,0))),(INDEX($BW$809:$CA$866,MATCH($CB$799,$BV$809:$BV$866,0),MATCH(D971,$BW$808:$CA$808,0)))))</f>
        <v>474400</v>
      </c>
      <c r="S971" s="2261"/>
      <c r="T971" s="2261"/>
      <c r="U971" s="2261"/>
      <c r="V971" s="2261"/>
      <c r="W971" s="2261"/>
      <c r="X971" s="2261"/>
      <c r="Y971" s="2261"/>
      <c r="Z971" s="2261"/>
      <c r="AA971" s="2261"/>
      <c r="AB971" s="2147">
        <f>BX663</f>
        <v>1</v>
      </c>
      <c r="AC971" s="2148"/>
      <c r="AD971" s="2148"/>
      <c r="AE971" s="2148"/>
      <c r="AF971" s="2148"/>
      <c r="AG971" s="2148"/>
      <c r="AH971" s="2148"/>
      <c r="AI971" s="2149"/>
      <c r="AJ971" s="2180">
        <f>IF(ISERROR((R971*AB971)),0,(R971*AB971))</f>
        <v>474400</v>
      </c>
      <c r="AK971" s="2181"/>
      <c r="AL971" s="2181"/>
      <c r="AM971" s="2181"/>
      <c r="AN971" s="2181"/>
      <c r="AO971" s="2181"/>
      <c r="AP971" s="2181"/>
      <c r="AQ971" s="218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99" t="s">
        <v>169</v>
      </c>
      <c r="E972" s="2200"/>
      <c r="F972" s="2200"/>
      <c r="G972" s="2200"/>
      <c r="H972" s="2200"/>
      <c r="I972" s="2200"/>
      <c r="J972" s="2200"/>
      <c r="K972" s="2200"/>
      <c r="L972" s="2200"/>
      <c r="M972" s="2200"/>
      <c r="N972" s="2200"/>
      <c r="O972" s="2200"/>
      <c r="P972" s="2200"/>
      <c r="Q972" s="2201"/>
      <c r="R972" s="2261">
        <f>IF(ISNA(IF($BN$799="4%",(INDEX($BP$809:$BT$866,MATCH($CB$799,$BO$809:$BO$866,0),MATCH(D972,$BP$808:$BT$808,0))),(INDEX($BW$809:$CA$866,MATCH($CB$799,$BV$809:$BV$866,0),MATCH(D972,$BW$808:$CA$808,0))))),0,IF($BN$799="4%",(INDEX($BP$809:$BT$866,MATCH($CB$799,$BO$809:$BO$866,0),MATCH(D972,$BP$808:$BT$808,0))),(INDEX($BW$809:$CA$866,MATCH($CB$799,$BV$809:$BV$866,0),MATCH(D972,$BW$808:$CA$808,0)))))</f>
        <v>607232</v>
      </c>
      <c r="S972" s="2261"/>
      <c r="T972" s="2261"/>
      <c r="U972" s="2261"/>
      <c r="V972" s="2261"/>
      <c r="W972" s="2261"/>
      <c r="X972" s="2261"/>
      <c r="Y972" s="2261"/>
      <c r="Z972" s="2261"/>
      <c r="AA972" s="2261"/>
      <c r="AB972" s="2147">
        <f>CC663</f>
        <v>0</v>
      </c>
      <c r="AC972" s="2148"/>
      <c r="AD972" s="2148"/>
      <c r="AE972" s="2148"/>
      <c r="AF972" s="2148"/>
      <c r="AG972" s="2148"/>
      <c r="AH972" s="2148"/>
      <c r="AI972" s="2149"/>
      <c r="AJ972" s="2180">
        <f>IF(ISERROR((R972*AB972)),0,(R972*AB972))</f>
        <v>0</v>
      </c>
      <c r="AK972" s="2181"/>
      <c r="AL972" s="2181"/>
      <c r="AM972" s="2181"/>
      <c r="AN972" s="2181"/>
      <c r="AO972" s="2181"/>
      <c r="AP972" s="2181"/>
      <c r="AQ972" s="218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99" t="s">
        <v>485</v>
      </c>
      <c r="E973" s="2200"/>
      <c r="F973" s="2200"/>
      <c r="G973" s="2200"/>
      <c r="H973" s="2200"/>
      <c r="I973" s="2200"/>
      <c r="J973" s="2200"/>
      <c r="K973" s="2200"/>
      <c r="L973" s="2200"/>
      <c r="M973" s="2200"/>
      <c r="N973" s="2200"/>
      <c r="O973" s="2200"/>
      <c r="P973" s="2200"/>
      <c r="Q973" s="2201"/>
      <c r="R973" s="2261">
        <f>IF(ISNA(IF($BN$799="4%",(INDEX($BP$809:$BT$866,MATCH($CB$799,$BO$809:$BO$866,0),MATCH(D973,$BP$808:$BT$808,0))),(INDEX($BW$809:$CA$866,MATCH($CB$799,$BV$809:$BV$866,0),MATCH(D973,$BW$808:$CA$808,0))))),0,IF($BN$799="4%",(INDEX($BP$809:$BT$866,MATCH($CB$799,$BO$809:$BO$866,0),MATCH(D973,$BP$808:$BT$808,0))),(INDEX($BW$809:$CA$866,MATCH($CB$799,$BV$809:$BV$866,0),MATCH(D973,$BW$808:$CA$808,0)))))</f>
        <v>676494</v>
      </c>
      <c r="S973" s="2261"/>
      <c r="T973" s="2261"/>
      <c r="U973" s="2261"/>
      <c r="V973" s="2261"/>
      <c r="W973" s="2261"/>
      <c r="X973" s="2261"/>
      <c r="Y973" s="2261"/>
      <c r="Z973" s="2261"/>
      <c r="AA973" s="2261"/>
      <c r="AB973" s="2147">
        <f>CM663+CH663</f>
        <v>0</v>
      </c>
      <c r="AC973" s="2148"/>
      <c r="AD973" s="2148"/>
      <c r="AE973" s="2148"/>
      <c r="AF973" s="2148"/>
      <c r="AG973" s="2148"/>
      <c r="AH973" s="2148"/>
      <c r="AI973" s="2149"/>
      <c r="AJ973" s="2180">
        <f>IF(ISERROR((R973*AB973)),0,(R973*AB973))</f>
        <v>0</v>
      </c>
      <c r="AK973" s="2181"/>
      <c r="AL973" s="2181"/>
      <c r="AM973" s="2181"/>
      <c r="AN973" s="2181"/>
      <c r="AO973" s="2181"/>
      <c r="AP973" s="2181"/>
      <c r="AQ973" s="218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29" t="s">
        <v>833</v>
      </c>
      <c r="C974" s="2230"/>
      <c r="D974" s="2230"/>
      <c r="E974" s="2230"/>
      <c r="F974" s="2230"/>
      <c r="G974" s="2230"/>
      <c r="H974" s="2230"/>
      <c r="I974" s="2230"/>
      <c r="J974" s="2230"/>
      <c r="K974" s="2230"/>
      <c r="L974" s="2230"/>
      <c r="M974" s="2230"/>
      <c r="N974" s="2230"/>
      <c r="O974" s="2230"/>
      <c r="P974" s="2230"/>
      <c r="Q974" s="2230"/>
      <c r="R974" s="2230"/>
      <c r="S974" s="2230"/>
      <c r="T974" s="2230"/>
      <c r="U974" s="2230"/>
      <c r="V974" s="2230"/>
      <c r="W974" s="2230"/>
      <c r="X974" s="2230"/>
      <c r="Y974" s="2230"/>
      <c r="Z974" s="2230"/>
      <c r="AA974" s="2231"/>
      <c r="AB974" s="2147">
        <f>SUM(AB969:AI973)</f>
        <v>48</v>
      </c>
      <c r="AC974" s="2148"/>
      <c r="AD974" s="2148"/>
      <c r="AE974" s="2148"/>
      <c r="AF974" s="2148"/>
      <c r="AG974" s="2148"/>
      <c r="AH974" s="2148"/>
      <c r="AI974" s="2149"/>
      <c r="AJ974" s="2180"/>
      <c r="AK974" s="2181"/>
      <c r="AL974" s="2181"/>
      <c r="AM974" s="2181"/>
      <c r="AN974" s="2181"/>
      <c r="AO974" s="2181"/>
      <c r="AP974" s="2181"/>
      <c r="AQ974" s="218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77" t="s">
        <v>537</v>
      </c>
      <c r="C975" s="2178"/>
      <c r="D975" s="2178"/>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8"/>
      <c r="AF975" s="2178"/>
      <c r="AG975" s="2178"/>
      <c r="AH975" s="2178"/>
      <c r="AI975" s="2179"/>
      <c r="AJ975" s="2180">
        <f>SUM(AJ969:AQ973)</f>
        <v>18071338</v>
      </c>
      <c r="AK975" s="2181"/>
      <c r="AL975" s="2181"/>
      <c r="AM975" s="2181"/>
      <c r="AN975" s="2181"/>
      <c r="AO975" s="2181"/>
      <c r="AP975" s="2181"/>
      <c r="AQ975" s="218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186" t="s">
        <v>692</v>
      </c>
      <c r="AG976" s="2187"/>
      <c r="AH976" s="2187"/>
      <c r="AI976" s="2188"/>
      <c r="AJ976" s="2183"/>
      <c r="AK976" s="2184"/>
      <c r="AL976" s="2184"/>
      <c r="AM976" s="2184"/>
      <c r="AN976" s="2184"/>
      <c r="AO976" s="2184"/>
      <c r="AP976" s="2184"/>
      <c r="AQ976" s="218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193" t="s">
        <v>1386</v>
      </c>
      <c r="E977" s="2194"/>
      <c r="F977" s="2194"/>
      <c r="G977" s="2194"/>
      <c r="H977" s="2194"/>
      <c r="I977" s="2194"/>
      <c r="J977" s="2194"/>
      <c r="K977" s="2194"/>
      <c r="L977" s="2194"/>
      <c r="M977" s="2194"/>
      <c r="N977" s="2194"/>
      <c r="O977" s="2194"/>
      <c r="P977" s="2194"/>
      <c r="Q977" s="2194"/>
      <c r="R977" s="2194"/>
      <c r="S977" s="2194"/>
      <c r="T977" s="2194"/>
      <c r="U977" s="2194"/>
      <c r="V977" s="2194"/>
      <c r="W977" s="2194"/>
      <c r="X977" s="2194"/>
      <c r="Y977" s="2194"/>
      <c r="Z977" s="2194"/>
      <c r="AA977" s="2194"/>
      <c r="AB977" s="2194"/>
      <c r="AC977" s="2194"/>
      <c r="AD977" s="2194"/>
      <c r="AE977" s="2195"/>
      <c r="AF977" s="117"/>
      <c r="AG977" s="2189" t="s">
        <v>570</v>
      </c>
      <c r="AH977" s="2190"/>
      <c r="AI977" s="125"/>
      <c r="AJ977" s="2211">
        <f>ROUND(IF(AND(AG977="yes",D979&gt;0),AJ975*0.2,0),0)</f>
        <v>3614268</v>
      </c>
      <c r="AK977" s="2212"/>
      <c r="AL977" s="2212"/>
      <c r="AM977" s="2212"/>
      <c r="AN977" s="2212"/>
      <c r="AO977" s="2212"/>
      <c r="AP977" s="2212"/>
      <c r="AQ977" s="221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32" t="s">
        <v>1387</v>
      </c>
      <c r="E978" s="2233"/>
      <c r="F978" s="2233"/>
      <c r="G978" s="2233"/>
      <c r="H978" s="2233"/>
      <c r="I978" s="2233"/>
      <c r="J978" s="2233"/>
      <c r="K978" s="2233"/>
      <c r="L978" s="2233"/>
      <c r="M978" s="2233"/>
      <c r="N978" s="2233"/>
      <c r="O978" s="2233"/>
      <c r="P978" s="2233"/>
      <c r="Q978" s="2233"/>
      <c r="R978" s="2233"/>
      <c r="S978" s="2233"/>
      <c r="T978" s="2233"/>
      <c r="U978" s="2233"/>
      <c r="V978" s="2233"/>
      <c r="W978" s="2233"/>
      <c r="X978" s="2233"/>
      <c r="Y978" s="2233"/>
      <c r="Z978" s="2233"/>
      <c r="AA978" s="2233"/>
      <c r="AB978" s="2233"/>
      <c r="AC978" s="2233"/>
      <c r="AD978" s="2233"/>
      <c r="AE978" s="2234"/>
      <c r="AF978" s="110"/>
      <c r="AG978" s="112"/>
      <c r="AH978" s="112"/>
      <c r="AI978" s="121"/>
      <c r="AJ978" s="2214"/>
      <c r="AK978" s="2215"/>
      <c r="AL978" s="2215"/>
      <c r="AM978" s="2215"/>
      <c r="AN978" s="2215"/>
      <c r="AO978" s="2215"/>
      <c r="AP978" s="2215"/>
      <c r="AQ978" s="221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35" t="s">
        <v>2724</v>
      </c>
      <c r="E979" s="2236"/>
      <c r="F979" s="2236"/>
      <c r="G979" s="2236"/>
      <c r="H979" s="2236"/>
      <c r="I979" s="2236"/>
      <c r="J979" s="2236"/>
      <c r="K979" s="2236"/>
      <c r="L979" s="2236"/>
      <c r="M979" s="2236"/>
      <c r="N979" s="2236"/>
      <c r="O979" s="2236"/>
      <c r="P979" s="2236"/>
      <c r="Q979" s="2236"/>
      <c r="R979" s="2236"/>
      <c r="S979" s="2236"/>
      <c r="T979" s="2236"/>
      <c r="U979" s="2236"/>
      <c r="V979" s="2236"/>
      <c r="W979" s="2236"/>
      <c r="X979" s="2236"/>
      <c r="Y979" s="2236"/>
      <c r="Z979" s="2236"/>
      <c r="AA979" s="2236"/>
      <c r="AB979" s="2236"/>
      <c r="AC979" s="2236"/>
      <c r="AD979" s="2236"/>
      <c r="AE979" s="2237"/>
      <c r="AF979" s="115"/>
      <c r="AG979" s="11"/>
      <c r="AH979" s="11"/>
      <c r="AI979" s="116"/>
      <c r="AJ979" s="2217"/>
      <c r="AK979" s="2218"/>
      <c r="AL979" s="2218"/>
      <c r="AM979" s="2218"/>
      <c r="AN979" s="2218"/>
      <c r="AO979" s="2218"/>
      <c r="AP979" s="2218"/>
      <c r="AQ979" s="221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74" t="s">
        <v>1474</v>
      </c>
      <c r="E980" s="2175"/>
      <c r="F980" s="2175"/>
      <c r="G980" s="2175"/>
      <c r="H980" s="2175"/>
      <c r="I980" s="2175"/>
      <c r="J980" s="2175"/>
      <c r="K980" s="2175"/>
      <c r="L980" s="2175"/>
      <c r="M980" s="2175"/>
      <c r="N980" s="2175"/>
      <c r="O980" s="2175"/>
      <c r="P980" s="2175"/>
      <c r="Q980" s="2175"/>
      <c r="R980" s="2175"/>
      <c r="S980" s="2175"/>
      <c r="T980" s="2175"/>
      <c r="U980" s="2175"/>
      <c r="V980" s="2175"/>
      <c r="W980" s="2175"/>
      <c r="X980" s="2175"/>
      <c r="Y980" s="2175"/>
      <c r="Z980" s="2175"/>
      <c r="AA980" s="2175"/>
      <c r="AB980" s="2175"/>
      <c r="AC980" s="2175"/>
      <c r="AD980" s="2175"/>
      <c r="AE980" s="2176"/>
      <c r="AF980" s="117"/>
      <c r="AG980" s="2191" t="s">
        <v>695</v>
      </c>
      <c r="AH980" s="2192"/>
      <c r="AI980" s="125"/>
      <c r="AJ980" s="2211">
        <f>ROUND(IF(AG980="yes",AJ975*0.05,0),0)</f>
        <v>0</v>
      </c>
      <c r="AK980" s="2212"/>
      <c r="AL980" s="2212"/>
      <c r="AM980" s="2212"/>
      <c r="AN980" s="2212"/>
      <c r="AO980" s="2212"/>
      <c r="AP980" s="2212"/>
      <c r="AQ980" s="221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32" t="s">
        <v>1472</v>
      </c>
      <c r="E981" s="2233"/>
      <c r="F981" s="2233"/>
      <c r="G981" s="2233"/>
      <c r="H981" s="2233"/>
      <c r="I981" s="2233"/>
      <c r="J981" s="2233"/>
      <c r="K981" s="2233"/>
      <c r="L981" s="2233"/>
      <c r="M981" s="2233"/>
      <c r="N981" s="2233"/>
      <c r="O981" s="2233"/>
      <c r="P981" s="2233"/>
      <c r="Q981" s="2233"/>
      <c r="R981" s="2233"/>
      <c r="S981" s="2233"/>
      <c r="T981" s="2233"/>
      <c r="U981" s="2233"/>
      <c r="V981" s="2233"/>
      <c r="W981" s="2233"/>
      <c r="X981" s="2233"/>
      <c r="Y981" s="2233"/>
      <c r="Z981" s="2233"/>
      <c r="AA981" s="2233"/>
      <c r="AB981" s="2233"/>
      <c r="AC981" s="2233"/>
      <c r="AD981" s="2233"/>
      <c r="AE981" s="2234"/>
      <c r="AF981" s="110"/>
      <c r="AG981" s="112"/>
      <c r="AH981" s="112"/>
      <c r="AI981" s="121"/>
      <c r="AJ981" s="2214"/>
      <c r="AK981" s="2215"/>
      <c r="AL981" s="2215"/>
      <c r="AM981" s="2215"/>
      <c r="AN981" s="2215"/>
      <c r="AO981" s="2215"/>
      <c r="AP981" s="2215"/>
      <c r="AQ981" s="221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32"/>
      <c r="E982" s="2233"/>
      <c r="F982" s="2233"/>
      <c r="G982" s="2233"/>
      <c r="H982" s="2233"/>
      <c r="I982" s="2233"/>
      <c r="J982" s="2233"/>
      <c r="K982" s="2233"/>
      <c r="L982" s="2233"/>
      <c r="M982" s="2233"/>
      <c r="N982" s="2233"/>
      <c r="O982" s="2233"/>
      <c r="P982" s="2233"/>
      <c r="Q982" s="2233"/>
      <c r="R982" s="2233"/>
      <c r="S982" s="2233"/>
      <c r="T982" s="2233"/>
      <c r="U982" s="2233"/>
      <c r="V982" s="2233"/>
      <c r="W982" s="2233"/>
      <c r="X982" s="2233"/>
      <c r="Y982" s="2233"/>
      <c r="Z982" s="2233"/>
      <c r="AA982" s="2233"/>
      <c r="AB982" s="2233"/>
      <c r="AC982" s="2233"/>
      <c r="AD982" s="2233"/>
      <c r="AE982" s="2234"/>
      <c r="AF982" s="110"/>
      <c r="AG982" s="112"/>
      <c r="AH982" s="112"/>
      <c r="AI982" s="121"/>
      <c r="AJ982" s="2214"/>
      <c r="AK982" s="2215"/>
      <c r="AL982" s="2215"/>
      <c r="AM982" s="2215"/>
      <c r="AN982" s="2215"/>
      <c r="AO982" s="2215"/>
      <c r="AP982" s="2215"/>
      <c r="AQ982" s="221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32"/>
      <c r="E983" s="2233"/>
      <c r="F983" s="2233"/>
      <c r="G983" s="2233"/>
      <c r="H983" s="2233"/>
      <c r="I983" s="2233"/>
      <c r="J983" s="2233"/>
      <c r="K983" s="2233"/>
      <c r="L983" s="2233"/>
      <c r="M983" s="2233"/>
      <c r="N983" s="2233"/>
      <c r="O983" s="2233"/>
      <c r="P983" s="2233"/>
      <c r="Q983" s="2233"/>
      <c r="R983" s="2233"/>
      <c r="S983" s="2233"/>
      <c r="T983" s="2233"/>
      <c r="U983" s="2233"/>
      <c r="V983" s="2233"/>
      <c r="W983" s="2233"/>
      <c r="X983" s="2233"/>
      <c r="Y983" s="2233"/>
      <c r="Z983" s="2233"/>
      <c r="AA983" s="2233"/>
      <c r="AB983" s="2233"/>
      <c r="AC983" s="2233"/>
      <c r="AD983" s="2233"/>
      <c r="AE983" s="2234"/>
      <c r="AF983" s="110"/>
      <c r="AG983" s="112"/>
      <c r="AH983" s="112"/>
      <c r="AI983" s="121"/>
      <c r="AJ983" s="2214"/>
      <c r="AK983" s="2215"/>
      <c r="AL983" s="2215"/>
      <c r="AM983" s="2215"/>
      <c r="AN983" s="2215"/>
      <c r="AO983" s="2215"/>
      <c r="AP983" s="2215"/>
      <c r="AQ983" s="221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32"/>
      <c r="E984" s="2233"/>
      <c r="F984" s="2233"/>
      <c r="G984" s="2233"/>
      <c r="H984" s="2233"/>
      <c r="I984" s="2233"/>
      <c r="J984" s="2233"/>
      <c r="K984" s="2233"/>
      <c r="L984" s="2233"/>
      <c r="M984" s="2233"/>
      <c r="N984" s="2233"/>
      <c r="O984" s="2233"/>
      <c r="P984" s="2233"/>
      <c r="Q984" s="2233"/>
      <c r="R984" s="2233"/>
      <c r="S984" s="2233"/>
      <c r="T984" s="2233"/>
      <c r="U984" s="2233"/>
      <c r="V984" s="2233"/>
      <c r="W984" s="2233"/>
      <c r="X984" s="2233"/>
      <c r="Y984" s="2233"/>
      <c r="Z984" s="2233"/>
      <c r="AA984" s="2233"/>
      <c r="AB984" s="2233"/>
      <c r="AC984" s="2233"/>
      <c r="AD984" s="2233"/>
      <c r="AE984" s="2234"/>
      <c r="AF984" s="110"/>
      <c r="AG984" s="112"/>
      <c r="AH984" s="112"/>
      <c r="AI984" s="121"/>
      <c r="AJ984" s="2214"/>
      <c r="AK984" s="2215"/>
      <c r="AL984" s="2215"/>
      <c r="AM984" s="2215"/>
      <c r="AN984" s="2215"/>
      <c r="AO984" s="2215"/>
      <c r="AP984" s="2215"/>
      <c r="AQ984" s="221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38"/>
      <c r="E985" s="2239"/>
      <c r="F985" s="2239"/>
      <c r="G985" s="2239"/>
      <c r="H985" s="2239"/>
      <c r="I985" s="2239"/>
      <c r="J985" s="2239"/>
      <c r="K985" s="2239"/>
      <c r="L985" s="2239"/>
      <c r="M985" s="2239"/>
      <c r="N985" s="2239"/>
      <c r="O985" s="2239"/>
      <c r="P985" s="2239"/>
      <c r="Q985" s="2239"/>
      <c r="R985" s="2239"/>
      <c r="S985" s="2239"/>
      <c r="T985" s="2239"/>
      <c r="U985" s="2239"/>
      <c r="V985" s="2239"/>
      <c r="W985" s="2239"/>
      <c r="X985" s="2239"/>
      <c r="Y985" s="2239"/>
      <c r="Z985" s="2239"/>
      <c r="AA985" s="2239"/>
      <c r="AB985" s="2239"/>
      <c r="AC985" s="2239"/>
      <c r="AD985" s="2239"/>
      <c r="AE985" s="2240"/>
      <c r="AF985" s="115"/>
      <c r="AG985" s="11"/>
      <c r="AH985" s="11"/>
      <c r="AI985" s="116"/>
      <c r="AJ985" s="2217"/>
      <c r="AK985" s="2218"/>
      <c r="AL985" s="2218"/>
      <c r="AM985" s="2218"/>
      <c r="AN985" s="2218"/>
      <c r="AO985" s="2218"/>
      <c r="AP985" s="2218"/>
      <c r="AQ985" s="221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74" t="s">
        <v>1996</v>
      </c>
      <c r="E986" s="2175"/>
      <c r="F986" s="2175"/>
      <c r="G986" s="2175"/>
      <c r="H986" s="2175"/>
      <c r="I986" s="2175"/>
      <c r="J986" s="2175"/>
      <c r="K986" s="2175"/>
      <c r="L986" s="2175"/>
      <c r="M986" s="2175"/>
      <c r="N986" s="2175"/>
      <c r="O986" s="2175"/>
      <c r="P986" s="2175"/>
      <c r="Q986" s="2175"/>
      <c r="R986" s="2175"/>
      <c r="S986" s="2175"/>
      <c r="T986" s="2175"/>
      <c r="U986" s="2175"/>
      <c r="V986" s="2175"/>
      <c r="W986" s="2175"/>
      <c r="X986" s="2175"/>
      <c r="Y986" s="2175"/>
      <c r="Z986" s="2175"/>
      <c r="AA986" s="2175"/>
      <c r="AB986" s="2175"/>
      <c r="AC986" s="2175"/>
      <c r="AD986" s="2175"/>
      <c r="AE986" s="2176"/>
      <c r="AF986" s="124"/>
      <c r="AG986" s="2191" t="s">
        <v>570</v>
      </c>
      <c r="AH986" s="2192"/>
      <c r="AI986" s="125"/>
      <c r="AJ986" s="2211">
        <f>ROUND(IF(AG986="yes",AJ975*0.1,0),0)</f>
        <v>1807134</v>
      </c>
      <c r="AK986" s="2212"/>
      <c r="AL986" s="2212"/>
      <c r="AM986" s="2212"/>
      <c r="AN986" s="2212"/>
      <c r="AO986" s="2212"/>
      <c r="AP986" s="2212"/>
      <c r="AQ986" s="221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68" t="s">
        <v>1473</v>
      </c>
      <c r="E987" s="2169"/>
      <c r="F987" s="2169"/>
      <c r="G987" s="2169"/>
      <c r="H987" s="2169"/>
      <c r="I987" s="2169"/>
      <c r="J987" s="2169"/>
      <c r="K987" s="2169"/>
      <c r="L987" s="2169"/>
      <c r="M987" s="2169"/>
      <c r="N987" s="2169"/>
      <c r="O987" s="2169"/>
      <c r="P987" s="2169"/>
      <c r="Q987" s="2169"/>
      <c r="R987" s="2169"/>
      <c r="S987" s="2169"/>
      <c r="T987" s="2169"/>
      <c r="U987" s="2169"/>
      <c r="V987" s="2169"/>
      <c r="W987" s="2169"/>
      <c r="X987" s="2169"/>
      <c r="Y987" s="2169"/>
      <c r="Z987" s="2169"/>
      <c r="AA987" s="2169"/>
      <c r="AB987" s="2169"/>
      <c r="AC987" s="2169"/>
      <c r="AD987" s="2169"/>
      <c r="AE987" s="2170"/>
      <c r="AF987" s="110"/>
      <c r="AG987" s="25"/>
      <c r="AH987" s="25"/>
      <c r="AI987" s="121"/>
      <c r="AJ987" s="2214"/>
      <c r="AK987" s="2215"/>
      <c r="AL987" s="2215"/>
      <c r="AM987" s="2215"/>
      <c r="AN987" s="2215"/>
      <c r="AO987" s="2215"/>
      <c r="AP987" s="2215"/>
      <c r="AQ987" s="2216"/>
      <c r="AR987" s="1436"/>
      <c r="AS987" s="1436"/>
      <c r="AT987" s="1436"/>
      <c r="AU987" s="1436"/>
      <c r="AV987" s="1436"/>
      <c r="AW987" s="1436"/>
      <c r="AX987" s="1436"/>
      <c r="AY987" s="1436"/>
      <c r="AZ987" s="61"/>
      <c r="BA987" s="1463">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68"/>
      <c r="E988" s="2169"/>
      <c r="F988" s="2169"/>
      <c r="G988" s="2169"/>
      <c r="H988" s="2169"/>
      <c r="I988" s="2169"/>
      <c r="J988" s="2169"/>
      <c r="K988" s="2169"/>
      <c r="L988" s="2169"/>
      <c r="M988" s="2169"/>
      <c r="N988" s="2169"/>
      <c r="O988" s="2169"/>
      <c r="P988" s="2169"/>
      <c r="Q988" s="2169"/>
      <c r="R988" s="2169"/>
      <c r="S988" s="2169"/>
      <c r="T988" s="2169"/>
      <c r="U988" s="2169"/>
      <c r="V988" s="2169"/>
      <c r="W988" s="2169"/>
      <c r="X988" s="2169"/>
      <c r="Y988" s="2169"/>
      <c r="Z988" s="2169"/>
      <c r="AA988" s="2169"/>
      <c r="AB988" s="2169"/>
      <c r="AC988" s="2169"/>
      <c r="AD988" s="2169"/>
      <c r="AE988" s="2170"/>
      <c r="AF988" s="110"/>
      <c r="AG988" s="112"/>
      <c r="AH988" s="112"/>
      <c r="AI988" s="121"/>
      <c r="AJ988" s="2214"/>
      <c r="AK988" s="2215"/>
      <c r="AL988" s="2215"/>
      <c r="AM988" s="2215"/>
      <c r="AN988" s="2215"/>
      <c r="AO988" s="2215"/>
      <c r="AP988" s="2215"/>
      <c r="AQ988" s="221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96"/>
      <c r="E989" s="2197"/>
      <c r="F989" s="2197"/>
      <c r="G989" s="2197"/>
      <c r="H989" s="2197"/>
      <c r="I989" s="2197"/>
      <c r="J989" s="2197"/>
      <c r="K989" s="2197"/>
      <c r="L989" s="2197"/>
      <c r="M989" s="2197"/>
      <c r="N989" s="2197"/>
      <c r="O989" s="2197"/>
      <c r="P989" s="2197"/>
      <c r="Q989" s="2197"/>
      <c r="R989" s="2197"/>
      <c r="S989" s="2197"/>
      <c r="T989" s="2197"/>
      <c r="U989" s="2197"/>
      <c r="V989" s="2197"/>
      <c r="W989" s="2197"/>
      <c r="X989" s="2197"/>
      <c r="Y989" s="2197"/>
      <c r="Z989" s="2197"/>
      <c r="AA989" s="2197"/>
      <c r="AB989" s="2197"/>
      <c r="AC989" s="2197"/>
      <c r="AD989" s="2197"/>
      <c r="AE989" s="2198"/>
      <c r="AF989" s="115"/>
      <c r="AG989" s="11"/>
      <c r="AH989" s="11"/>
      <c r="AI989" s="116"/>
      <c r="AJ989" s="2217"/>
      <c r="AK989" s="2218"/>
      <c r="AL989" s="2218"/>
      <c r="AM989" s="2218"/>
      <c r="AN989" s="2218"/>
      <c r="AO989" s="2218"/>
      <c r="AP989" s="2218"/>
      <c r="AQ989" s="2219"/>
      <c r="AR989" s="1436"/>
      <c r="AS989" s="1436"/>
      <c r="AT989" s="1436"/>
      <c r="AU989" s="1436"/>
      <c r="AV989" s="1436"/>
      <c r="AW989" s="1436"/>
      <c r="AX989" s="1436"/>
      <c r="AY989" s="1436"/>
      <c r="AZ989" s="61"/>
      <c r="BA989" s="1462">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74" t="s">
        <v>1475</v>
      </c>
      <c r="E990" s="2175"/>
      <c r="F990" s="2175"/>
      <c r="G990" s="2175"/>
      <c r="H990" s="2175"/>
      <c r="I990" s="2175"/>
      <c r="J990" s="2175"/>
      <c r="K990" s="2175"/>
      <c r="L990" s="2175"/>
      <c r="M990" s="2175"/>
      <c r="N990" s="2175"/>
      <c r="O990" s="2175"/>
      <c r="P990" s="2175"/>
      <c r="Q990" s="2175"/>
      <c r="R990" s="2175"/>
      <c r="S990" s="2175"/>
      <c r="T990" s="2175"/>
      <c r="U990" s="2175"/>
      <c r="V990" s="2175"/>
      <c r="W990" s="2175"/>
      <c r="X990" s="2175"/>
      <c r="Y990" s="2175"/>
      <c r="Z990" s="2175"/>
      <c r="AA990" s="2175"/>
      <c r="AB990" s="2175"/>
      <c r="AC990" s="2175"/>
      <c r="AD990" s="2175"/>
      <c r="AE990" s="2176"/>
      <c r="AF990" s="117"/>
      <c r="AG990" s="2191" t="s">
        <v>695</v>
      </c>
      <c r="AH990" s="2192"/>
      <c r="AI990" s="125"/>
      <c r="AJ990" s="2211">
        <f>ROUND(IF(AG990="yes",AJ975*0.02,0),0)</f>
        <v>0</v>
      </c>
      <c r="AK990" s="2212"/>
      <c r="AL990" s="2212"/>
      <c r="AM990" s="2212"/>
      <c r="AN990" s="2212"/>
      <c r="AO990" s="2212"/>
      <c r="AP990" s="2212"/>
      <c r="AQ990" s="2213"/>
      <c r="AR990" s="1436"/>
      <c r="AS990" s="1436"/>
      <c r="AT990" s="1436"/>
      <c r="AU990" s="1436"/>
      <c r="AV990" s="1436"/>
      <c r="AW990" s="1436"/>
      <c r="AX990" s="1436"/>
      <c r="AY990" s="1436"/>
      <c r="AZ990" s="61"/>
      <c r="BA990" s="1462">
        <f>ROUNDDOWN(X1031/I1031,2)</f>
        <v>0.42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96" t="s">
        <v>1476</v>
      </c>
      <c r="E991" s="2197"/>
      <c r="F991" s="2197"/>
      <c r="G991" s="2197"/>
      <c r="H991" s="2197"/>
      <c r="I991" s="2197"/>
      <c r="J991" s="2197"/>
      <c r="K991" s="2197"/>
      <c r="L991" s="2197"/>
      <c r="M991" s="2197"/>
      <c r="N991" s="2197"/>
      <c r="O991" s="2197"/>
      <c r="P991" s="2197"/>
      <c r="Q991" s="2197"/>
      <c r="R991" s="2197"/>
      <c r="S991" s="2197"/>
      <c r="T991" s="2197"/>
      <c r="U991" s="2197"/>
      <c r="V991" s="2197"/>
      <c r="W991" s="2197"/>
      <c r="X991" s="2197"/>
      <c r="Y991" s="2197"/>
      <c r="Z991" s="2197"/>
      <c r="AA991" s="2197"/>
      <c r="AB991" s="2197"/>
      <c r="AC991" s="2197"/>
      <c r="AD991" s="2197"/>
      <c r="AE991" s="2198"/>
      <c r="AF991" s="115"/>
      <c r="AG991" s="11"/>
      <c r="AH991" s="11"/>
      <c r="AI991" s="116"/>
      <c r="AJ991" s="2217"/>
      <c r="AK991" s="2218"/>
      <c r="AL991" s="2218"/>
      <c r="AM991" s="2218"/>
      <c r="AN991" s="2218"/>
      <c r="AO991" s="2218"/>
      <c r="AP991" s="2218"/>
      <c r="AQ991" s="221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174" t="s">
        <v>1477</v>
      </c>
      <c r="E992" s="2175"/>
      <c r="F992" s="2175"/>
      <c r="G992" s="2175"/>
      <c r="H992" s="2175"/>
      <c r="I992" s="2175"/>
      <c r="J992" s="2175"/>
      <c r="K992" s="2175"/>
      <c r="L992" s="2175"/>
      <c r="M992" s="2175"/>
      <c r="N992" s="2175"/>
      <c r="O992" s="2175"/>
      <c r="P992" s="2175"/>
      <c r="Q992" s="2175"/>
      <c r="R992" s="2175"/>
      <c r="S992" s="2175"/>
      <c r="T992" s="2175"/>
      <c r="U992" s="2175"/>
      <c r="V992" s="2175"/>
      <c r="W992" s="2175"/>
      <c r="X992" s="2175"/>
      <c r="Y992" s="2175"/>
      <c r="Z992" s="2175"/>
      <c r="AA992" s="2175"/>
      <c r="AB992" s="2175"/>
      <c r="AC992" s="2175"/>
      <c r="AD992" s="2175"/>
      <c r="AE992" s="2176"/>
      <c r="AF992" s="117"/>
      <c r="AG992" s="2191" t="s">
        <v>695</v>
      </c>
      <c r="AH992" s="2192"/>
      <c r="AI992" s="117"/>
      <c r="AJ992" s="2211">
        <f>ROUND(IF(AG992="yes",AJ975*0.02,0),0)</f>
        <v>0</v>
      </c>
      <c r="AK992" s="2212"/>
      <c r="AL992" s="2212"/>
      <c r="AM992" s="2212"/>
      <c r="AN992" s="2212"/>
      <c r="AO992" s="2212"/>
      <c r="AP992" s="2212"/>
      <c r="AQ992" s="221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68" t="s">
        <v>1478</v>
      </c>
      <c r="E993" s="2169"/>
      <c r="F993" s="2169"/>
      <c r="G993" s="2169"/>
      <c r="H993" s="2169"/>
      <c r="I993" s="2169"/>
      <c r="J993" s="2169"/>
      <c r="K993" s="2169"/>
      <c r="L993" s="2169"/>
      <c r="M993" s="2169"/>
      <c r="N993" s="2169"/>
      <c r="O993" s="2169"/>
      <c r="P993" s="2169"/>
      <c r="Q993" s="2169"/>
      <c r="R993" s="2169"/>
      <c r="S993" s="2169"/>
      <c r="T993" s="2169"/>
      <c r="U993" s="2169"/>
      <c r="V993" s="2169"/>
      <c r="W993" s="2169"/>
      <c r="X993" s="2169"/>
      <c r="Y993" s="2169"/>
      <c r="Z993" s="2169"/>
      <c r="AA993" s="2169"/>
      <c r="AB993" s="2169"/>
      <c r="AC993" s="2169"/>
      <c r="AD993" s="2169"/>
      <c r="AE993" s="2170"/>
      <c r="AF993" s="110"/>
      <c r="AG993" s="25"/>
      <c r="AH993" s="25"/>
      <c r="AI993" s="112"/>
      <c r="AJ993" s="2214"/>
      <c r="AK993" s="2215"/>
      <c r="AL993" s="2215"/>
      <c r="AM993" s="2215"/>
      <c r="AN993" s="2215"/>
      <c r="AO993" s="2215"/>
      <c r="AP993" s="2215"/>
      <c r="AQ993" s="221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96"/>
      <c r="E994" s="2197"/>
      <c r="F994" s="2197"/>
      <c r="G994" s="2197"/>
      <c r="H994" s="2197"/>
      <c r="I994" s="2197"/>
      <c r="J994" s="2197"/>
      <c r="K994" s="2197"/>
      <c r="L994" s="2197"/>
      <c r="M994" s="2197"/>
      <c r="N994" s="2197"/>
      <c r="O994" s="2197"/>
      <c r="P994" s="2197"/>
      <c r="Q994" s="2197"/>
      <c r="R994" s="2197"/>
      <c r="S994" s="2197"/>
      <c r="T994" s="2197"/>
      <c r="U994" s="2197"/>
      <c r="V994" s="2197"/>
      <c r="W994" s="2197"/>
      <c r="X994" s="2197"/>
      <c r="Y994" s="2197"/>
      <c r="Z994" s="2197"/>
      <c r="AA994" s="2197"/>
      <c r="AB994" s="2197"/>
      <c r="AC994" s="2197"/>
      <c r="AD994" s="2197"/>
      <c r="AE994" s="2198"/>
      <c r="AF994" s="115"/>
      <c r="AG994" s="11"/>
      <c r="AH994" s="11"/>
      <c r="AI994" s="116"/>
      <c r="AJ994" s="2217"/>
      <c r="AK994" s="2218"/>
      <c r="AL994" s="2218"/>
      <c r="AM994" s="2218"/>
      <c r="AN994" s="2218"/>
      <c r="AO994" s="2218"/>
      <c r="AP994" s="2218"/>
      <c r="AQ994" s="2219"/>
      <c r="AR994" s="1436"/>
      <c r="AS994" s="1436"/>
      <c r="AT994" s="1436"/>
      <c r="AU994" s="1436"/>
      <c r="AV994" s="1436"/>
      <c r="AW994" s="1436"/>
      <c r="AX994" s="1436"/>
      <c r="AY994" s="1436"/>
    </row>
    <row r="995" spans="1:96" s="711" customFormat="1" ht="12.75" customHeight="1">
      <c r="A995" s="51"/>
      <c r="B995" s="117"/>
      <c r="C995" s="118" t="s">
        <v>223</v>
      </c>
      <c r="D995" s="2193" t="s">
        <v>1479</v>
      </c>
      <c r="E995" s="2194"/>
      <c r="F995" s="2194"/>
      <c r="G995" s="2194"/>
      <c r="H995" s="2194"/>
      <c r="I995" s="2194"/>
      <c r="J995" s="2194"/>
      <c r="K995" s="2194"/>
      <c r="L995" s="2194"/>
      <c r="M995" s="2194"/>
      <c r="N995" s="2194"/>
      <c r="O995" s="2194"/>
      <c r="P995" s="2194"/>
      <c r="Q995" s="2194"/>
      <c r="R995" s="2194"/>
      <c r="S995" s="2194"/>
      <c r="T995" s="2194"/>
      <c r="U995" s="2194"/>
      <c r="V995" s="2194"/>
      <c r="W995" s="2194"/>
      <c r="X995" s="2194"/>
      <c r="Y995" s="2194"/>
      <c r="Z995" s="2194"/>
      <c r="AA995" s="2194"/>
      <c r="AB995" s="2194"/>
      <c r="AC995" s="2194"/>
      <c r="AD995" s="2194"/>
      <c r="AE995" s="2195"/>
      <c r="AF995" s="117"/>
      <c r="AG995" s="2191" t="s">
        <v>695</v>
      </c>
      <c r="AH995" s="2192"/>
      <c r="AI995" s="125"/>
      <c r="AJ995" s="2211">
        <f>IF(AG995="yes",AJ975*BA995,0)</f>
        <v>0</v>
      </c>
      <c r="AK995" s="2212"/>
      <c r="AL995" s="2212"/>
      <c r="AM995" s="2212"/>
      <c r="AN995" s="2212"/>
      <c r="AO995" s="2212"/>
      <c r="AP995" s="2212"/>
      <c r="AQ995" s="221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68" t="s">
        <v>1480</v>
      </c>
      <c r="E996" s="2169"/>
      <c r="F996" s="2169"/>
      <c r="G996" s="2169"/>
      <c r="H996" s="2169"/>
      <c r="I996" s="2169"/>
      <c r="J996" s="2169"/>
      <c r="K996" s="2169"/>
      <c r="L996" s="2169"/>
      <c r="M996" s="2169"/>
      <c r="N996" s="2169"/>
      <c r="O996" s="2169"/>
      <c r="P996" s="2169"/>
      <c r="Q996" s="2169"/>
      <c r="R996" s="2169"/>
      <c r="S996" s="2169"/>
      <c r="T996" s="2169"/>
      <c r="U996" s="2169"/>
      <c r="V996" s="2169"/>
      <c r="W996" s="2169"/>
      <c r="X996" s="2169"/>
      <c r="Y996" s="2169"/>
      <c r="Z996" s="2169"/>
      <c r="AA996" s="2169"/>
      <c r="AB996" s="2169"/>
      <c r="AC996" s="2169"/>
      <c r="AD996" s="2169"/>
      <c r="AE996" s="2170"/>
      <c r="AF996" s="110"/>
      <c r="AG996" s="112"/>
      <c r="AH996" s="112"/>
      <c r="AI996" s="121"/>
      <c r="AJ996" s="2214"/>
      <c r="AK996" s="2215"/>
      <c r="AL996" s="2215"/>
      <c r="AM996" s="2215"/>
      <c r="AN996" s="2215"/>
      <c r="AO996" s="2215"/>
      <c r="AP996" s="2215"/>
      <c r="AQ996" s="2216"/>
      <c r="AR996" s="1436"/>
      <c r="AS996" s="1436"/>
      <c r="AT996" s="1436"/>
      <c r="AU996" s="1436"/>
      <c r="AV996" s="1436"/>
      <c r="AW996" s="1436"/>
      <c r="AX996" s="1436"/>
      <c r="AY996" s="1436"/>
    </row>
    <row r="997" spans="1:96" ht="12.75" customHeight="1">
      <c r="A997" s="51"/>
      <c r="B997" s="110"/>
      <c r="C997" s="111"/>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10"/>
      <c r="AG997" s="112"/>
      <c r="AH997" s="112"/>
      <c r="AI997" s="121"/>
      <c r="AJ997" s="2214"/>
      <c r="AK997" s="2215"/>
      <c r="AL997" s="2215"/>
      <c r="AM997" s="2215"/>
      <c r="AN997" s="2215"/>
      <c r="AO997" s="2215"/>
      <c r="AP997" s="2215"/>
      <c r="AQ997" s="2216"/>
      <c r="AR997" s="1436"/>
      <c r="AS997" s="1436"/>
      <c r="AT997" s="1436"/>
      <c r="AU997" s="1436"/>
      <c r="AV997" s="1436"/>
      <c r="AW997" s="1436"/>
      <c r="AX997" s="1436"/>
      <c r="AY997" s="1436"/>
      <c r="BA997" s="320">
        <f>IF(A1044="Yes",0.05,0)</f>
        <v>0</v>
      </c>
    </row>
    <row r="998" spans="1:96" ht="15" customHeight="1">
      <c r="A998" s="51"/>
      <c r="B998" s="119"/>
      <c r="C998" s="120"/>
      <c r="D998" s="2196"/>
      <c r="E998" s="2197"/>
      <c r="F998" s="2197"/>
      <c r="G998" s="2197"/>
      <c r="H998" s="2197"/>
      <c r="I998" s="2197"/>
      <c r="J998" s="2197"/>
      <c r="K998" s="2197"/>
      <c r="L998" s="2197"/>
      <c r="M998" s="2197"/>
      <c r="N998" s="2197"/>
      <c r="O998" s="2197"/>
      <c r="P998" s="2197"/>
      <c r="Q998" s="2197"/>
      <c r="R998" s="2197"/>
      <c r="S998" s="2197"/>
      <c r="T998" s="2197"/>
      <c r="U998" s="2197"/>
      <c r="V998" s="2197"/>
      <c r="W998" s="2197"/>
      <c r="X998" s="2197"/>
      <c r="Y998" s="2197"/>
      <c r="Z998" s="2197"/>
      <c r="AA998" s="2197"/>
      <c r="AB998" s="2197"/>
      <c r="AC998" s="2197"/>
      <c r="AD998" s="2197"/>
      <c r="AE998" s="2198"/>
      <c r="AF998" s="115"/>
      <c r="AG998" s="11"/>
      <c r="AH998" s="11"/>
      <c r="AI998" s="116"/>
      <c r="AJ998" s="2217"/>
      <c r="AK998" s="2218"/>
      <c r="AL998" s="2218"/>
      <c r="AM998" s="2218"/>
      <c r="AN998" s="2218"/>
      <c r="AO998" s="2218"/>
      <c r="AP998" s="2218"/>
      <c r="AQ998" s="2219"/>
      <c r="AR998" s="1436"/>
      <c r="AS998" s="1436"/>
      <c r="AT998" s="1436"/>
      <c r="AU998" s="1436"/>
      <c r="AV998" s="1436"/>
      <c r="AW998" s="1436"/>
      <c r="AX998" s="1436"/>
      <c r="AY998" s="1436"/>
      <c r="BA998" s="320">
        <f>IF(A1050="Yes",0.02,0)</f>
        <v>0</v>
      </c>
    </row>
    <row r="999" spans="1:96" s="711" customFormat="1" ht="15" customHeight="1">
      <c r="A999" s="51"/>
      <c r="B999" s="117"/>
      <c r="C999" s="118" t="s">
        <v>228</v>
      </c>
      <c r="D999" s="2162" t="s">
        <v>1481</v>
      </c>
      <c r="E999" s="2163"/>
      <c r="F999" s="2163"/>
      <c r="G999" s="2163"/>
      <c r="H999" s="2163"/>
      <c r="I999" s="2163"/>
      <c r="J999" s="2163"/>
      <c r="K999" s="2163"/>
      <c r="L999" s="2163"/>
      <c r="M999" s="2163"/>
      <c r="N999" s="2163"/>
      <c r="O999" s="2163"/>
      <c r="P999" s="2163"/>
      <c r="Q999" s="2163"/>
      <c r="R999" s="2163"/>
      <c r="S999" s="2163"/>
      <c r="T999" s="2163"/>
      <c r="U999" s="2163"/>
      <c r="V999" s="2163"/>
      <c r="W999" s="2163"/>
      <c r="X999" s="2163"/>
      <c r="Y999" s="2163"/>
      <c r="Z999" s="2163"/>
      <c r="AA999" s="2163"/>
      <c r="AB999" s="2163"/>
      <c r="AC999" s="2163"/>
      <c r="AD999" s="2163"/>
      <c r="AE999" s="2164"/>
      <c r="AF999" s="117"/>
      <c r="AG999" s="2191" t="s">
        <v>695</v>
      </c>
      <c r="AH999" s="2192"/>
      <c r="AI999" s="125"/>
      <c r="AJ999" s="2220"/>
      <c r="AK999" s="2221"/>
      <c r="AL999" s="2221"/>
      <c r="AM999" s="2221"/>
      <c r="AN999" s="2221"/>
      <c r="AO999" s="2221"/>
      <c r="AP999" s="2221"/>
      <c r="AQ999" s="2222"/>
      <c r="AR999" s="1436"/>
      <c r="AS999" s="1436"/>
      <c r="AT999" s="1436"/>
      <c r="AU999" s="1436"/>
      <c r="AV999" s="1436"/>
      <c r="AW999" s="1436"/>
      <c r="AX999" s="1436"/>
      <c r="AY999" s="1436"/>
      <c r="BA999" s="320">
        <f>IF(A1056="Yes",0.04,0)</f>
        <v>0</v>
      </c>
      <c r="CR999" s="25"/>
    </row>
    <row r="1000" spans="1:96" ht="12.75">
      <c r="A1000" s="51"/>
      <c r="B1000" s="119"/>
      <c r="C1000" s="122"/>
      <c r="D1000" s="2165"/>
      <c r="E1000" s="2166"/>
      <c r="F1000" s="2166"/>
      <c r="G1000" s="2166"/>
      <c r="H1000" s="2166"/>
      <c r="I1000" s="2166"/>
      <c r="J1000" s="2166"/>
      <c r="K1000" s="2166"/>
      <c r="L1000" s="2166"/>
      <c r="M1000" s="2166"/>
      <c r="N1000" s="2166"/>
      <c r="O1000" s="2166"/>
      <c r="P1000" s="2166"/>
      <c r="Q1000" s="2166"/>
      <c r="R1000" s="2166"/>
      <c r="S1000" s="2166"/>
      <c r="T1000" s="2166"/>
      <c r="U1000" s="2166"/>
      <c r="V1000" s="2166"/>
      <c r="W1000" s="2166"/>
      <c r="X1000" s="2166"/>
      <c r="Y1000" s="2166"/>
      <c r="Z1000" s="2166"/>
      <c r="AA1000" s="2166"/>
      <c r="AB1000" s="2166"/>
      <c r="AC1000" s="2166"/>
      <c r="AD1000" s="2166"/>
      <c r="AE1000" s="2167"/>
      <c r="AF1000" s="2241">
        <f>IF(AG999="yes","Please Select Type and Enter Amount:",0)</f>
        <v>0</v>
      </c>
      <c r="AG1000" s="2242"/>
      <c r="AH1000" s="2242"/>
      <c r="AI1000" s="2243"/>
      <c r="AJ1000" s="2223"/>
      <c r="AK1000" s="2224"/>
      <c r="AL1000" s="2224"/>
      <c r="AM1000" s="2224"/>
      <c r="AN1000" s="2224"/>
      <c r="AO1000" s="2224"/>
      <c r="AP1000" s="2224"/>
      <c r="AQ1000" s="2225"/>
      <c r="AR1000" s="1436"/>
      <c r="AS1000" s="1436"/>
      <c r="AT1000" s="1436"/>
      <c r="AU1000" s="1436"/>
      <c r="AV1000" s="1436"/>
      <c r="AW1000" s="1436"/>
      <c r="AX1000" s="1436"/>
      <c r="AY1000" s="1436"/>
      <c r="BA1000" s="320">
        <f>IF(A1063="Yes",0.04,0)</f>
        <v>0</v>
      </c>
    </row>
    <row r="1001" spans="1:96" ht="12.75" customHeight="1">
      <c r="A1001" s="51"/>
      <c r="B1001" s="119"/>
      <c r="C1001" s="122"/>
      <c r="D1001" s="2168" t="s">
        <v>1482</v>
      </c>
      <c r="E1001" s="2169"/>
      <c r="F1001" s="2169"/>
      <c r="G1001" s="2169"/>
      <c r="H1001" s="2169"/>
      <c r="I1001" s="2169"/>
      <c r="J1001" s="2169"/>
      <c r="K1001" s="2169"/>
      <c r="L1001" s="2169"/>
      <c r="M1001" s="2169"/>
      <c r="N1001" s="2169"/>
      <c r="O1001" s="2169"/>
      <c r="P1001" s="2169"/>
      <c r="Q1001" s="2169"/>
      <c r="R1001" s="2169"/>
      <c r="S1001" s="2169"/>
      <c r="T1001" s="2169"/>
      <c r="U1001" s="2169"/>
      <c r="V1001" s="2169"/>
      <c r="W1001" s="2169"/>
      <c r="X1001" s="2169"/>
      <c r="Y1001" s="2169"/>
      <c r="Z1001" s="2169"/>
      <c r="AA1001" s="2169"/>
      <c r="AB1001" s="2169"/>
      <c r="AC1001" s="2169"/>
      <c r="AD1001" s="2169"/>
      <c r="AE1001" s="2170"/>
      <c r="AF1001" s="2241"/>
      <c r="AG1001" s="2242"/>
      <c r="AH1001" s="2242"/>
      <c r="AI1001" s="2243"/>
      <c r="AJ1001" s="2223"/>
      <c r="AK1001" s="2224"/>
      <c r="AL1001" s="2224"/>
      <c r="AM1001" s="2224"/>
      <c r="AN1001" s="2224"/>
      <c r="AO1001" s="2224"/>
      <c r="AP1001" s="2224"/>
      <c r="AQ1001" s="2225"/>
      <c r="AR1001" s="1436"/>
      <c r="AS1001" s="1436"/>
      <c r="AT1001" s="1436"/>
      <c r="AU1001" s="1436"/>
      <c r="AV1001" s="1436"/>
      <c r="AW1001" s="1436"/>
      <c r="AX1001" s="1436"/>
      <c r="AY1001" s="1436"/>
      <c r="BA1001" s="320">
        <f>IF(A1066="Yes",0.01,0)</f>
        <v>0</v>
      </c>
    </row>
    <row r="1002" spans="1:96" ht="12.75" customHeight="1">
      <c r="A1002" s="51"/>
      <c r="B1002" s="119"/>
      <c r="C1002" s="122"/>
      <c r="D1002" s="2168"/>
      <c r="E1002" s="2169"/>
      <c r="F1002" s="2169"/>
      <c r="G1002" s="2169"/>
      <c r="H1002" s="2169"/>
      <c r="I1002" s="2169"/>
      <c r="J1002" s="2169"/>
      <c r="K1002" s="2169"/>
      <c r="L1002" s="2169"/>
      <c r="M1002" s="2169"/>
      <c r="N1002" s="2169"/>
      <c r="O1002" s="2169"/>
      <c r="P1002" s="2169"/>
      <c r="Q1002" s="2169"/>
      <c r="R1002" s="2169"/>
      <c r="S1002" s="2169"/>
      <c r="T1002" s="2169"/>
      <c r="U1002" s="2169"/>
      <c r="V1002" s="2169"/>
      <c r="W1002" s="2169"/>
      <c r="X1002" s="2169"/>
      <c r="Y1002" s="2169"/>
      <c r="Z1002" s="2169"/>
      <c r="AA1002" s="2169"/>
      <c r="AB1002" s="2169"/>
      <c r="AC1002" s="2169"/>
      <c r="AD1002" s="2169"/>
      <c r="AE1002" s="2170"/>
      <c r="AF1002" s="2241"/>
      <c r="AG1002" s="2242"/>
      <c r="AH1002" s="2242"/>
      <c r="AI1002" s="2243"/>
      <c r="AJ1002" s="2223"/>
      <c r="AK1002" s="2224"/>
      <c r="AL1002" s="2224"/>
      <c r="AM1002" s="2224"/>
      <c r="AN1002" s="2224"/>
      <c r="AO1002" s="2224"/>
      <c r="AP1002" s="2224"/>
      <c r="AQ1002" s="222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171" t="s">
        <v>617</v>
      </c>
      <c r="K1003" s="2172"/>
      <c r="L1003" s="2172"/>
      <c r="M1003" s="2172"/>
      <c r="N1003" s="2172"/>
      <c r="O1003" s="2172"/>
      <c r="P1003" s="2172"/>
      <c r="Q1003" s="2172"/>
      <c r="R1003" s="2172"/>
      <c r="S1003" s="2172"/>
      <c r="T1003" s="2172"/>
      <c r="U1003" s="2172"/>
      <c r="V1003" s="2172"/>
      <c r="W1003" s="2172"/>
      <c r="X1003" s="2172"/>
      <c r="Y1003" s="2172"/>
      <c r="Z1003" s="2172"/>
      <c r="AA1003" s="2172"/>
      <c r="AB1003" s="2172"/>
      <c r="AC1003" s="2172"/>
      <c r="AD1003" s="2172"/>
      <c r="AE1003" s="2173"/>
      <c r="AF1003" s="2244"/>
      <c r="AG1003" s="2245"/>
      <c r="AH1003" s="2245"/>
      <c r="AI1003" s="2246"/>
      <c r="AJ1003" s="2226"/>
      <c r="AK1003" s="2227"/>
      <c r="AL1003" s="2227"/>
      <c r="AM1003" s="2227"/>
      <c r="AN1003" s="2227"/>
      <c r="AO1003" s="2227"/>
      <c r="AP1003" s="2227"/>
      <c r="AQ1003" s="2228"/>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174" t="s">
        <v>1483</v>
      </c>
      <c r="E1004" s="2175"/>
      <c r="F1004" s="2175"/>
      <c r="G1004" s="2175"/>
      <c r="H1004" s="2175"/>
      <c r="I1004" s="2175"/>
      <c r="J1004" s="2175"/>
      <c r="K1004" s="2175"/>
      <c r="L1004" s="2175"/>
      <c r="M1004" s="2175"/>
      <c r="N1004" s="2175"/>
      <c r="O1004" s="2175"/>
      <c r="P1004" s="2175"/>
      <c r="Q1004" s="2175"/>
      <c r="R1004" s="2175"/>
      <c r="S1004" s="2175"/>
      <c r="T1004" s="2175"/>
      <c r="U1004" s="2175"/>
      <c r="V1004" s="2175"/>
      <c r="W1004" s="2175"/>
      <c r="X1004" s="2175"/>
      <c r="Y1004" s="2175"/>
      <c r="Z1004" s="2175"/>
      <c r="AA1004" s="2175"/>
      <c r="AB1004" s="2175"/>
      <c r="AC1004" s="2175"/>
      <c r="AD1004" s="2175"/>
      <c r="AE1004" s="2176"/>
      <c r="AF1004" s="117"/>
      <c r="AG1004" s="2191" t="s">
        <v>570</v>
      </c>
      <c r="AH1004" s="2192"/>
      <c r="AI1004" s="125"/>
      <c r="AJ1004" s="2220">
        <v>251475</v>
      </c>
      <c r="AK1004" s="2221"/>
      <c r="AL1004" s="2221"/>
      <c r="AM1004" s="2221"/>
      <c r="AN1004" s="2221"/>
      <c r="AO1004" s="2221"/>
      <c r="AP1004" s="2221"/>
      <c r="AQ1004" s="2222"/>
      <c r="AR1004" s="1436"/>
      <c r="AS1004" s="1436"/>
      <c r="AT1004" s="1436"/>
      <c r="AU1004" s="1436"/>
      <c r="AV1004" s="1436"/>
      <c r="AW1004" s="1436"/>
      <c r="AX1004" s="1436"/>
      <c r="AY1004" s="1436"/>
      <c r="BA1004" s="320">
        <f>IF(A1078="Yes",0.02,0)</f>
        <v>0</v>
      </c>
    </row>
    <row r="1005" spans="1:96" ht="12.75" customHeight="1">
      <c r="A1005" s="51"/>
      <c r="B1005" s="110"/>
      <c r="C1005" s="111"/>
      <c r="D1005" s="2168" t="s">
        <v>2003</v>
      </c>
      <c r="E1005" s="2169"/>
      <c r="F1005" s="2169"/>
      <c r="G1005" s="2169"/>
      <c r="H1005" s="2169"/>
      <c r="I1005" s="2169"/>
      <c r="J1005" s="2169"/>
      <c r="K1005" s="2169"/>
      <c r="L1005" s="2169"/>
      <c r="M1005" s="2169"/>
      <c r="N1005" s="2169"/>
      <c r="O1005" s="2169"/>
      <c r="P1005" s="2169"/>
      <c r="Q1005" s="2169"/>
      <c r="R1005" s="2169"/>
      <c r="S1005" s="2169"/>
      <c r="T1005" s="2169"/>
      <c r="U1005" s="2169"/>
      <c r="V1005" s="2169"/>
      <c r="W1005" s="2169"/>
      <c r="X1005" s="2169"/>
      <c r="Y1005" s="2169"/>
      <c r="Z1005" s="2169"/>
      <c r="AA1005" s="2169"/>
      <c r="AB1005" s="2169"/>
      <c r="AC1005" s="2169"/>
      <c r="AD1005" s="2169"/>
      <c r="AE1005" s="2170"/>
      <c r="AF1005" s="2156" t="str">
        <f>IF(AG1004="yes","Please Enter Amount:",0)</f>
        <v>Please Enter Amount:</v>
      </c>
      <c r="AG1005" s="2157"/>
      <c r="AH1005" s="2157"/>
      <c r="AI1005" s="2158"/>
      <c r="AJ1005" s="2223"/>
      <c r="AK1005" s="2224"/>
      <c r="AL1005" s="2224"/>
      <c r="AM1005" s="2224"/>
      <c r="AN1005" s="2224"/>
      <c r="AO1005" s="2224"/>
      <c r="AP1005" s="2224"/>
      <c r="AQ1005" s="2225"/>
      <c r="AR1005" s="1436"/>
      <c r="AS1005" s="1436"/>
      <c r="AT1005" s="1436"/>
      <c r="AU1005" s="1436"/>
      <c r="AV1005" s="1436"/>
      <c r="AW1005" s="1436"/>
      <c r="AX1005" s="1436"/>
      <c r="AY1005" s="1436"/>
      <c r="BA1005" s="321">
        <f>IF(A1082="Yes",0.02,0)</f>
        <v>0</v>
      </c>
    </row>
    <row r="1006" spans="1:96" ht="12.75" customHeight="1">
      <c r="A1006" s="51"/>
      <c r="B1006" s="110"/>
      <c r="C1006" s="111"/>
      <c r="D1006" s="2168"/>
      <c r="E1006" s="2169"/>
      <c r="F1006" s="2169"/>
      <c r="G1006" s="2169"/>
      <c r="H1006" s="2169"/>
      <c r="I1006" s="2169"/>
      <c r="J1006" s="2169"/>
      <c r="K1006" s="2169"/>
      <c r="L1006" s="2169"/>
      <c r="M1006" s="2169"/>
      <c r="N1006" s="2169"/>
      <c r="O1006" s="2169"/>
      <c r="P1006" s="2169"/>
      <c r="Q1006" s="2169"/>
      <c r="R1006" s="2169"/>
      <c r="S1006" s="2169"/>
      <c r="T1006" s="2169"/>
      <c r="U1006" s="2169"/>
      <c r="V1006" s="2169"/>
      <c r="W1006" s="2169"/>
      <c r="X1006" s="2169"/>
      <c r="Y1006" s="2169"/>
      <c r="Z1006" s="2169"/>
      <c r="AA1006" s="2169"/>
      <c r="AB1006" s="2169"/>
      <c r="AC1006" s="2169"/>
      <c r="AD1006" s="2169"/>
      <c r="AE1006" s="2170"/>
      <c r="AF1006" s="2156"/>
      <c r="AG1006" s="2157"/>
      <c r="AH1006" s="2157"/>
      <c r="AI1006" s="2158"/>
      <c r="AJ1006" s="2223"/>
      <c r="AK1006" s="2224"/>
      <c r="AL1006" s="2224"/>
      <c r="AM1006" s="2224"/>
      <c r="AN1006" s="2224"/>
      <c r="AO1006" s="2224"/>
      <c r="AP1006" s="2224"/>
      <c r="AQ1006" s="2225"/>
      <c r="AR1006" s="1436"/>
      <c r="AS1006" s="1436"/>
      <c r="AT1006" s="1436"/>
      <c r="AU1006" s="1436"/>
      <c r="AV1006" s="1436"/>
      <c r="AW1006" s="1436"/>
      <c r="AX1006" s="1436"/>
      <c r="AY1006" s="1436"/>
    </row>
    <row r="1007" spans="1:96" ht="12.75" customHeight="1">
      <c r="A1007" s="51"/>
      <c r="B1007" s="123"/>
      <c r="C1007" s="122"/>
      <c r="D1007" s="2196"/>
      <c r="E1007" s="2197"/>
      <c r="F1007" s="2197"/>
      <c r="G1007" s="2197"/>
      <c r="H1007" s="2197"/>
      <c r="I1007" s="2197"/>
      <c r="J1007" s="2197"/>
      <c r="K1007" s="2197"/>
      <c r="L1007" s="2197"/>
      <c r="M1007" s="2197"/>
      <c r="N1007" s="2197"/>
      <c r="O1007" s="2197"/>
      <c r="P1007" s="2197"/>
      <c r="Q1007" s="2197"/>
      <c r="R1007" s="2197"/>
      <c r="S1007" s="2197"/>
      <c r="T1007" s="2197"/>
      <c r="U1007" s="2197"/>
      <c r="V1007" s="2197"/>
      <c r="W1007" s="2197"/>
      <c r="X1007" s="2197"/>
      <c r="Y1007" s="2197"/>
      <c r="Z1007" s="2197"/>
      <c r="AA1007" s="2197"/>
      <c r="AB1007" s="2197"/>
      <c r="AC1007" s="2197"/>
      <c r="AD1007" s="2197"/>
      <c r="AE1007" s="2198"/>
      <c r="AF1007" s="2159"/>
      <c r="AG1007" s="2160"/>
      <c r="AH1007" s="2160"/>
      <c r="AI1007" s="2161"/>
      <c r="AJ1007" s="2226"/>
      <c r="AK1007" s="2227"/>
      <c r="AL1007" s="2227"/>
      <c r="AM1007" s="2227"/>
      <c r="AN1007" s="2227"/>
      <c r="AO1007" s="2227"/>
      <c r="AP1007" s="2227"/>
      <c r="AQ1007" s="2228"/>
      <c r="AR1007" s="1436"/>
      <c r="AS1007" s="1436"/>
      <c r="AT1007" s="1436"/>
      <c r="AU1007" s="1436"/>
      <c r="AV1007" s="1436"/>
      <c r="AW1007" s="1436"/>
      <c r="AX1007" s="1436"/>
      <c r="AY1007" s="1436"/>
    </row>
    <row r="1008" spans="1:96" s="711" customFormat="1" ht="12.75" customHeight="1">
      <c r="A1008" s="51"/>
      <c r="B1008" s="117"/>
      <c r="C1008" s="118" t="s">
        <v>239</v>
      </c>
      <c r="D1008" s="2193" t="s">
        <v>1484</v>
      </c>
      <c r="E1008" s="2194"/>
      <c r="F1008" s="2194"/>
      <c r="G1008" s="2194"/>
      <c r="H1008" s="2194"/>
      <c r="I1008" s="2194"/>
      <c r="J1008" s="2194"/>
      <c r="K1008" s="2194"/>
      <c r="L1008" s="2194"/>
      <c r="M1008" s="2194"/>
      <c r="N1008" s="2194"/>
      <c r="O1008" s="2194"/>
      <c r="P1008" s="2194"/>
      <c r="Q1008" s="2194"/>
      <c r="R1008" s="2194"/>
      <c r="S1008" s="2194"/>
      <c r="T1008" s="2194"/>
      <c r="U1008" s="2194"/>
      <c r="V1008" s="2194"/>
      <c r="W1008" s="2194"/>
      <c r="X1008" s="2194"/>
      <c r="Y1008" s="2194"/>
      <c r="Z1008" s="2194"/>
      <c r="AA1008" s="2194"/>
      <c r="AB1008" s="2194"/>
      <c r="AC1008" s="2194"/>
      <c r="AD1008" s="2194"/>
      <c r="AE1008" s="2195"/>
      <c r="AF1008" s="117"/>
      <c r="AG1008" s="2191" t="s">
        <v>570</v>
      </c>
      <c r="AH1008" s="2192"/>
      <c r="AI1008" s="125"/>
      <c r="AJ1008" s="2211">
        <f>ROUND(IF(AG1008="yes",(AJ975*0.1),0),0)</f>
        <v>1807134</v>
      </c>
      <c r="AK1008" s="2212"/>
      <c r="AL1008" s="2212"/>
      <c r="AM1008" s="2212"/>
      <c r="AN1008" s="2212"/>
      <c r="AO1008" s="2212"/>
      <c r="AP1008" s="2212"/>
      <c r="AQ1008" s="2213"/>
      <c r="AR1008" s="1436"/>
      <c r="AS1008" s="1436"/>
      <c r="AT1008" s="1436"/>
      <c r="AU1008" s="1436"/>
      <c r="AV1008" s="1436"/>
      <c r="AW1008" s="1436"/>
      <c r="AX1008" s="1436"/>
      <c r="AY1008" s="1436"/>
      <c r="CR1008" s="25"/>
    </row>
    <row r="1009" spans="1:96" ht="12.75" customHeight="1">
      <c r="A1009" s="51"/>
      <c r="B1009" s="110"/>
      <c r="C1009" s="111"/>
      <c r="D1009" s="2168" t="s">
        <v>1485</v>
      </c>
      <c r="E1009" s="2169"/>
      <c r="F1009" s="2169"/>
      <c r="G1009" s="2169"/>
      <c r="H1009" s="2169"/>
      <c r="I1009" s="2169"/>
      <c r="J1009" s="2169"/>
      <c r="K1009" s="2169"/>
      <c r="L1009" s="2169"/>
      <c r="M1009" s="2169"/>
      <c r="N1009" s="2169"/>
      <c r="O1009" s="2169"/>
      <c r="P1009" s="2169"/>
      <c r="Q1009" s="2169"/>
      <c r="R1009" s="2169"/>
      <c r="S1009" s="2169"/>
      <c r="T1009" s="2169"/>
      <c r="U1009" s="2169"/>
      <c r="V1009" s="2169"/>
      <c r="W1009" s="2169"/>
      <c r="X1009" s="2169"/>
      <c r="Y1009" s="2169"/>
      <c r="Z1009" s="2169"/>
      <c r="AA1009" s="2169"/>
      <c r="AB1009" s="2169"/>
      <c r="AC1009" s="2169"/>
      <c r="AD1009" s="2169"/>
      <c r="AE1009" s="2170"/>
      <c r="AF1009" s="110"/>
      <c r="AG1009" s="112"/>
      <c r="AH1009" s="112"/>
      <c r="AI1009" s="121"/>
      <c r="AJ1009" s="2214"/>
      <c r="AK1009" s="2215"/>
      <c r="AL1009" s="2215"/>
      <c r="AM1009" s="2215"/>
      <c r="AN1009" s="2215"/>
      <c r="AO1009" s="2215"/>
      <c r="AP1009" s="2215"/>
      <c r="AQ1009" s="2216"/>
      <c r="AR1009" s="1436"/>
      <c r="AS1009" s="1436"/>
      <c r="AT1009" s="1436"/>
      <c r="AU1009" s="1436"/>
      <c r="AV1009" s="1436"/>
      <c r="AW1009" s="1436"/>
      <c r="AX1009" s="1436"/>
      <c r="AY1009" s="1436"/>
    </row>
    <row r="1010" spans="1:96" ht="12.75" customHeight="1">
      <c r="A1010" s="51"/>
      <c r="B1010" s="115"/>
      <c r="C1010" s="111"/>
      <c r="D1010" s="2196"/>
      <c r="E1010" s="2197"/>
      <c r="F1010" s="2197"/>
      <c r="G1010" s="2197"/>
      <c r="H1010" s="2197"/>
      <c r="I1010" s="2197"/>
      <c r="J1010" s="2197"/>
      <c r="K1010" s="2197"/>
      <c r="L1010" s="2197"/>
      <c r="M1010" s="2197"/>
      <c r="N1010" s="2197"/>
      <c r="O1010" s="2197"/>
      <c r="P1010" s="2197"/>
      <c r="Q1010" s="2197"/>
      <c r="R1010" s="2197"/>
      <c r="S1010" s="2197"/>
      <c r="T1010" s="2197"/>
      <c r="U1010" s="2197"/>
      <c r="V1010" s="2197"/>
      <c r="W1010" s="2197"/>
      <c r="X1010" s="2197"/>
      <c r="Y1010" s="2197"/>
      <c r="Z1010" s="2197"/>
      <c r="AA1010" s="2197"/>
      <c r="AB1010" s="2197"/>
      <c r="AC1010" s="2197"/>
      <c r="AD1010" s="2197"/>
      <c r="AE1010" s="2198"/>
      <c r="AF1010" s="110"/>
      <c r="AG1010" s="112"/>
      <c r="AH1010" s="112"/>
      <c r="AI1010" s="121"/>
      <c r="AJ1010" s="2217"/>
      <c r="AK1010" s="2218"/>
      <c r="AL1010" s="2218"/>
      <c r="AM1010" s="2218"/>
      <c r="AN1010" s="2218"/>
      <c r="AO1010" s="2218"/>
      <c r="AP1010" s="2218"/>
      <c r="AQ1010" s="2219"/>
      <c r="AR1010" s="1436"/>
      <c r="AS1010" s="1436"/>
      <c r="AT1010" s="1436"/>
      <c r="AU1010" s="1436"/>
      <c r="AV1010" s="1436"/>
      <c r="AW1010" s="1436"/>
      <c r="AX1010" s="1436"/>
      <c r="AY1010" s="1436"/>
    </row>
    <row r="1011" spans="1:96" s="711" customFormat="1" ht="12.75" customHeight="1">
      <c r="A1011" s="51"/>
      <c r="B1011" s="110"/>
      <c r="C1011" s="524" t="s">
        <v>714</v>
      </c>
      <c r="D1011" s="2174" t="s">
        <v>1999</v>
      </c>
      <c r="E1011" s="2175"/>
      <c r="F1011" s="2175"/>
      <c r="G1011" s="2175"/>
      <c r="H1011" s="2175"/>
      <c r="I1011" s="2175"/>
      <c r="J1011" s="2175"/>
      <c r="K1011" s="2175"/>
      <c r="L1011" s="2175"/>
      <c r="M1011" s="2175"/>
      <c r="N1011" s="2175"/>
      <c r="O1011" s="2175"/>
      <c r="P1011" s="2175"/>
      <c r="Q1011" s="2175"/>
      <c r="R1011" s="2175"/>
      <c r="S1011" s="2175"/>
      <c r="T1011" s="2175"/>
      <c r="U1011" s="2175"/>
      <c r="V1011" s="2175"/>
      <c r="W1011" s="2175"/>
      <c r="X1011" s="2175"/>
      <c r="Y1011" s="2175"/>
      <c r="Z1011" s="2175"/>
      <c r="AA1011" s="2175"/>
      <c r="AB1011" s="2175"/>
      <c r="AC1011" s="2175"/>
      <c r="AD1011" s="2175"/>
      <c r="AE1011" s="2176"/>
      <c r="AF1011" s="117"/>
      <c r="AG1011" s="2191" t="s">
        <v>695</v>
      </c>
      <c r="AH1011" s="2192"/>
      <c r="AI1011" s="125"/>
      <c r="AJ1011" s="2211">
        <f>ROUND(IF(AG1011="yes",(AJ975*0.15),0),0)</f>
        <v>0</v>
      </c>
      <c r="AK1011" s="2212"/>
      <c r="AL1011" s="2212"/>
      <c r="AM1011" s="2212"/>
      <c r="AN1011" s="2212"/>
      <c r="AO1011" s="2212"/>
      <c r="AP1011" s="2212"/>
      <c r="AQ1011" s="2213"/>
      <c r="AR1011" s="1436"/>
      <c r="AS1011" s="1436"/>
      <c r="AT1011" s="1436"/>
      <c r="AU1011" s="1436"/>
      <c r="AV1011" s="1436"/>
      <c r="AW1011" s="1436"/>
      <c r="AX1011" s="1436"/>
      <c r="AY1011" s="1436"/>
      <c r="CR1011" s="25"/>
    </row>
    <row r="1012" spans="1:96" s="711" customFormat="1" ht="12.75" customHeight="1">
      <c r="A1012" s="51"/>
      <c r="B1012" s="110"/>
      <c r="C1012" s="111"/>
      <c r="D1012" s="2205" t="s">
        <v>2000</v>
      </c>
      <c r="E1012" s="2206"/>
      <c r="F1012" s="2206"/>
      <c r="G1012" s="2206"/>
      <c r="H1012" s="2206"/>
      <c r="I1012" s="2206"/>
      <c r="J1012" s="2206"/>
      <c r="K1012" s="2206"/>
      <c r="L1012" s="2206"/>
      <c r="M1012" s="2206"/>
      <c r="N1012" s="2206"/>
      <c r="O1012" s="2206"/>
      <c r="P1012" s="2206"/>
      <c r="Q1012" s="2206"/>
      <c r="R1012" s="2206"/>
      <c r="S1012" s="2206"/>
      <c r="T1012" s="2206"/>
      <c r="U1012" s="2206"/>
      <c r="V1012" s="2206"/>
      <c r="W1012" s="2206"/>
      <c r="X1012" s="2206"/>
      <c r="Y1012" s="2206"/>
      <c r="Z1012" s="2206"/>
      <c r="AA1012" s="2206"/>
      <c r="AB1012" s="2206"/>
      <c r="AC1012" s="2206"/>
      <c r="AD1012" s="2206"/>
      <c r="AE1012" s="2207"/>
      <c r="AF1012" s="1464"/>
      <c r="AG1012" s="1465"/>
      <c r="AH1012" s="1465"/>
      <c r="AI1012" s="1466"/>
      <c r="AJ1012" s="2214"/>
      <c r="AK1012" s="2215"/>
      <c r="AL1012" s="2215"/>
      <c r="AM1012" s="2215"/>
      <c r="AN1012" s="2215"/>
      <c r="AO1012" s="2215"/>
      <c r="AP1012" s="2215"/>
      <c r="AQ1012" s="2216"/>
      <c r="AR1012" s="1436"/>
      <c r="AS1012" s="1436"/>
      <c r="AT1012" s="1436"/>
      <c r="AU1012" s="1436"/>
      <c r="AV1012" s="1436"/>
      <c r="AW1012" s="1436"/>
      <c r="AX1012" s="1436"/>
      <c r="AY1012" s="1436"/>
      <c r="CR1012" s="25"/>
    </row>
    <row r="1013" spans="1:96" s="711" customFormat="1" ht="12.75" customHeight="1">
      <c r="A1013" s="51"/>
      <c r="B1013" s="110"/>
      <c r="C1013" s="111"/>
      <c r="D1013" s="2205"/>
      <c r="E1013" s="2206"/>
      <c r="F1013" s="2206"/>
      <c r="G1013" s="2206"/>
      <c r="H1013" s="2206"/>
      <c r="I1013" s="2206"/>
      <c r="J1013" s="2206"/>
      <c r="K1013" s="2206"/>
      <c r="L1013" s="2206"/>
      <c r="M1013" s="2206"/>
      <c r="N1013" s="2206"/>
      <c r="O1013" s="2206"/>
      <c r="P1013" s="2206"/>
      <c r="Q1013" s="2206"/>
      <c r="R1013" s="2206"/>
      <c r="S1013" s="2206"/>
      <c r="T1013" s="2206"/>
      <c r="U1013" s="2206"/>
      <c r="V1013" s="2206"/>
      <c r="W1013" s="2206"/>
      <c r="X1013" s="2206"/>
      <c r="Y1013" s="2206"/>
      <c r="Z1013" s="2206"/>
      <c r="AA1013" s="2206"/>
      <c r="AB1013" s="2206"/>
      <c r="AC1013" s="2206"/>
      <c r="AD1013" s="2206"/>
      <c r="AE1013" s="2207"/>
      <c r="AF1013" s="1464"/>
      <c r="AG1013" s="1465"/>
      <c r="AH1013" s="1465"/>
      <c r="AI1013" s="1466"/>
      <c r="AJ1013" s="2214"/>
      <c r="AK1013" s="2215"/>
      <c r="AL1013" s="2215"/>
      <c r="AM1013" s="2215"/>
      <c r="AN1013" s="2215"/>
      <c r="AO1013" s="2215"/>
      <c r="AP1013" s="2215"/>
      <c r="AQ1013" s="2216"/>
      <c r="AR1013" s="1436"/>
      <c r="AS1013" s="1436"/>
      <c r="AT1013" s="1436"/>
      <c r="AU1013" s="1436"/>
      <c r="AV1013" s="1436"/>
      <c r="AW1013" s="1436"/>
      <c r="AX1013" s="1436"/>
      <c r="AY1013" s="1436"/>
      <c r="CR1013" s="25"/>
    </row>
    <row r="1014" spans="1:96" s="711" customFormat="1" ht="12.75" customHeight="1">
      <c r="A1014" s="51"/>
      <c r="B1014" s="110"/>
      <c r="C1014" s="111"/>
      <c r="D1014" s="2208"/>
      <c r="E1014" s="2209"/>
      <c r="F1014" s="2209"/>
      <c r="G1014" s="2209"/>
      <c r="H1014" s="2209"/>
      <c r="I1014" s="2209"/>
      <c r="J1014" s="2209"/>
      <c r="K1014" s="2209"/>
      <c r="L1014" s="2209"/>
      <c r="M1014" s="2209"/>
      <c r="N1014" s="2209"/>
      <c r="O1014" s="2209"/>
      <c r="P1014" s="2209"/>
      <c r="Q1014" s="2209"/>
      <c r="R1014" s="2209"/>
      <c r="S1014" s="2209"/>
      <c r="T1014" s="2209"/>
      <c r="U1014" s="2209"/>
      <c r="V1014" s="2209"/>
      <c r="W1014" s="2209"/>
      <c r="X1014" s="2209"/>
      <c r="Y1014" s="2209"/>
      <c r="Z1014" s="2209"/>
      <c r="AA1014" s="2209"/>
      <c r="AB1014" s="2209"/>
      <c r="AC1014" s="2209"/>
      <c r="AD1014" s="2209"/>
      <c r="AE1014" s="2210"/>
      <c r="AF1014" s="1467"/>
      <c r="AG1014" s="1468"/>
      <c r="AH1014" s="1468"/>
      <c r="AI1014" s="1469"/>
      <c r="AJ1014" s="2217"/>
      <c r="AK1014" s="2218"/>
      <c r="AL1014" s="2218"/>
      <c r="AM1014" s="2218"/>
      <c r="AN1014" s="2218"/>
      <c r="AO1014" s="2218"/>
      <c r="AP1014" s="2218"/>
      <c r="AQ1014" s="2219"/>
      <c r="AR1014" s="1436"/>
      <c r="AS1014" s="1436"/>
      <c r="AT1014" s="1436"/>
      <c r="AU1014" s="1436"/>
      <c r="AV1014" s="1436"/>
      <c r="AW1014" s="1436"/>
      <c r="AX1014" s="1436"/>
      <c r="AY1014" s="1436"/>
      <c r="CR1014" s="25"/>
    </row>
    <row r="1015" spans="1:96" s="711" customFormat="1" ht="12.75" customHeight="1">
      <c r="A1015" s="51"/>
      <c r="B1015" s="110"/>
      <c r="C1015" s="524" t="s">
        <v>714</v>
      </c>
      <c r="D1015" s="2193" t="s">
        <v>2001</v>
      </c>
      <c r="E1015" s="2194"/>
      <c r="F1015" s="2194"/>
      <c r="G1015" s="2194"/>
      <c r="H1015" s="2194"/>
      <c r="I1015" s="2194"/>
      <c r="J1015" s="2194"/>
      <c r="K1015" s="2194"/>
      <c r="L1015" s="2194"/>
      <c r="M1015" s="2194"/>
      <c r="N1015" s="2194"/>
      <c r="O1015" s="2194"/>
      <c r="P1015" s="2194"/>
      <c r="Q1015" s="2194"/>
      <c r="R1015" s="2194"/>
      <c r="S1015" s="2194"/>
      <c r="T1015" s="2194"/>
      <c r="U1015" s="2194"/>
      <c r="V1015" s="2194"/>
      <c r="W1015" s="2194"/>
      <c r="X1015" s="2194"/>
      <c r="Y1015" s="2194"/>
      <c r="Z1015" s="2194"/>
      <c r="AA1015" s="2194"/>
      <c r="AB1015" s="2194"/>
      <c r="AC1015" s="2194"/>
      <c r="AD1015" s="2194"/>
      <c r="AE1015" s="2195"/>
      <c r="AF1015" s="110"/>
      <c r="AG1015" s="2292" t="s">
        <v>695</v>
      </c>
      <c r="AH1015" s="2293"/>
      <c r="AI1015" s="121"/>
      <c r="AJ1015" s="2211">
        <f>ROUND(IF(AND(AG1015="yes",AJ1011=0),(AJ975*0.1),0),0)</f>
        <v>0</v>
      </c>
      <c r="AK1015" s="2212"/>
      <c r="AL1015" s="2212"/>
      <c r="AM1015" s="2212"/>
      <c r="AN1015" s="2212"/>
      <c r="AO1015" s="2212"/>
      <c r="AP1015" s="2212"/>
      <c r="AQ1015" s="2213"/>
      <c r="AR1015" s="1436"/>
      <c r="AS1015" s="1436"/>
      <c r="AT1015" s="1436"/>
      <c r="AU1015" s="1436"/>
      <c r="AV1015" s="1436"/>
      <c r="AW1015" s="1436"/>
      <c r="AX1015" s="1436"/>
      <c r="AY1015" s="1436"/>
      <c r="CR1015" s="25"/>
    </row>
    <row r="1016" spans="1:96" s="711" customFormat="1" ht="12.75" customHeight="1">
      <c r="A1016" s="51"/>
      <c r="B1016" s="110"/>
      <c r="C1016" s="111"/>
      <c r="D1016" s="2205" t="s">
        <v>2002</v>
      </c>
      <c r="E1016" s="2206"/>
      <c r="F1016" s="2206"/>
      <c r="G1016" s="2206"/>
      <c r="H1016" s="2206"/>
      <c r="I1016" s="2206"/>
      <c r="J1016" s="2206"/>
      <c r="K1016" s="2206"/>
      <c r="L1016" s="2206"/>
      <c r="M1016" s="2206"/>
      <c r="N1016" s="2206"/>
      <c r="O1016" s="2206"/>
      <c r="P1016" s="2206"/>
      <c r="Q1016" s="2206"/>
      <c r="R1016" s="2206"/>
      <c r="S1016" s="2206"/>
      <c r="T1016" s="2206"/>
      <c r="U1016" s="2206"/>
      <c r="V1016" s="2206"/>
      <c r="W1016" s="2206"/>
      <c r="X1016" s="2206"/>
      <c r="Y1016" s="2206"/>
      <c r="Z1016" s="2206"/>
      <c r="AA1016" s="2206"/>
      <c r="AB1016" s="2206"/>
      <c r="AC1016" s="2206"/>
      <c r="AD1016" s="2206"/>
      <c r="AE1016" s="2207"/>
      <c r="AF1016" s="110"/>
      <c r="AG1016" s="112"/>
      <c r="AH1016" s="112"/>
      <c r="AI1016" s="121"/>
      <c r="AJ1016" s="2214"/>
      <c r="AK1016" s="2215"/>
      <c r="AL1016" s="2215"/>
      <c r="AM1016" s="2215"/>
      <c r="AN1016" s="2215"/>
      <c r="AO1016" s="2215"/>
      <c r="AP1016" s="2215"/>
      <c r="AQ1016" s="2216"/>
      <c r="AR1016" s="1436"/>
      <c r="AS1016" s="1436"/>
      <c r="AT1016" s="1436"/>
      <c r="AU1016" s="1436"/>
      <c r="AV1016" s="1436"/>
      <c r="AW1016" s="1436"/>
      <c r="AX1016" s="1436"/>
      <c r="AY1016" s="1436"/>
      <c r="CR1016" s="25"/>
    </row>
    <row r="1017" spans="1:96" s="711" customFormat="1" ht="12.75" customHeight="1">
      <c r="A1017" s="51"/>
      <c r="B1017" s="110"/>
      <c r="C1017" s="111"/>
      <c r="D1017" s="2205"/>
      <c r="E1017" s="2206"/>
      <c r="F1017" s="2206"/>
      <c r="G1017" s="2206"/>
      <c r="H1017" s="2206"/>
      <c r="I1017" s="2206"/>
      <c r="J1017" s="2206"/>
      <c r="K1017" s="2206"/>
      <c r="L1017" s="2206"/>
      <c r="M1017" s="2206"/>
      <c r="N1017" s="2206"/>
      <c r="O1017" s="2206"/>
      <c r="P1017" s="2206"/>
      <c r="Q1017" s="2206"/>
      <c r="R1017" s="2206"/>
      <c r="S1017" s="2206"/>
      <c r="T1017" s="2206"/>
      <c r="U1017" s="2206"/>
      <c r="V1017" s="2206"/>
      <c r="W1017" s="2206"/>
      <c r="X1017" s="2206"/>
      <c r="Y1017" s="2206"/>
      <c r="Z1017" s="2206"/>
      <c r="AA1017" s="2206"/>
      <c r="AB1017" s="2206"/>
      <c r="AC1017" s="2206"/>
      <c r="AD1017" s="2206"/>
      <c r="AE1017" s="2207"/>
      <c r="AF1017" s="110"/>
      <c r="AG1017" s="112"/>
      <c r="AH1017" s="112"/>
      <c r="AI1017" s="121"/>
      <c r="AJ1017" s="2214"/>
      <c r="AK1017" s="2215"/>
      <c r="AL1017" s="2215"/>
      <c r="AM1017" s="2215"/>
      <c r="AN1017" s="2215"/>
      <c r="AO1017" s="2215"/>
      <c r="AP1017" s="2215"/>
      <c r="AQ1017" s="2216"/>
      <c r="AR1017" s="1436"/>
      <c r="AS1017" s="1436"/>
      <c r="AT1017" s="1436"/>
      <c r="AU1017" s="1436"/>
      <c r="AV1017" s="1436"/>
      <c r="AW1017" s="1436"/>
      <c r="AX1017" s="1436"/>
      <c r="AY1017" s="1436"/>
      <c r="CR1017" s="25"/>
    </row>
    <row r="1018" spans="1:96" s="711" customFormat="1" ht="12.75" customHeight="1">
      <c r="A1018" s="51"/>
      <c r="B1018" s="110"/>
      <c r="C1018" s="111"/>
      <c r="D1018" s="2205"/>
      <c r="E1018" s="2206"/>
      <c r="F1018" s="2206"/>
      <c r="G1018" s="2206"/>
      <c r="H1018" s="2206"/>
      <c r="I1018" s="2206"/>
      <c r="J1018" s="2206"/>
      <c r="K1018" s="2206"/>
      <c r="L1018" s="2206"/>
      <c r="M1018" s="2206"/>
      <c r="N1018" s="2206"/>
      <c r="O1018" s="2206"/>
      <c r="P1018" s="2206"/>
      <c r="Q1018" s="2206"/>
      <c r="R1018" s="2206"/>
      <c r="S1018" s="2206"/>
      <c r="T1018" s="2206"/>
      <c r="U1018" s="2206"/>
      <c r="V1018" s="2206"/>
      <c r="W1018" s="2206"/>
      <c r="X1018" s="2206"/>
      <c r="Y1018" s="2206"/>
      <c r="Z1018" s="2206"/>
      <c r="AA1018" s="2206"/>
      <c r="AB1018" s="2206"/>
      <c r="AC1018" s="2206"/>
      <c r="AD1018" s="2206"/>
      <c r="AE1018" s="2207"/>
      <c r="AF1018" s="110"/>
      <c r="AG1018" s="112"/>
      <c r="AH1018" s="112"/>
      <c r="AI1018" s="121"/>
      <c r="AJ1018" s="2214"/>
      <c r="AK1018" s="2215"/>
      <c r="AL1018" s="2215"/>
      <c r="AM1018" s="2215"/>
      <c r="AN1018" s="2215"/>
      <c r="AO1018" s="2215"/>
      <c r="AP1018" s="2215"/>
      <c r="AQ1018" s="2216"/>
      <c r="AR1018" s="1436"/>
      <c r="AS1018" s="1436"/>
      <c r="AT1018" s="1436"/>
      <c r="AU1018" s="1436"/>
      <c r="AV1018" s="1436"/>
      <c r="AW1018" s="1436"/>
      <c r="AX1018" s="1436"/>
      <c r="AY1018" s="1436"/>
      <c r="CR1018" s="25"/>
    </row>
    <row r="1019" spans="1:96" s="711" customFormat="1" ht="12.75" customHeight="1">
      <c r="A1019" s="51"/>
      <c r="B1019" s="110"/>
      <c r="C1019" s="111"/>
      <c r="D1019" s="2208"/>
      <c r="E1019" s="2209"/>
      <c r="F1019" s="2209"/>
      <c r="G1019" s="2209"/>
      <c r="H1019" s="2209"/>
      <c r="I1019" s="2209"/>
      <c r="J1019" s="2209"/>
      <c r="K1019" s="2209"/>
      <c r="L1019" s="2209"/>
      <c r="M1019" s="2209"/>
      <c r="N1019" s="2209"/>
      <c r="O1019" s="2209"/>
      <c r="P1019" s="2209"/>
      <c r="Q1019" s="2209"/>
      <c r="R1019" s="2209"/>
      <c r="S1019" s="2209"/>
      <c r="T1019" s="2209"/>
      <c r="U1019" s="2209"/>
      <c r="V1019" s="2209"/>
      <c r="W1019" s="2209"/>
      <c r="X1019" s="2209"/>
      <c r="Y1019" s="2209"/>
      <c r="Z1019" s="2209"/>
      <c r="AA1019" s="2209"/>
      <c r="AB1019" s="2209"/>
      <c r="AC1019" s="2209"/>
      <c r="AD1019" s="2209"/>
      <c r="AE1019" s="2210"/>
      <c r="AF1019" s="110"/>
      <c r="AG1019" s="112"/>
      <c r="AH1019" s="112"/>
      <c r="AI1019" s="121"/>
      <c r="AJ1019" s="2214"/>
      <c r="AK1019" s="2215"/>
      <c r="AL1019" s="2215"/>
      <c r="AM1019" s="2215"/>
      <c r="AN1019" s="2215"/>
      <c r="AO1019" s="2215"/>
      <c r="AP1019" s="2215"/>
      <c r="AQ1019" s="2216"/>
      <c r="AR1019" s="1436"/>
      <c r="AS1019" s="1436"/>
      <c r="AT1019" s="1436"/>
      <c r="AU1019" s="1436"/>
      <c r="AV1019" s="1436"/>
      <c r="AW1019" s="1436"/>
      <c r="AX1019" s="1436"/>
      <c r="AY1019" s="1436"/>
      <c r="CR1019" s="25"/>
    </row>
    <row r="1020" spans="1:96" s="711" customFormat="1" ht="12.75" customHeight="1">
      <c r="A1020" s="51"/>
      <c r="B1020" s="117"/>
      <c r="C1020" s="198" t="s">
        <v>1087</v>
      </c>
      <c r="D1020" s="2174" t="s">
        <v>1486</v>
      </c>
      <c r="E1020" s="2175"/>
      <c r="F1020" s="2175"/>
      <c r="G1020" s="2175"/>
      <c r="H1020" s="2175"/>
      <c r="I1020" s="2175"/>
      <c r="J1020" s="2175"/>
      <c r="K1020" s="2175"/>
      <c r="L1020" s="2175"/>
      <c r="M1020" s="2175"/>
      <c r="N1020" s="2175"/>
      <c r="O1020" s="2175"/>
      <c r="P1020" s="2175"/>
      <c r="Q1020" s="2175"/>
      <c r="R1020" s="2175"/>
      <c r="S1020" s="2175"/>
      <c r="T1020" s="2175"/>
      <c r="U1020" s="2175"/>
      <c r="V1020" s="2175"/>
      <c r="W1020" s="2175"/>
      <c r="X1020" s="2175"/>
      <c r="Y1020" s="2175"/>
      <c r="Z1020" s="2175"/>
      <c r="AA1020" s="2175"/>
      <c r="AB1020" s="2175"/>
      <c r="AC1020" s="2175"/>
      <c r="AD1020" s="2175"/>
      <c r="AE1020" s="2176"/>
      <c r="AF1020" s="117"/>
      <c r="AG1020" s="2191" t="s">
        <v>695</v>
      </c>
      <c r="AH1020" s="2192"/>
      <c r="AI1020" s="125"/>
      <c r="AJ1020" s="2211">
        <f>ROUND(IF(AG1020="yes",(AJ975*0.1),0),0)</f>
        <v>0</v>
      </c>
      <c r="AK1020" s="2212"/>
      <c r="AL1020" s="2212"/>
      <c r="AM1020" s="2212"/>
      <c r="AN1020" s="2212"/>
      <c r="AO1020" s="2212"/>
      <c r="AP1020" s="2212"/>
      <c r="AQ1020" s="2213"/>
      <c r="AR1020" s="1436"/>
      <c r="AS1020" s="1436"/>
      <c r="AT1020" s="1436"/>
      <c r="AU1020" s="1436"/>
      <c r="AV1020" s="1436"/>
      <c r="AW1020" s="1436"/>
      <c r="AX1020" s="1436"/>
      <c r="AY1020" s="1436"/>
      <c r="CR1020" s="25"/>
    </row>
    <row r="1021" spans="1:96" ht="12.75" customHeight="1">
      <c r="A1021" s="51"/>
      <c r="B1021" s="110"/>
      <c r="C1021" s="111"/>
      <c r="D1021" s="2168" t="s">
        <v>2590</v>
      </c>
      <c r="E1021" s="2169"/>
      <c r="F1021" s="2169"/>
      <c r="G1021" s="2169"/>
      <c r="H1021" s="2169"/>
      <c r="I1021" s="2169"/>
      <c r="J1021" s="2169"/>
      <c r="K1021" s="2169"/>
      <c r="L1021" s="2169"/>
      <c r="M1021" s="2169"/>
      <c r="N1021" s="2169"/>
      <c r="O1021" s="2169"/>
      <c r="P1021" s="2169"/>
      <c r="Q1021" s="2169"/>
      <c r="R1021" s="2169"/>
      <c r="S1021" s="2169"/>
      <c r="T1021" s="2169"/>
      <c r="U1021" s="2169"/>
      <c r="V1021" s="2169"/>
      <c r="W1021" s="2169"/>
      <c r="X1021" s="2169"/>
      <c r="Y1021" s="2169"/>
      <c r="Z1021" s="2169"/>
      <c r="AA1021" s="2169"/>
      <c r="AB1021" s="2169"/>
      <c r="AC1021" s="2169"/>
      <c r="AD1021" s="2169"/>
      <c r="AE1021" s="2170"/>
      <c r="AF1021" s="110"/>
      <c r="AG1021" s="112"/>
      <c r="AH1021" s="112"/>
      <c r="AI1021" s="121"/>
      <c r="AJ1021" s="2214"/>
      <c r="AK1021" s="2215"/>
      <c r="AL1021" s="2215"/>
      <c r="AM1021" s="2215"/>
      <c r="AN1021" s="2215"/>
      <c r="AO1021" s="2215"/>
      <c r="AP1021" s="2215"/>
      <c r="AQ1021" s="2216"/>
      <c r="AR1021" s="1436"/>
      <c r="AS1021" s="1436"/>
      <c r="AT1021" s="1436"/>
      <c r="AU1021" s="1436"/>
      <c r="AV1021" s="1436"/>
      <c r="AW1021" s="1436"/>
      <c r="AX1021" s="1436"/>
      <c r="AY1021" s="1436"/>
    </row>
    <row r="1022" spans="1:96" ht="12.75" customHeight="1">
      <c r="A1022" s="51"/>
      <c r="B1022" s="110"/>
      <c r="C1022" s="111"/>
      <c r="D1022" s="2168"/>
      <c r="E1022" s="2169"/>
      <c r="F1022" s="2169"/>
      <c r="G1022" s="2169"/>
      <c r="H1022" s="2169"/>
      <c r="I1022" s="2169"/>
      <c r="J1022" s="2169"/>
      <c r="K1022" s="2169"/>
      <c r="L1022" s="2169"/>
      <c r="M1022" s="2169"/>
      <c r="N1022" s="2169"/>
      <c r="O1022" s="2169"/>
      <c r="P1022" s="2169"/>
      <c r="Q1022" s="2169"/>
      <c r="R1022" s="2169"/>
      <c r="S1022" s="2169"/>
      <c r="T1022" s="2169"/>
      <c r="U1022" s="2169"/>
      <c r="V1022" s="2169"/>
      <c r="W1022" s="2169"/>
      <c r="X1022" s="2169"/>
      <c r="Y1022" s="2169"/>
      <c r="Z1022" s="2169"/>
      <c r="AA1022" s="2169"/>
      <c r="AB1022" s="2169"/>
      <c r="AC1022" s="2169"/>
      <c r="AD1022" s="2169"/>
      <c r="AE1022" s="2170"/>
      <c r="AF1022" s="110"/>
      <c r="AG1022" s="112"/>
      <c r="AH1022" s="112"/>
      <c r="AI1022" s="121"/>
      <c r="AJ1022" s="2214"/>
      <c r="AK1022" s="2215"/>
      <c r="AL1022" s="2215"/>
      <c r="AM1022" s="2215"/>
      <c r="AN1022" s="2215"/>
      <c r="AO1022" s="2215"/>
      <c r="AP1022" s="2215"/>
      <c r="AQ1022" s="2216"/>
      <c r="AR1022" s="1436"/>
      <c r="AS1022" s="1436"/>
      <c r="AT1022" s="1436"/>
      <c r="AU1022" s="1436"/>
      <c r="AV1022" s="1436"/>
      <c r="AW1022" s="1436"/>
      <c r="AX1022" s="1436"/>
      <c r="AY1022" s="1436"/>
    </row>
    <row r="1023" spans="1:96" s="674" customFormat="1" ht="12.75" customHeight="1">
      <c r="A1023" s="51"/>
      <c r="B1023" s="110"/>
      <c r="C1023" s="111"/>
      <c r="D1023" s="2196"/>
      <c r="E1023" s="2197"/>
      <c r="F1023" s="2197"/>
      <c r="G1023" s="2197"/>
      <c r="H1023" s="2197"/>
      <c r="I1023" s="2197"/>
      <c r="J1023" s="2197"/>
      <c r="K1023" s="2197"/>
      <c r="L1023" s="2197"/>
      <c r="M1023" s="2197"/>
      <c r="N1023" s="2197"/>
      <c r="O1023" s="2197"/>
      <c r="P1023" s="2197"/>
      <c r="Q1023" s="2197"/>
      <c r="R1023" s="2197"/>
      <c r="S1023" s="2197"/>
      <c r="T1023" s="2197"/>
      <c r="U1023" s="2197"/>
      <c r="V1023" s="2197"/>
      <c r="W1023" s="2197"/>
      <c r="X1023" s="2197"/>
      <c r="Y1023" s="2197"/>
      <c r="Z1023" s="2197"/>
      <c r="AA1023" s="2197"/>
      <c r="AB1023" s="2197"/>
      <c r="AC1023" s="2197"/>
      <c r="AD1023" s="2197"/>
      <c r="AE1023" s="2198"/>
      <c r="AF1023" s="110"/>
      <c r="AG1023" s="112"/>
      <c r="AH1023" s="112"/>
      <c r="AI1023" s="121"/>
      <c r="AJ1023" s="2217"/>
      <c r="AK1023" s="2218"/>
      <c r="AL1023" s="2218"/>
      <c r="AM1023" s="2218"/>
      <c r="AN1023" s="2218"/>
      <c r="AO1023" s="2218"/>
      <c r="AP1023" s="2218"/>
      <c r="AQ1023" s="2219"/>
      <c r="AR1023" s="1436"/>
      <c r="AS1023" s="1436"/>
      <c r="AT1023" s="1436"/>
      <c r="AU1023" s="1436"/>
      <c r="AV1023" s="1436"/>
      <c r="AW1023" s="1436"/>
      <c r="AX1023" s="1436"/>
      <c r="AY1023" s="1436"/>
      <c r="CR1023" s="25"/>
    </row>
    <row r="1024" spans="1:96" ht="12.75" customHeight="1">
      <c r="A1024" s="51"/>
      <c r="B1024" s="117"/>
      <c r="C1024" s="198" t="s">
        <v>1997</v>
      </c>
      <c r="D1024" s="2193" t="s">
        <v>2183</v>
      </c>
      <c r="E1024" s="2194"/>
      <c r="F1024" s="2194"/>
      <c r="G1024" s="2194"/>
      <c r="H1024" s="2194"/>
      <c r="I1024" s="2194"/>
      <c r="J1024" s="2194"/>
      <c r="K1024" s="2194"/>
      <c r="L1024" s="2194"/>
      <c r="M1024" s="2194"/>
      <c r="N1024" s="2194"/>
      <c r="O1024" s="2194"/>
      <c r="P1024" s="2194"/>
      <c r="Q1024" s="2194"/>
      <c r="R1024" s="2194"/>
      <c r="S1024" s="2194"/>
      <c r="T1024" s="2194"/>
      <c r="U1024" s="2194"/>
      <c r="V1024" s="2194"/>
      <c r="W1024" s="2194"/>
      <c r="X1024" s="2194"/>
      <c r="Y1024" s="2194"/>
      <c r="Z1024" s="2194"/>
      <c r="AA1024" s="2194"/>
      <c r="AB1024" s="2194"/>
      <c r="AC1024" s="2194"/>
      <c r="AD1024" s="2194"/>
      <c r="AE1024" s="2195"/>
      <c r="AF1024" s="117"/>
      <c r="AG1024" s="2290" t="str">
        <f>IF(X1027&gt;0,"Yes","No")</f>
        <v>Yes</v>
      </c>
      <c r="AH1024" s="2291"/>
      <c r="AI1024" s="125"/>
      <c r="AJ1024" s="2294">
        <f>IF((X1027=0),0,BA989*AJ975)</f>
        <v>8312815.4800000004</v>
      </c>
      <c r="AK1024" s="2295"/>
      <c r="AL1024" s="2295"/>
      <c r="AM1024" s="2295"/>
      <c r="AN1024" s="2295"/>
      <c r="AO1024" s="2295"/>
      <c r="AP1024" s="2295"/>
      <c r="AQ1024" s="2296"/>
      <c r="AR1024" s="1436"/>
      <c r="AS1024" s="1436"/>
      <c r="AT1024" s="1436"/>
      <c r="AU1024" s="1436"/>
      <c r="AV1024" s="1436"/>
      <c r="AW1024" s="1436"/>
      <c r="AX1024" s="1436"/>
      <c r="AY1024" s="1436"/>
    </row>
    <row r="1025" spans="1:96" ht="12.75" customHeight="1">
      <c r="A1025" s="51"/>
      <c r="B1025" s="110"/>
      <c r="C1025" s="694"/>
      <c r="D1025" s="2168" t="s">
        <v>1488</v>
      </c>
      <c r="E1025" s="2169"/>
      <c r="F1025" s="2169"/>
      <c r="G1025" s="2169"/>
      <c r="H1025" s="2169"/>
      <c r="I1025" s="2169"/>
      <c r="J1025" s="2169"/>
      <c r="K1025" s="2169"/>
      <c r="L1025" s="2169"/>
      <c r="M1025" s="2169"/>
      <c r="N1025" s="2169"/>
      <c r="O1025" s="2169"/>
      <c r="P1025" s="2169"/>
      <c r="Q1025" s="2169"/>
      <c r="R1025" s="2169"/>
      <c r="S1025" s="2169"/>
      <c r="T1025" s="2169"/>
      <c r="U1025" s="2169"/>
      <c r="V1025" s="2169"/>
      <c r="W1025" s="2169"/>
      <c r="X1025" s="2169"/>
      <c r="Y1025" s="2169"/>
      <c r="Z1025" s="2169"/>
      <c r="AA1025" s="2169"/>
      <c r="AB1025" s="2169"/>
      <c r="AC1025" s="2169"/>
      <c r="AD1025" s="2169"/>
      <c r="AE1025" s="2170"/>
      <c r="AF1025" s="110"/>
      <c r="AG1025" s="695"/>
      <c r="AH1025" s="695"/>
      <c r="AI1025" s="121"/>
      <c r="AJ1025" s="2297"/>
      <c r="AK1025" s="2298"/>
      <c r="AL1025" s="2298"/>
      <c r="AM1025" s="2298"/>
      <c r="AN1025" s="2298"/>
      <c r="AO1025" s="2298"/>
      <c r="AP1025" s="2298"/>
      <c r="AQ1025" s="2299"/>
      <c r="AR1025" s="1436"/>
      <c r="AS1025" s="1436"/>
      <c r="AT1025" s="1436"/>
      <c r="AU1025" s="1436"/>
      <c r="AV1025" s="1436"/>
      <c r="AW1025" s="1436"/>
      <c r="AX1025" s="1436"/>
      <c r="AY1025" s="1436"/>
    </row>
    <row r="1026" spans="1:96" ht="12.75" customHeight="1">
      <c r="A1026" s="51"/>
      <c r="B1026" s="110"/>
      <c r="C1026" s="694"/>
      <c r="D1026" s="2168"/>
      <c r="E1026" s="2169"/>
      <c r="F1026" s="2169"/>
      <c r="G1026" s="2169"/>
      <c r="H1026" s="2169"/>
      <c r="I1026" s="2169"/>
      <c r="J1026" s="2169"/>
      <c r="K1026" s="2169"/>
      <c r="L1026" s="2169"/>
      <c r="M1026" s="2169"/>
      <c r="N1026" s="2169"/>
      <c r="O1026" s="2169"/>
      <c r="P1026" s="2169"/>
      <c r="Q1026" s="2169"/>
      <c r="R1026" s="2169"/>
      <c r="S1026" s="2169"/>
      <c r="T1026" s="2169"/>
      <c r="U1026" s="2169"/>
      <c r="V1026" s="2169"/>
      <c r="W1026" s="2169"/>
      <c r="X1026" s="2169"/>
      <c r="Y1026" s="2169"/>
      <c r="Z1026" s="2169"/>
      <c r="AA1026" s="2169"/>
      <c r="AB1026" s="2169"/>
      <c r="AC1026" s="2169"/>
      <c r="AD1026" s="2169"/>
      <c r="AE1026" s="2170"/>
      <c r="AF1026" s="110"/>
      <c r="AG1026" s="695"/>
      <c r="AH1026" s="695"/>
      <c r="AI1026" s="121"/>
      <c r="AJ1026" s="2297"/>
      <c r="AK1026" s="2298"/>
      <c r="AL1026" s="2298"/>
      <c r="AM1026" s="2298"/>
      <c r="AN1026" s="2298"/>
      <c r="AO1026" s="2298"/>
      <c r="AP1026" s="2298"/>
      <c r="AQ1026" s="2299"/>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288">
        <f>BA987</f>
        <v>47</v>
      </c>
      <c r="J1027" s="2289"/>
      <c r="K1027" s="11"/>
      <c r="L1027" s="200"/>
      <c r="M1027" s="200"/>
      <c r="N1027" s="200"/>
      <c r="O1027" s="200"/>
      <c r="P1027" s="200"/>
      <c r="Q1027" s="200"/>
      <c r="R1027" s="200"/>
      <c r="S1027" s="200"/>
      <c r="T1027" s="200"/>
      <c r="U1027" s="200"/>
      <c r="V1027" s="201" t="s">
        <v>1032</v>
      </c>
      <c r="W1027" s="80"/>
      <c r="X1027" s="2286">
        <f>BG635</f>
        <v>22</v>
      </c>
      <c r="Y1027" s="2287"/>
      <c r="Z1027" s="80"/>
      <c r="AA1027" s="80"/>
      <c r="AB1027" s="80"/>
      <c r="AC1027" s="80"/>
      <c r="AD1027" s="80"/>
      <c r="AE1027" s="81"/>
      <c r="AF1027" s="1473"/>
      <c r="AG1027" s="1474"/>
      <c r="AH1027" s="1474"/>
      <c r="AI1027" s="1475"/>
      <c r="AJ1027" s="2300"/>
      <c r="AK1027" s="2301"/>
      <c r="AL1027" s="2301"/>
      <c r="AM1027" s="2301"/>
      <c r="AN1027" s="2301"/>
      <c r="AO1027" s="2301"/>
      <c r="AP1027" s="2301"/>
      <c r="AQ1027" s="2302"/>
      <c r="AR1027" s="1436"/>
      <c r="AS1027" s="1436"/>
      <c r="AT1027" s="1436"/>
      <c r="AU1027" s="1436"/>
      <c r="AV1027" s="1436"/>
      <c r="AW1027" s="1436"/>
      <c r="AX1027" s="1436"/>
      <c r="AY1027" s="1436"/>
      <c r="CR1027" s="25"/>
    </row>
    <row r="1028" spans="1:96" ht="12.75" customHeight="1">
      <c r="A1028" s="51"/>
      <c r="B1028" s="117"/>
      <c r="C1028" s="198" t="s">
        <v>1998</v>
      </c>
      <c r="D1028" s="2174" t="s">
        <v>2184</v>
      </c>
      <c r="E1028" s="2175"/>
      <c r="F1028" s="2175"/>
      <c r="G1028" s="2175"/>
      <c r="H1028" s="2175"/>
      <c r="I1028" s="2175"/>
      <c r="J1028" s="2175"/>
      <c r="K1028" s="2175"/>
      <c r="L1028" s="2175"/>
      <c r="M1028" s="2175"/>
      <c r="N1028" s="2175"/>
      <c r="O1028" s="2175"/>
      <c r="P1028" s="2175"/>
      <c r="Q1028" s="2175"/>
      <c r="R1028" s="2175"/>
      <c r="S1028" s="2175"/>
      <c r="T1028" s="2175"/>
      <c r="U1028" s="2175"/>
      <c r="V1028" s="2175"/>
      <c r="W1028" s="2175"/>
      <c r="X1028" s="2175"/>
      <c r="Y1028" s="2175"/>
      <c r="Z1028" s="2175"/>
      <c r="AA1028" s="2175"/>
      <c r="AB1028" s="2175"/>
      <c r="AC1028" s="2175"/>
      <c r="AD1028" s="2175"/>
      <c r="AE1028" s="2176"/>
      <c r="AF1028" s="110"/>
      <c r="AG1028" s="2290" t="str">
        <f>IF(X1031&gt;0,"Yes","No")</f>
        <v>Yes</v>
      </c>
      <c r="AH1028" s="2291"/>
      <c r="AI1028" s="121"/>
      <c r="AJ1028" s="2294">
        <f>IF((X1031=0),0,(2*BA990)*AJ975)</f>
        <v>15179923.92</v>
      </c>
      <c r="AK1028" s="2295"/>
      <c r="AL1028" s="2295"/>
      <c r="AM1028" s="2295"/>
      <c r="AN1028" s="2295"/>
      <c r="AO1028" s="2295"/>
      <c r="AP1028" s="2295"/>
      <c r="AQ1028" s="2296"/>
      <c r="AR1028" s="1436"/>
      <c r="AS1028" s="1436"/>
      <c r="AT1028" s="1436"/>
      <c r="AU1028" s="1436"/>
      <c r="AV1028" s="1436"/>
      <c r="AW1028" s="1436"/>
      <c r="AX1028" s="1436"/>
      <c r="AY1028" s="1436"/>
    </row>
    <row r="1029" spans="1:96" ht="12.75" customHeight="1">
      <c r="A1029" s="51"/>
      <c r="B1029" s="110"/>
      <c r="C1029" s="694"/>
      <c r="D1029" s="2168" t="s">
        <v>1487</v>
      </c>
      <c r="E1029" s="2169"/>
      <c r="F1029" s="2169"/>
      <c r="G1029" s="2169"/>
      <c r="H1029" s="2169"/>
      <c r="I1029" s="2169"/>
      <c r="J1029" s="2169"/>
      <c r="K1029" s="2169"/>
      <c r="L1029" s="2169"/>
      <c r="M1029" s="2169"/>
      <c r="N1029" s="2169"/>
      <c r="O1029" s="2169"/>
      <c r="P1029" s="2169"/>
      <c r="Q1029" s="2169"/>
      <c r="R1029" s="2169"/>
      <c r="S1029" s="2169"/>
      <c r="T1029" s="2169"/>
      <c r="U1029" s="2169"/>
      <c r="V1029" s="2169"/>
      <c r="W1029" s="2169"/>
      <c r="X1029" s="2169"/>
      <c r="Y1029" s="2169"/>
      <c r="Z1029" s="2169"/>
      <c r="AA1029" s="2169"/>
      <c r="AB1029" s="2169"/>
      <c r="AC1029" s="2169"/>
      <c r="AD1029" s="2169"/>
      <c r="AE1029" s="2170"/>
      <c r="AF1029" s="110"/>
      <c r="AG1029" s="695"/>
      <c r="AH1029" s="695"/>
      <c r="AI1029" s="121"/>
      <c r="AJ1029" s="2297"/>
      <c r="AK1029" s="2298"/>
      <c r="AL1029" s="2298"/>
      <c r="AM1029" s="2298"/>
      <c r="AN1029" s="2298"/>
      <c r="AO1029" s="2298"/>
      <c r="AP1029" s="2298"/>
      <c r="AQ1029" s="2299"/>
      <c r="AR1029" s="1436"/>
      <c r="AS1029" s="1436"/>
      <c r="AT1029" s="1436"/>
      <c r="AU1029" s="1436"/>
      <c r="AV1029" s="1436"/>
      <c r="AW1029" s="1436"/>
      <c r="AX1029" s="1436"/>
      <c r="AY1029" s="1436"/>
    </row>
    <row r="1030" spans="1:96" ht="12.75" customHeight="1">
      <c r="A1030" s="51"/>
      <c r="B1030" s="110"/>
      <c r="C1030" s="121"/>
      <c r="D1030" s="2168"/>
      <c r="E1030" s="2169"/>
      <c r="F1030" s="2169"/>
      <c r="G1030" s="2169"/>
      <c r="H1030" s="2169"/>
      <c r="I1030" s="2169"/>
      <c r="J1030" s="2169"/>
      <c r="K1030" s="2169"/>
      <c r="L1030" s="2169"/>
      <c r="M1030" s="2169"/>
      <c r="N1030" s="2169"/>
      <c r="O1030" s="2169"/>
      <c r="P1030" s="2169"/>
      <c r="Q1030" s="2169"/>
      <c r="R1030" s="2169"/>
      <c r="S1030" s="2169"/>
      <c r="T1030" s="2169"/>
      <c r="U1030" s="2169"/>
      <c r="V1030" s="2169"/>
      <c r="W1030" s="2169"/>
      <c r="X1030" s="2169"/>
      <c r="Y1030" s="2169"/>
      <c r="Z1030" s="2169"/>
      <c r="AA1030" s="2169"/>
      <c r="AB1030" s="2169"/>
      <c r="AC1030" s="2169"/>
      <c r="AD1030" s="2169"/>
      <c r="AE1030" s="2170"/>
      <c r="AF1030" s="1470"/>
      <c r="AG1030" s="1471"/>
      <c r="AH1030" s="1471"/>
      <c r="AI1030" s="1472"/>
      <c r="AJ1030" s="2297"/>
      <c r="AK1030" s="2298"/>
      <c r="AL1030" s="2298"/>
      <c r="AM1030" s="2298"/>
      <c r="AN1030" s="2298"/>
      <c r="AO1030" s="2298"/>
      <c r="AP1030" s="2298"/>
      <c r="AQ1030" s="2299"/>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288">
        <f>BA987</f>
        <v>47</v>
      </c>
      <c r="J1031" s="2289"/>
      <c r="K1031" s="51"/>
      <c r="L1031" s="200"/>
      <c r="M1031" s="200"/>
      <c r="N1031" s="200"/>
      <c r="O1031" s="200"/>
      <c r="P1031" s="200"/>
      <c r="Q1031" s="200"/>
      <c r="R1031" s="200"/>
      <c r="S1031" s="200"/>
      <c r="T1031" s="200"/>
      <c r="U1031" s="200"/>
      <c r="V1031" s="201" t="s">
        <v>1033</v>
      </c>
      <c r="X1031" s="2286">
        <f>BK635</f>
        <v>20</v>
      </c>
      <c r="Y1031" s="2287"/>
      <c r="AF1031" s="1473"/>
      <c r="AG1031" s="1474"/>
      <c r="AH1031" s="1474"/>
      <c r="AI1031" s="1475"/>
      <c r="AJ1031" s="2300"/>
      <c r="AK1031" s="2301"/>
      <c r="AL1031" s="2301"/>
      <c r="AM1031" s="2301"/>
      <c r="AN1031" s="2301"/>
      <c r="AO1031" s="2301"/>
      <c r="AP1031" s="2301"/>
      <c r="AQ1031" s="2302"/>
      <c r="AR1031" s="1436"/>
      <c r="AS1031" s="1436"/>
      <c r="AT1031" s="1436"/>
      <c r="AU1031" s="1436"/>
      <c r="AV1031" s="1436"/>
      <c r="AW1031" s="1436"/>
      <c r="AX1031" s="1436"/>
      <c r="AY1031" s="1436"/>
      <c r="CR1031" s="25"/>
    </row>
    <row r="1032" spans="1:96" ht="12.75" customHeight="1">
      <c r="A1032" s="51"/>
      <c r="B1032" s="158"/>
      <c r="C1032" s="159"/>
      <c r="D1032" s="2284" t="s">
        <v>538</v>
      </c>
      <c r="E1032" s="2284"/>
      <c r="F1032" s="2284"/>
      <c r="G1032" s="2284"/>
      <c r="H1032" s="2284"/>
      <c r="I1032" s="2284"/>
      <c r="J1032" s="2284"/>
      <c r="K1032" s="2284"/>
      <c r="L1032" s="2284"/>
      <c r="M1032" s="2284"/>
      <c r="N1032" s="2284"/>
      <c r="O1032" s="2284"/>
      <c r="P1032" s="2284"/>
      <c r="Q1032" s="2284"/>
      <c r="R1032" s="2284"/>
      <c r="S1032" s="2284"/>
      <c r="T1032" s="2284"/>
      <c r="U1032" s="2284"/>
      <c r="V1032" s="2284"/>
      <c r="W1032" s="2284"/>
      <c r="X1032" s="2284"/>
      <c r="Y1032" s="2284"/>
      <c r="Z1032" s="2284"/>
      <c r="AA1032" s="2284"/>
      <c r="AB1032" s="2284"/>
      <c r="AC1032" s="2284"/>
      <c r="AD1032" s="2284"/>
      <c r="AE1032" s="2284"/>
      <c r="AF1032" s="2284"/>
      <c r="AG1032" s="2284"/>
      <c r="AH1032" s="2284"/>
      <c r="AI1032" s="2285"/>
      <c r="AJ1032" s="2303">
        <f>SUM(AJ975:AQ1031)</f>
        <v>49044088.400000006</v>
      </c>
      <c r="AK1032" s="2304"/>
      <c r="AL1032" s="2304"/>
      <c r="AM1032" s="2304"/>
      <c r="AN1032" s="2304"/>
      <c r="AO1032" s="2304"/>
      <c r="AP1032" s="2304"/>
      <c r="AQ1032" s="2305"/>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12">
        <f>IF(ISNA(IF((AJ999&gt;(AJ975*0.15)),"(f) cannot be greater than 15% of unadjusted eligible basis.",0)),"",(IF((AJ999&gt;(AJ975*0.15)),"(f) cannot be greater than 15% of unadjusted eligible basis.",0)))</f>
        <v>0</v>
      </c>
      <c r="C1039" s="2412"/>
      <c r="D1039" s="2412"/>
      <c r="E1039" s="2412"/>
      <c r="F1039" s="2412"/>
      <c r="G1039" s="2412"/>
      <c r="H1039" s="2412"/>
      <c r="I1039" s="2412"/>
      <c r="J1039" s="2412"/>
      <c r="K1039" s="2412"/>
      <c r="L1039" s="2412"/>
      <c r="M1039" s="2412"/>
      <c r="N1039" s="2412"/>
      <c r="O1039" s="2412"/>
      <c r="P1039" s="2412"/>
      <c r="Q1039" s="2412"/>
      <c r="R1039" s="2412"/>
      <c r="S1039" s="2412"/>
      <c r="T1039" s="2412"/>
      <c r="U1039" s="2412"/>
      <c r="V1039" s="2412"/>
      <c r="W1039" s="2412"/>
      <c r="X1039" s="2412"/>
      <c r="Y1039" s="2412"/>
      <c r="Z1039" s="2412"/>
      <c r="AA1039" s="2412"/>
      <c r="AB1039" s="2412"/>
      <c r="AC1039" s="2412"/>
      <c r="AD1039" s="2412"/>
      <c r="AE1039" s="2412"/>
      <c r="AF1039" s="2412"/>
      <c r="AG1039" s="2412"/>
      <c r="AH1039" s="2412"/>
      <c r="AI1039" s="2412"/>
      <c r="AJ1039" s="2412"/>
      <c r="AK1039" s="2412"/>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54" t="s">
        <v>836</v>
      </c>
      <c r="B1040" s="2454"/>
      <c r="C1040" s="2454"/>
      <c r="D1040" s="2454"/>
      <c r="E1040" s="2454"/>
      <c r="F1040" s="2454"/>
      <c r="G1040" s="2454"/>
      <c r="H1040" s="2454"/>
      <c r="I1040" s="2454"/>
      <c r="J1040" s="2454"/>
      <c r="K1040" s="2454"/>
      <c r="L1040" s="2454"/>
      <c r="M1040" s="2454"/>
      <c r="N1040" s="2454"/>
      <c r="O1040" s="2454"/>
      <c r="P1040" s="2454"/>
      <c r="Q1040" s="2454"/>
      <c r="R1040" s="2454"/>
      <c r="S1040" s="2454"/>
      <c r="T1040" s="2454"/>
      <c r="U1040" s="2454"/>
      <c r="V1040" s="2454"/>
      <c r="W1040" s="2454"/>
      <c r="X1040" s="2454"/>
      <c r="Y1040" s="2454"/>
      <c r="Z1040" s="2454"/>
      <c r="AA1040" s="2454"/>
      <c r="AB1040" s="2454"/>
      <c r="AC1040" s="2454"/>
      <c r="AD1040" s="2454"/>
      <c r="AE1040" s="2454"/>
      <c r="AF1040" s="2454"/>
      <c r="AG1040" s="2454"/>
      <c r="AH1040" s="2454"/>
      <c r="AI1040" s="2454"/>
      <c r="AJ1040" s="2454"/>
      <c r="AK1040" s="2454"/>
      <c r="AL1040" s="24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99" t="s">
        <v>617</v>
      </c>
      <c r="B1044" s="2099"/>
      <c r="C1044" s="13">
        <v>1</v>
      </c>
      <c r="D1044" s="1940" t="s">
        <v>1191</v>
      </c>
      <c r="E1044" s="1940"/>
      <c r="F1044" s="1940"/>
      <c r="G1044" s="1940"/>
      <c r="H1044" s="1940"/>
      <c r="I1044" s="1940"/>
      <c r="J1044" s="1940"/>
      <c r="K1044" s="1940"/>
      <c r="L1044" s="1940"/>
      <c r="M1044" s="1940"/>
      <c r="N1044" s="1940"/>
      <c r="O1044" s="1940"/>
      <c r="P1044" s="1940"/>
      <c r="Q1044" s="1940"/>
      <c r="R1044" s="1940"/>
      <c r="S1044" s="1940"/>
      <c r="T1044" s="1940"/>
      <c r="U1044" s="1940"/>
      <c r="V1044" s="1940"/>
      <c r="W1044" s="1940"/>
      <c r="X1044" s="1940"/>
      <c r="Y1044" s="1940"/>
      <c r="Z1044" s="1940"/>
      <c r="AA1044" s="1940"/>
      <c r="AB1044" s="1940"/>
      <c r="AC1044" s="1940"/>
      <c r="AD1044" s="1940"/>
      <c r="AE1044" s="1940"/>
      <c r="AF1044" s="1940"/>
      <c r="AG1044" s="1940"/>
      <c r="AH1044" s="1940"/>
      <c r="AI1044" s="1940"/>
      <c r="AJ1044" s="1940"/>
      <c r="AK1044" s="194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40"/>
      <c r="E1045" s="1940"/>
      <c r="F1045" s="1940"/>
      <c r="G1045" s="1940"/>
      <c r="H1045" s="1940"/>
      <c r="I1045" s="1940"/>
      <c r="J1045" s="1940"/>
      <c r="K1045" s="1940"/>
      <c r="L1045" s="1940"/>
      <c r="M1045" s="1940"/>
      <c r="N1045" s="1940"/>
      <c r="O1045" s="1940"/>
      <c r="P1045" s="1940"/>
      <c r="Q1045" s="1940"/>
      <c r="R1045" s="1940"/>
      <c r="S1045" s="1940"/>
      <c r="T1045" s="1940"/>
      <c r="U1045" s="1940"/>
      <c r="V1045" s="1940"/>
      <c r="W1045" s="1940"/>
      <c r="X1045" s="1940"/>
      <c r="Y1045" s="1940"/>
      <c r="Z1045" s="1940"/>
      <c r="AA1045" s="1940"/>
      <c r="AB1045" s="1940"/>
      <c r="AC1045" s="1940"/>
      <c r="AD1045" s="1940"/>
      <c r="AE1045" s="1940"/>
      <c r="AF1045" s="1940"/>
      <c r="AG1045" s="1940"/>
      <c r="AH1045" s="1940"/>
      <c r="AI1045" s="1940"/>
      <c r="AJ1045" s="1940"/>
      <c r="AK1045" s="194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40"/>
      <c r="E1046" s="1940"/>
      <c r="F1046" s="1940"/>
      <c r="G1046" s="1940"/>
      <c r="H1046" s="1940"/>
      <c r="I1046" s="1940"/>
      <c r="J1046" s="1940"/>
      <c r="K1046" s="1940"/>
      <c r="L1046" s="1940"/>
      <c r="M1046" s="1940"/>
      <c r="N1046" s="1940"/>
      <c r="O1046" s="1940"/>
      <c r="P1046" s="1940"/>
      <c r="Q1046" s="1940"/>
      <c r="R1046" s="1940"/>
      <c r="S1046" s="1940"/>
      <c r="T1046" s="1940"/>
      <c r="U1046" s="1940"/>
      <c r="V1046" s="1940"/>
      <c r="W1046" s="1940"/>
      <c r="X1046" s="1940"/>
      <c r="Y1046" s="1940"/>
      <c r="Z1046" s="1940"/>
      <c r="AA1046" s="1940"/>
      <c r="AB1046" s="1940"/>
      <c r="AC1046" s="1940"/>
      <c r="AD1046" s="1940"/>
      <c r="AE1046" s="1940"/>
      <c r="AF1046" s="1940"/>
      <c r="AG1046" s="1940"/>
      <c r="AH1046" s="1940"/>
      <c r="AI1046" s="1940"/>
      <c r="AJ1046" s="1940"/>
      <c r="AK1046" s="194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40"/>
      <c r="E1047" s="1940"/>
      <c r="F1047" s="1940"/>
      <c r="G1047" s="1940"/>
      <c r="H1047" s="1940"/>
      <c r="I1047" s="1940"/>
      <c r="J1047" s="1940"/>
      <c r="K1047" s="1940"/>
      <c r="L1047" s="1940"/>
      <c r="M1047" s="1940"/>
      <c r="N1047" s="1940"/>
      <c r="O1047" s="1940"/>
      <c r="P1047" s="1940"/>
      <c r="Q1047" s="1940"/>
      <c r="R1047" s="1940"/>
      <c r="S1047" s="1940"/>
      <c r="T1047" s="1940"/>
      <c r="U1047" s="1940"/>
      <c r="V1047" s="1940"/>
      <c r="W1047" s="1940"/>
      <c r="X1047" s="1940"/>
      <c r="Y1047" s="1940"/>
      <c r="Z1047" s="1940"/>
      <c r="AA1047" s="1940"/>
      <c r="AB1047" s="1940"/>
      <c r="AC1047" s="1940"/>
      <c r="AD1047" s="1940"/>
      <c r="AE1047" s="1940"/>
      <c r="AF1047" s="1940"/>
      <c r="AG1047" s="1940"/>
      <c r="AH1047" s="1940"/>
      <c r="AI1047" s="1940"/>
      <c r="AJ1047" s="1940"/>
      <c r="AK1047" s="194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40"/>
      <c r="E1048" s="1940"/>
      <c r="F1048" s="1940"/>
      <c r="G1048" s="1940"/>
      <c r="H1048" s="1940"/>
      <c r="I1048" s="1940"/>
      <c r="J1048" s="1940"/>
      <c r="K1048" s="1940"/>
      <c r="L1048" s="1940"/>
      <c r="M1048" s="1940"/>
      <c r="N1048" s="1940"/>
      <c r="O1048" s="1940"/>
      <c r="P1048" s="1940"/>
      <c r="Q1048" s="1940"/>
      <c r="R1048" s="1940"/>
      <c r="S1048" s="1940"/>
      <c r="T1048" s="1940"/>
      <c r="U1048" s="1940"/>
      <c r="V1048" s="1940"/>
      <c r="W1048" s="1940"/>
      <c r="X1048" s="1940"/>
      <c r="Y1048" s="1940"/>
      <c r="Z1048" s="1940"/>
      <c r="AA1048" s="1940"/>
      <c r="AB1048" s="1940"/>
      <c r="AC1048" s="1940"/>
      <c r="AD1048" s="1940"/>
      <c r="AE1048" s="1940"/>
      <c r="AF1048" s="1940"/>
      <c r="AG1048" s="1940"/>
      <c r="AH1048" s="1940"/>
      <c r="AI1048" s="1940"/>
      <c r="AJ1048" s="1940"/>
      <c r="AK1048" s="194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40"/>
      <c r="E1049" s="1940"/>
      <c r="F1049" s="1940"/>
      <c r="G1049" s="1940"/>
      <c r="H1049" s="1940"/>
      <c r="I1049" s="1940"/>
      <c r="J1049" s="1940"/>
      <c r="K1049" s="1940"/>
      <c r="L1049" s="1940"/>
      <c r="M1049" s="1940"/>
      <c r="N1049" s="1940"/>
      <c r="O1049" s="1940"/>
      <c r="P1049" s="1940"/>
      <c r="Q1049" s="1940"/>
      <c r="R1049" s="1940"/>
      <c r="S1049" s="1940"/>
      <c r="T1049" s="1940"/>
      <c r="U1049" s="1940"/>
      <c r="V1049" s="1940"/>
      <c r="W1049" s="1940"/>
      <c r="X1049" s="1940"/>
      <c r="Y1049" s="1940"/>
      <c r="Z1049" s="1940"/>
      <c r="AA1049" s="1940"/>
      <c r="AB1049" s="1940"/>
      <c r="AC1049" s="1940"/>
      <c r="AD1049" s="1940"/>
      <c r="AE1049" s="1940"/>
      <c r="AF1049" s="1940"/>
      <c r="AG1049" s="1940"/>
      <c r="AH1049" s="1940"/>
      <c r="AI1049" s="1940"/>
      <c r="AJ1049" s="1940"/>
      <c r="AK1049" s="194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99" t="s">
        <v>617</v>
      </c>
      <c r="B1050" s="2099"/>
      <c r="C1050" s="13">
        <v>2</v>
      </c>
      <c r="D1050" s="1940" t="s">
        <v>1190</v>
      </c>
      <c r="E1050" s="1940"/>
      <c r="F1050" s="1940"/>
      <c r="G1050" s="1940"/>
      <c r="H1050" s="1940"/>
      <c r="I1050" s="1940"/>
      <c r="J1050" s="1940"/>
      <c r="K1050" s="1940"/>
      <c r="L1050" s="1940"/>
      <c r="M1050" s="1940"/>
      <c r="N1050" s="1940"/>
      <c r="O1050" s="1940"/>
      <c r="P1050" s="1940"/>
      <c r="Q1050" s="1940"/>
      <c r="R1050" s="1940"/>
      <c r="S1050" s="1940"/>
      <c r="T1050" s="1940"/>
      <c r="U1050" s="1940"/>
      <c r="V1050" s="1940"/>
      <c r="W1050" s="1940"/>
      <c r="X1050" s="1940"/>
      <c r="Y1050" s="1940"/>
      <c r="Z1050" s="1940"/>
      <c r="AA1050" s="1940"/>
      <c r="AB1050" s="1940"/>
      <c r="AC1050" s="1940"/>
      <c r="AD1050" s="1940"/>
      <c r="AE1050" s="1940"/>
      <c r="AF1050" s="1940"/>
      <c r="AG1050" s="1940"/>
      <c r="AH1050" s="1940"/>
      <c r="AI1050" s="1940"/>
      <c r="AJ1050" s="1940"/>
      <c r="AK1050" s="194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40"/>
      <c r="E1051" s="1940"/>
      <c r="F1051" s="1940"/>
      <c r="G1051" s="1940"/>
      <c r="H1051" s="1940"/>
      <c r="I1051" s="1940"/>
      <c r="J1051" s="1940"/>
      <c r="K1051" s="1940"/>
      <c r="L1051" s="1940"/>
      <c r="M1051" s="1940"/>
      <c r="N1051" s="1940"/>
      <c r="O1051" s="1940"/>
      <c r="P1051" s="1940"/>
      <c r="Q1051" s="1940"/>
      <c r="R1051" s="1940"/>
      <c r="S1051" s="1940"/>
      <c r="T1051" s="1940"/>
      <c r="U1051" s="1940"/>
      <c r="V1051" s="1940"/>
      <c r="W1051" s="1940"/>
      <c r="X1051" s="1940"/>
      <c r="Y1051" s="1940"/>
      <c r="Z1051" s="1940"/>
      <c r="AA1051" s="1940"/>
      <c r="AB1051" s="1940"/>
      <c r="AC1051" s="1940"/>
      <c r="AD1051" s="1940"/>
      <c r="AE1051" s="1940"/>
      <c r="AF1051" s="1940"/>
      <c r="AG1051" s="1940"/>
      <c r="AH1051" s="1940"/>
      <c r="AI1051" s="1940"/>
      <c r="AJ1051" s="1940"/>
      <c r="AK1051" s="194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40"/>
      <c r="E1052" s="1940"/>
      <c r="F1052" s="1940"/>
      <c r="G1052" s="1940"/>
      <c r="H1052" s="1940"/>
      <c r="I1052" s="1940"/>
      <c r="J1052" s="1940"/>
      <c r="K1052" s="1940"/>
      <c r="L1052" s="1940"/>
      <c r="M1052" s="1940"/>
      <c r="N1052" s="1940"/>
      <c r="O1052" s="1940"/>
      <c r="P1052" s="1940"/>
      <c r="Q1052" s="1940"/>
      <c r="R1052" s="1940"/>
      <c r="S1052" s="1940"/>
      <c r="T1052" s="1940"/>
      <c r="U1052" s="1940"/>
      <c r="V1052" s="1940"/>
      <c r="W1052" s="1940"/>
      <c r="X1052" s="1940"/>
      <c r="Y1052" s="1940"/>
      <c r="Z1052" s="1940"/>
      <c r="AA1052" s="1940"/>
      <c r="AB1052" s="1940"/>
      <c r="AC1052" s="1940"/>
      <c r="AD1052" s="1940"/>
      <c r="AE1052" s="1940"/>
      <c r="AF1052" s="1940"/>
      <c r="AG1052" s="1940"/>
      <c r="AH1052" s="1940"/>
      <c r="AI1052" s="1940"/>
      <c r="AJ1052" s="1940"/>
      <c r="AK1052" s="194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40"/>
      <c r="E1053" s="1940"/>
      <c r="F1053" s="1940"/>
      <c r="G1053" s="1940"/>
      <c r="H1053" s="1940"/>
      <c r="I1053" s="1940"/>
      <c r="J1053" s="1940"/>
      <c r="K1053" s="1940"/>
      <c r="L1053" s="1940"/>
      <c r="M1053" s="1940"/>
      <c r="N1053" s="1940"/>
      <c r="O1053" s="1940"/>
      <c r="P1053" s="1940"/>
      <c r="Q1053" s="1940"/>
      <c r="R1053" s="1940"/>
      <c r="S1053" s="1940"/>
      <c r="T1053" s="1940"/>
      <c r="U1053" s="1940"/>
      <c r="V1053" s="1940"/>
      <c r="W1053" s="1940"/>
      <c r="X1053" s="1940"/>
      <c r="Y1053" s="1940"/>
      <c r="Z1053" s="1940"/>
      <c r="AA1053" s="1940"/>
      <c r="AB1053" s="1940"/>
      <c r="AC1053" s="1940"/>
      <c r="AD1053" s="1940"/>
      <c r="AE1053" s="1940"/>
      <c r="AF1053" s="1940"/>
      <c r="AG1053" s="1940"/>
      <c r="AH1053" s="1940"/>
      <c r="AI1053" s="1940"/>
      <c r="AJ1053" s="1940"/>
      <c r="AK1053" s="194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40"/>
      <c r="E1054" s="1940"/>
      <c r="F1054" s="1940"/>
      <c r="G1054" s="1940"/>
      <c r="H1054" s="1940"/>
      <c r="I1054" s="1940"/>
      <c r="J1054" s="1940"/>
      <c r="K1054" s="1940"/>
      <c r="L1054" s="1940"/>
      <c r="M1054" s="1940"/>
      <c r="N1054" s="1940"/>
      <c r="O1054" s="1940"/>
      <c r="P1054" s="1940"/>
      <c r="Q1054" s="1940"/>
      <c r="R1054" s="1940"/>
      <c r="S1054" s="1940"/>
      <c r="T1054" s="1940"/>
      <c r="U1054" s="1940"/>
      <c r="V1054" s="1940"/>
      <c r="W1054" s="1940"/>
      <c r="X1054" s="1940"/>
      <c r="Y1054" s="1940"/>
      <c r="Z1054" s="1940"/>
      <c r="AA1054" s="1940"/>
      <c r="AB1054" s="1940"/>
      <c r="AC1054" s="1940"/>
      <c r="AD1054" s="1940"/>
      <c r="AE1054" s="1940"/>
      <c r="AF1054" s="1940"/>
      <c r="AG1054" s="1940"/>
      <c r="AH1054" s="1940"/>
      <c r="AI1054" s="1940"/>
      <c r="AJ1054" s="1940"/>
      <c r="AK1054" s="194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40"/>
      <c r="E1055" s="1940"/>
      <c r="F1055" s="1940"/>
      <c r="G1055" s="1940"/>
      <c r="H1055" s="1940"/>
      <c r="I1055" s="1940"/>
      <c r="J1055" s="1940"/>
      <c r="K1055" s="1940"/>
      <c r="L1055" s="1940"/>
      <c r="M1055" s="1940"/>
      <c r="N1055" s="1940"/>
      <c r="O1055" s="1940"/>
      <c r="P1055" s="1940"/>
      <c r="Q1055" s="1940"/>
      <c r="R1055" s="1940"/>
      <c r="S1055" s="1940"/>
      <c r="T1055" s="1940"/>
      <c r="U1055" s="1940"/>
      <c r="V1055" s="1940"/>
      <c r="W1055" s="1940"/>
      <c r="X1055" s="1940"/>
      <c r="Y1055" s="1940"/>
      <c r="Z1055" s="1940"/>
      <c r="AA1055" s="1940"/>
      <c r="AB1055" s="1940"/>
      <c r="AC1055" s="1940"/>
      <c r="AD1055" s="1940"/>
      <c r="AE1055" s="1940"/>
      <c r="AF1055" s="1940"/>
      <c r="AG1055" s="1940"/>
      <c r="AH1055" s="1940"/>
      <c r="AI1055" s="1940"/>
      <c r="AJ1055" s="1940"/>
      <c r="AK1055" s="1940"/>
    </row>
    <row r="1056" spans="1:51" ht="12.6" customHeight="1">
      <c r="A1056" s="2099" t="s">
        <v>617</v>
      </c>
      <c r="B1056" s="2099"/>
      <c r="C1056" s="13">
        <v>3</v>
      </c>
      <c r="D1056" s="1940" t="s">
        <v>1471</v>
      </c>
      <c r="E1056" s="1940"/>
      <c r="F1056" s="1940"/>
      <c r="G1056" s="1940"/>
      <c r="H1056" s="1940"/>
      <c r="I1056" s="1940"/>
      <c r="J1056" s="1940"/>
      <c r="K1056" s="1940"/>
      <c r="L1056" s="1940"/>
      <c r="M1056" s="1940"/>
      <c r="N1056" s="1940"/>
      <c r="O1056" s="1940"/>
      <c r="P1056" s="1940"/>
      <c r="Q1056" s="1940"/>
      <c r="R1056" s="1940"/>
      <c r="S1056" s="1940"/>
      <c r="T1056" s="1940"/>
      <c r="U1056" s="1940"/>
      <c r="V1056" s="1940"/>
      <c r="W1056" s="1940"/>
      <c r="X1056" s="1940"/>
      <c r="Y1056" s="1940"/>
      <c r="Z1056" s="1940"/>
      <c r="AA1056" s="1940"/>
      <c r="AB1056" s="1940"/>
      <c r="AC1056" s="1940"/>
      <c r="AD1056" s="1940"/>
      <c r="AE1056" s="1940"/>
      <c r="AF1056" s="1940"/>
      <c r="AG1056" s="1940"/>
      <c r="AH1056" s="1940"/>
      <c r="AI1056" s="1940"/>
      <c r="AJ1056" s="1940"/>
      <c r="AK1056" s="1940"/>
    </row>
    <row r="1057" spans="1:96" ht="12.6" customHeight="1">
      <c r="A1057" s="130"/>
      <c r="B1057" s="130"/>
      <c r="C1057" s="13"/>
      <c r="D1057" s="1940"/>
      <c r="E1057" s="1940"/>
      <c r="F1057" s="1940"/>
      <c r="G1057" s="1940"/>
      <c r="H1057" s="1940"/>
      <c r="I1057" s="1940"/>
      <c r="J1057" s="1940"/>
      <c r="K1057" s="1940"/>
      <c r="L1057" s="1940"/>
      <c r="M1057" s="1940"/>
      <c r="N1057" s="1940"/>
      <c r="O1057" s="1940"/>
      <c r="P1057" s="1940"/>
      <c r="Q1057" s="1940"/>
      <c r="R1057" s="1940"/>
      <c r="S1057" s="1940"/>
      <c r="T1057" s="1940"/>
      <c r="U1057" s="1940"/>
      <c r="V1057" s="1940"/>
      <c r="W1057" s="1940"/>
      <c r="X1057" s="1940"/>
      <c r="Y1057" s="1940"/>
      <c r="Z1057" s="1940"/>
      <c r="AA1057" s="1940"/>
      <c r="AB1057" s="1940"/>
      <c r="AC1057" s="1940"/>
      <c r="AD1057" s="1940"/>
      <c r="AE1057" s="1940"/>
      <c r="AF1057" s="1940"/>
      <c r="AG1057" s="1940"/>
      <c r="AH1057" s="1940"/>
      <c r="AI1057" s="1940"/>
      <c r="AJ1057" s="1940"/>
      <c r="AK1057" s="1940"/>
      <c r="AL1057" s="711"/>
    </row>
    <row r="1058" spans="1:96" ht="12.6" customHeight="1">
      <c r="A1058" s="130"/>
      <c r="B1058" s="130"/>
      <c r="C1058" s="13"/>
      <c r="D1058" s="1940"/>
      <c r="E1058" s="1940"/>
      <c r="F1058" s="1940"/>
      <c r="G1058" s="1940"/>
      <c r="H1058" s="1940"/>
      <c r="I1058" s="1940"/>
      <c r="J1058" s="1940"/>
      <c r="K1058" s="1940"/>
      <c r="L1058" s="1940"/>
      <c r="M1058" s="1940"/>
      <c r="N1058" s="1940"/>
      <c r="O1058" s="1940"/>
      <c r="P1058" s="1940"/>
      <c r="Q1058" s="1940"/>
      <c r="R1058" s="1940"/>
      <c r="S1058" s="1940"/>
      <c r="T1058" s="1940"/>
      <c r="U1058" s="1940"/>
      <c r="V1058" s="1940"/>
      <c r="W1058" s="1940"/>
      <c r="X1058" s="1940"/>
      <c r="Y1058" s="1940"/>
      <c r="Z1058" s="1940"/>
      <c r="AA1058" s="1940"/>
      <c r="AB1058" s="1940"/>
      <c r="AC1058" s="1940"/>
      <c r="AD1058" s="1940"/>
      <c r="AE1058" s="1940"/>
      <c r="AF1058" s="1940"/>
      <c r="AG1058" s="1940"/>
      <c r="AH1058" s="1940"/>
      <c r="AI1058" s="1940"/>
      <c r="AJ1058" s="1940"/>
      <c r="AK1058" s="1940"/>
    </row>
    <row r="1059" spans="1:96" s="711" customFormat="1" ht="12.6" customHeight="1">
      <c r="A1059" s="62"/>
      <c r="B1059" s="66"/>
      <c r="C1059" s="13"/>
      <c r="D1059" s="1940"/>
      <c r="E1059" s="1940"/>
      <c r="F1059" s="1940"/>
      <c r="G1059" s="1940"/>
      <c r="H1059" s="1940"/>
      <c r="I1059" s="1940"/>
      <c r="J1059" s="1940"/>
      <c r="K1059" s="1940"/>
      <c r="L1059" s="1940"/>
      <c r="M1059" s="1940"/>
      <c r="N1059" s="1940"/>
      <c r="O1059" s="1940"/>
      <c r="P1059" s="1940"/>
      <c r="Q1059" s="1940"/>
      <c r="R1059" s="1940"/>
      <c r="S1059" s="1940"/>
      <c r="T1059" s="1940"/>
      <c r="U1059" s="1940"/>
      <c r="V1059" s="1940"/>
      <c r="W1059" s="1940"/>
      <c r="X1059" s="1940"/>
      <c r="Y1059" s="1940"/>
      <c r="Z1059" s="1940"/>
      <c r="AA1059" s="1940"/>
      <c r="AB1059" s="1940"/>
      <c r="AC1059" s="1940"/>
      <c r="AD1059" s="1940"/>
      <c r="AE1059" s="1940"/>
      <c r="AF1059" s="1940"/>
      <c r="AG1059" s="1940"/>
      <c r="AH1059" s="1940"/>
      <c r="AI1059" s="1940"/>
      <c r="AJ1059" s="1940"/>
      <c r="AK1059" s="19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40"/>
      <c r="E1060" s="1940"/>
      <c r="F1060" s="1940"/>
      <c r="G1060" s="1940"/>
      <c r="H1060" s="1940"/>
      <c r="I1060" s="1940"/>
      <c r="J1060" s="1940"/>
      <c r="K1060" s="1940"/>
      <c r="L1060" s="1940"/>
      <c r="M1060" s="1940"/>
      <c r="N1060" s="1940"/>
      <c r="O1060" s="1940"/>
      <c r="P1060" s="1940"/>
      <c r="Q1060" s="1940"/>
      <c r="R1060" s="1940"/>
      <c r="S1060" s="1940"/>
      <c r="T1060" s="1940"/>
      <c r="U1060" s="1940"/>
      <c r="V1060" s="1940"/>
      <c r="W1060" s="1940"/>
      <c r="X1060" s="1940"/>
      <c r="Y1060" s="1940"/>
      <c r="Z1060" s="1940"/>
      <c r="AA1060" s="1940"/>
      <c r="AB1060" s="1940"/>
      <c r="AC1060" s="1940"/>
      <c r="AD1060" s="1940"/>
      <c r="AE1060" s="1940"/>
      <c r="AF1060" s="1940"/>
      <c r="AG1060" s="1940"/>
      <c r="AH1060" s="1940"/>
      <c r="AI1060" s="1940"/>
      <c r="AJ1060" s="1940"/>
      <c r="AK1060" s="1940"/>
    </row>
    <row r="1061" spans="1:96" ht="12.6" customHeight="1">
      <c r="A1061" s="62"/>
      <c r="B1061" s="66"/>
      <c r="C1061" s="13"/>
      <c r="D1061" s="1940"/>
      <c r="E1061" s="1940"/>
      <c r="F1061" s="1940"/>
      <c r="G1061" s="1940"/>
      <c r="H1061" s="1940"/>
      <c r="I1061" s="1940"/>
      <c r="J1061" s="1940"/>
      <c r="K1061" s="1940"/>
      <c r="L1061" s="1940"/>
      <c r="M1061" s="1940"/>
      <c r="N1061" s="1940"/>
      <c r="O1061" s="1940"/>
      <c r="P1061" s="1940"/>
      <c r="Q1061" s="1940"/>
      <c r="R1061" s="1940"/>
      <c r="S1061" s="1940"/>
      <c r="T1061" s="1940"/>
      <c r="U1061" s="1940"/>
      <c r="V1061" s="1940"/>
      <c r="W1061" s="1940"/>
      <c r="X1061" s="1940"/>
      <c r="Y1061" s="1940"/>
      <c r="Z1061" s="1940"/>
      <c r="AA1061" s="1940"/>
      <c r="AB1061" s="1940"/>
      <c r="AC1061" s="1940"/>
      <c r="AD1061" s="1940"/>
      <c r="AE1061" s="1940"/>
      <c r="AF1061" s="1940"/>
      <c r="AG1061" s="1940"/>
      <c r="AH1061" s="1940"/>
      <c r="AI1061" s="1940"/>
      <c r="AJ1061" s="1940"/>
      <c r="AK1061" s="1940"/>
    </row>
    <row r="1062" spans="1:96" ht="12.6" customHeight="1">
      <c r="A1062" s="62"/>
      <c r="B1062" s="66"/>
      <c r="C1062" s="13"/>
      <c r="D1062" s="1940"/>
      <c r="E1062" s="1940"/>
      <c r="F1062" s="1940"/>
      <c r="G1062" s="1940"/>
      <c r="H1062" s="1940"/>
      <c r="I1062" s="1940"/>
      <c r="J1062" s="1940"/>
      <c r="K1062" s="1940"/>
      <c r="L1062" s="1940"/>
      <c r="M1062" s="1940"/>
      <c r="N1062" s="1940"/>
      <c r="O1062" s="1940"/>
      <c r="P1062" s="1940"/>
      <c r="Q1062" s="1940"/>
      <c r="R1062" s="1940"/>
      <c r="S1062" s="1940"/>
      <c r="T1062" s="1940"/>
      <c r="U1062" s="1940"/>
      <c r="V1062" s="1940"/>
      <c r="W1062" s="1940"/>
      <c r="X1062" s="1940"/>
      <c r="Y1062" s="1940"/>
      <c r="Z1062" s="1940"/>
      <c r="AA1062" s="1940"/>
      <c r="AB1062" s="1940"/>
      <c r="AC1062" s="1940"/>
      <c r="AD1062" s="1940"/>
      <c r="AE1062" s="1940"/>
      <c r="AF1062" s="1940"/>
      <c r="AG1062" s="1940"/>
      <c r="AH1062" s="1940"/>
      <c r="AI1062" s="1940"/>
      <c r="AJ1062" s="1940"/>
      <c r="AK1062" s="1940"/>
    </row>
    <row r="1063" spans="1:96" ht="12.6" customHeight="1">
      <c r="A1063" s="2099" t="s">
        <v>617</v>
      </c>
      <c r="B1063" s="2099"/>
      <c r="C1063" s="13">
        <v>4</v>
      </c>
      <c r="D1063" s="1940" t="s">
        <v>1176</v>
      </c>
      <c r="E1063" s="1940"/>
      <c r="F1063" s="1940"/>
      <c r="G1063" s="1940"/>
      <c r="H1063" s="1940"/>
      <c r="I1063" s="1940"/>
      <c r="J1063" s="1940"/>
      <c r="K1063" s="1940"/>
      <c r="L1063" s="1940"/>
      <c r="M1063" s="1940"/>
      <c r="N1063" s="1940"/>
      <c r="O1063" s="1940"/>
      <c r="P1063" s="1940"/>
      <c r="Q1063" s="1940"/>
      <c r="R1063" s="1940"/>
      <c r="S1063" s="1940"/>
      <c r="T1063" s="1940"/>
      <c r="U1063" s="1940"/>
      <c r="V1063" s="1940"/>
      <c r="W1063" s="1940"/>
      <c r="X1063" s="1940"/>
      <c r="Y1063" s="1940"/>
      <c r="Z1063" s="1940"/>
      <c r="AA1063" s="1940"/>
      <c r="AB1063" s="1940"/>
      <c r="AC1063" s="1940"/>
      <c r="AD1063" s="1940"/>
      <c r="AE1063" s="1940"/>
      <c r="AF1063" s="1940"/>
      <c r="AG1063" s="1940"/>
      <c r="AH1063" s="1940"/>
      <c r="AI1063" s="1940"/>
      <c r="AJ1063" s="1940"/>
      <c r="AK1063" s="1940"/>
    </row>
    <row r="1064" spans="1:96" ht="12.6" customHeight="1">
      <c r="A1064" s="235"/>
      <c r="B1064" s="235"/>
      <c r="C1064" s="13"/>
      <c r="D1064" s="1940"/>
      <c r="E1064" s="1940"/>
      <c r="F1064" s="1940"/>
      <c r="G1064" s="1940"/>
      <c r="H1064" s="1940"/>
      <c r="I1064" s="1940"/>
      <c r="J1064" s="1940"/>
      <c r="K1064" s="1940"/>
      <c r="L1064" s="1940"/>
      <c r="M1064" s="1940"/>
      <c r="N1064" s="1940"/>
      <c r="O1064" s="1940"/>
      <c r="P1064" s="1940"/>
      <c r="Q1064" s="1940"/>
      <c r="R1064" s="1940"/>
      <c r="S1064" s="1940"/>
      <c r="T1064" s="1940"/>
      <c r="U1064" s="1940"/>
      <c r="V1064" s="1940"/>
      <c r="W1064" s="1940"/>
      <c r="X1064" s="1940"/>
      <c r="Y1064" s="1940"/>
      <c r="Z1064" s="1940"/>
      <c r="AA1064" s="1940"/>
      <c r="AB1064" s="1940"/>
      <c r="AC1064" s="1940"/>
      <c r="AD1064" s="1940"/>
      <c r="AE1064" s="1940"/>
      <c r="AF1064" s="1940"/>
      <c r="AG1064" s="1940"/>
      <c r="AH1064" s="1940"/>
      <c r="AI1064" s="1940"/>
      <c r="AJ1064" s="1940"/>
      <c r="AK1064" s="1940"/>
    </row>
    <row r="1065" spans="1:96" ht="12.6" customHeight="1">
      <c r="A1065" s="62"/>
      <c r="B1065" s="66"/>
      <c r="C1065" s="13"/>
      <c r="D1065" s="1940"/>
      <c r="E1065" s="1940"/>
      <c r="F1065" s="1940"/>
      <c r="G1065" s="1940"/>
      <c r="H1065" s="1940"/>
      <c r="I1065" s="1940"/>
      <c r="J1065" s="1940"/>
      <c r="K1065" s="1940"/>
      <c r="L1065" s="1940"/>
      <c r="M1065" s="1940"/>
      <c r="N1065" s="1940"/>
      <c r="O1065" s="1940"/>
      <c r="P1065" s="1940"/>
      <c r="Q1065" s="1940"/>
      <c r="R1065" s="1940"/>
      <c r="S1065" s="1940"/>
      <c r="T1065" s="1940"/>
      <c r="U1065" s="1940"/>
      <c r="V1065" s="1940"/>
      <c r="W1065" s="1940"/>
      <c r="X1065" s="1940"/>
      <c r="Y1065" s="1940"/>
      <c r="Z1065" s="1940"/>
      <c r="AA1065" s="1940"/>
      <c r="AB1065" s="1940"/>
      <c r="AC1065" s="1940"/>
      <c r="AD1065" s="1940"/>
      <c r="AE1065" s="1940"/>
      <c r="AF1065" s="1940"/>
      <c r="AG1065" s="1940"/>
      <c r="AH1065" s="1940"/>
      <c r="AI1065" s="1940"/>
      <c r="AJ1065" s="1940"/>
      <c r="AK1065" s="1940"/>
    </row>
    <row r="1066" spans="1:96" s="674" customFormat="1" ht="12.6" customHeight="1">
      <c r="A1066" s="2099" t="s">
        <v>617</v>
      </c>
      <c r="B1066" s="2099"/>
      <c r="C1066" s="13">
        <v>5</v>
      </c>
      <c r="D1066" s="1940" t="s">
        <v>1373</v>
      </c>
      <c r="E1066" s="1940"/>
      <c r="F1066" s="1940"/>
      <c r="G1066" s="1940"/>
      <c r="H1066" s="1940"/>
      <c r="I1066" s="1940"/>
      <c r="J1066" s="1940"/>
      <c r="K1066" s="1940"/>
      <c r="L1066" s="1940"/>
      <c r="M1066" s="1940"/>
      <c r="N1066" s="1940"/>
      <c r="O1066" s="1940"/>
      <c r="P1066" s="1940"/>
      <c r="Q1066" s="1940"/>
      <c r="R1066" s="1940"/>
      <c r="S1066" s="1940"/>
      <c r="T1066" s="1940"/>
      <c r="U1066" s="1940"/>
      <c r="V1066" s="1940"/>
      <c r="W1066" s="1940"/>
      <c r="X1066" s="1940"/>
      <c r="Y1066" s="1940"/>
      <c r="Z1066" s="1940"/>
      <c r="AA1066" s="1940"/>
      <c r="AB1066" s="1940"/>
      <c r="AC1066" s="1940"/>
      <c r="AD1066" s="1940"/>
      <c r="AE1066" s="1940"/>
      <c r="AF1066" s="1940"/>
      <c r="AG1066" s="1940"/>
      <c r="AH1066" s="1940"/>
      <c r="AI1066" s="1940"/>
      <c r="AJ1066" s="1940"/>
      <c r="AK1066" s="19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40"/>
      <c r="E1067" s="1940"/>
      <c r="F1067" s="1940"/>
      <c r="G1067" s="1940"/>
      <c r="H1067" s="1940"/>
      <c r="I1067" s="1940"/>
      <c r="J1067" s="1940"/>
      <c r="K1067" s="1940"/>
      <c r="L1067" s="1940"/>
      <c r="M1067" s="1940"/>
      <c r="N1067" s="1940"/>
      <c r="O1067" s="1940"/>
      <c r="P1067" s="1940"/>
      <c r="Q1067" s="1940"/>
      <c r="R1067" s="1940"/>
      <c r="S1067" s="1940"/>
      <c r="T1067" s="1940"/>
      <c r="U1067" s="1940"/>
      <c r="V1067" s="1940"/>
      <c r="W1067" s="1940"/>
      <c r="X1067" s="1940"/>
      <c r="Y1067" s="1940"/>
      <c r="Z1067" s="1940"/>
      <c r="AA1067" s="1940"/>
      <c r="AB1067" s="1940"/>
      <c r="AC1067" s="1940"/>
      <c r="AD1067" s="1940"/>
      <c r="AE1067" s="1940"/>
      <c r="AF1067" s="1940"/>
      <c r="AG1067" s="1940"/>
      <c r="AH1067" s="1940"/>
      <c r="AI1067" s="1940"/>
      <c r="AJ1067" s="1940"/>
      <c r="AK1067" s="1940"/>
    </row>
    <row r="1068" spans="1:96" ht="12.6" customHeight="1">
      <c r="A1068" s="235"/>
      <c r="B1068" s="235"/>
      <c r="C1068" s="13"/>
      <c r="D1068" s="1940"/>
      <c r="E1068" s="1940"/>
      <c r="F1068" s="1940"/>
      <c r="G1068" s="1940"/>
      <c r="H1068" s="1940"/>
      <c r="I1068" s="1940"/>
      <c r="J1068" s="1940"/>
      <c r="K1068" s="1940"/>
      <c r="L1068" s="1940"/>
      <c r="M1068" s="1940"/>
      <c r="N1068" s="1940"/>
      <c r="O1068" s="1940"/>
      <c r="P1068" s="1940"/>
      <c r="Q1068" s="1940"/>
      <c r="R1068" s="1940"/>
      <c r="S1068" s="1940"/>
      <c r="T1068" s="1940"/>
      <c r="U1068" s="1940"/>
      <c r="V1068" s="1940"/>
      <c r="W1068" s="1940"/>
      <c r="X1068" s="1940"/>
      <c r="Y1068" s="1940"/>
      <c r="Z1068" s="1940"/>
      <c r="AA1068" s="1940"/>
      <c r="AB1068" s="1940"/>
      <c r="AC1068" s="1940"/>
      <c r="AD1068" s="1940"/>
      <c r="AE1068" s="1940"/>
      <c r="AF1068" s="1940"/>
      <c r="AG1068" s="1940"/>
      <c r="AH1068" s="1940"/>
      <c r="AI1068" s="1940"/>
      <c r="AJ1068" s="1940"/>
      <c r="AK1068" s="1940"/>
    </row>
    <row r="1069" spans="1:96" ht="12.6" customHeight="1">
      <c r="A1069" s="235"/>
      <c r="B1069" s="235"/>
      <c r="C1069" s="13"/>
      <c r="D1069" s="1940"/>
      <c r="E1069" s="1940"/>
      <c r="F1069" s="1940"/>
      <c r="G1069" s="1940"/>
      <c r="H1069" s="1940"/>
      <c r="I1069" s="1940"/>
      <c r="J1069" s="1940"/>
      <c r="K1069" s="1940"/>
      <c r="L1069" s="1940"/>
      <c r="M1069" s="1940"/>
      <c r="N1069" s="1940"/>
      <c r="O1069" s="1940"/>
      <c r="P1069" s="1940"/>
      <c r="Q1069" s="1940"/>
      <c r="R1069" s="1940"/>
      <c r="S1069" s="1940"/>
      <c r="T1069" s="1940"/>
      <c r="U1069" s="1940"/>
      <c r="V1069" s="1940"/>
      <c r="W1069" s="1940"/>
      <c r="X1069" s="1940"/>
      <c r="Y1069" s="1940"/>
      <c r="Z1069" s="1940"/>
      <c r="AA1069" s="1940"/>
      <c r="AB1069" s="1940"/>
      <c r="AC1069" s="1940"/>
      <c r="AD1069" s="1940"/>
      <c r="AE1069" s="1940"/>
      <c r="AF1069" s="1940"/>
      <c r="AG1069" s="1940"/>
      <c r="AH1069" s="1940"/>
      <c r="AI1069" s="1940"/>
      <c r="AJ1069" s="1940"/>
      <c r="AK1069" s="1940"/>
      <c r="AL1069" s="674"/>
    </row>
    <row r="1070" spans="1:96" ht="12.6" customHeight="1">
      <c r="A1070" s="62"/>
      <c r="B1070" s="66"/>
      <c r="C1070" s="13"/>
      <c r="D1070" s="1940"/>
      <c r="E1070" s="1940"/>
      <c r="F1070" s="1940"/>
      <c r="G1070" s="1940"/>
      <c r="H1070" s="1940"/>
      <c r="I1070" s="1940"/>
      <c r="J1070" s="1940"/>
      <c r="K1070" s="1940"/>
      <c r="L1070" s="1940"/>
      <c r="M1070" s="1940"/>
      <c r="N1070" s="1940"/>
      <c r="O1070" s="1940"/>
      <c r="P1070" s="1940"/>
      <c r="Q1070" s="1940"/>
      <c r="R1070" s="1940"/>
      <c r="S1070" s="1940"/>
      <c r="T1070" s="1940"/>
      <c r="U1070" s="1940"/>
      <c r="V1070" s="1940"/>
      <c r="W1070" s="1940"/>
      <c r="X1070" s="1940"/>
      <c r="Y1070" s="1940"/>
      <c r="Z1070" s="1940"/>
      <c r="AA1070" s="1940"/>
      <c r="AB1070" s="1940"/>
      <c r="AC1070" s="1940"/>
      <c r="AD1070" s="1940"/>
      <c r="AE1070" s="1940"/>
      <c r="AF1070" s="1940"/>
      <c r="AG1070" s="1940"/>
      <c r="AH1070" s="1940"/>
      <c r="AI1070" s="1940"/>
      <c r="AJ1070" s="1940"/>
      <c r="AK1070" s="1940"/>
    </row>
    <row r="1071" spans="1:96" ht="12.6" customHeight="1">
      <c r="A1071" s="2099" t="s">
        <v>617</v>
      </c>
      <c r="B1071" s="2099"/>
      <c r="C1071" s="13">
        <v>6</v>
      </c>
      <c r="D1071" s="1940" t="s">
        <v>1177</v>
      </c>
      <c r="E1071" s="1940"/>
      <c r="F1071" s="1940"/>
      <c r="G1071" s="1940"/>
      <c r="H1071" s="1940"/>
      <c r="I1071" s="1940"/>
      <c r="J1071" s="1940"/>
      <c r="K1071" s="1940"/>
      <c r="L1071" s="1940"/>
      <c r="M1071" s="1940"/>
      <c r="N1071" s="1940"/>
      <c r="O1071" s="1940"/>
      <c r="P1071" s="1940"/>
      <c r="Q1071" s="1940"/>
      <c r="R1071" s="1940"/>
      <c r="S1071" s="1940"/>
      <c r="T1071" s="1940"/>
      <c r="U1071" s="1940"/>
      <c r="V1071" s="1940"/>
      <c r="W1071" s="1940"/>
      <c r="X1071" s="1940"/>
      <c r="Y1071" s="1940"/>
      <c r="Z1071" s="1940"/>
      <c r="AA1071" s="1940"/>
      <c r="AB1071" s="1940"/>
      <c r="AC1071" s="1940"/>
      <c r="AD1071" s="1940"/>
      <c r="AE1071" s="1940"/>
      <c r="AF1071" s="1940"/>
      <c r="AG1071" s="1940"/>
      <c r="AH1071" s="1940"/>
      <c r="AI1071" s="1940"/>
      <c r="AJ1071" s="1940"/>
      <c r="AK1071" s="1940"/>
    </row>
    <row r="1072" spans="1:96" ht="12.6" customHeight="1">
      <c r="A1072" s="62"/>
      <c r="B1072" s="317"/>
      <c r="C1072" s="13"/>
      <c r="D1072" s="1940"/>
      <c r="E1072" s="1940"/>
      <c r="F1072" s="1940"/>
      <c r="G1072" s="1940"/>
      <c r="H1072" s="1940"/>
      <c r="I1072" s="1940"/>
      <c r="J1072" s="1940"/>
      <c r="K1072" s="1940"/>
      <c r="L1072" s="1940"/>
      <c r="M1072" s="1940"/>
      <c r="N1072" s="1940"/>
      <c r="O1072" s="1940"/>
      <c r="P1072" s="1940"/>
      <c r="Q1072" s="1940"/>
      <c r="R1072" s="1940"/>
      <c r="S1072" s="1940"/>
      <c r="T1072" s="1940"/>
      <c r="U1072" s="1940"/>
      <c r="V1072" s="1940"/>
      <c r="W1072" s="1940"/>
      <c r="X1072" s="1940"/>
      <c r="Y1072" s="1940"/>
      <c r="Z1072" s="1940"/>
      <c r="AA1072" s="1940"/>
      <c r="AB1072" s="1940"/>
      <c r="AC1072" s="1940"/>
      <c r="AD1072" s="1940"/>
      <c r="AE1072" s="1940"/>
      <c r="AF1072" s="1940"/>
      <c r="AG1072" s="1940"/>
      <c r="AH1072" s="1940"/>
      <c r="AI1072" s="1940"/>
      <c r="AJ1072" s="1940"/>
      <c r="AK1072" s="1940"/>
    </row>
    <row r="1073" spans="1:96" ht="12.6" customHeight="1">
      <c r="A1073" s="62"/>
      <c r="B1073" s="66"/>
      <c r="C1073" s="13"/>
      <c r="D1073" s="1940"/>
      <c r="E1073" s="1940"/>
      <c r="F1073" s="1940"/>
      <c r="G1073" s="1940"/>
      <c r="H1073" s="1940"/>
      <c r="I1073" s="1940"/>
      <c r="J1073" s="1940"/>
      <c r="K1073" s="1940"/>
      <c r="L1073" s="1940"/>
      <c r="M1073" s="1940"/>
      <c r="N1073" s="1940"/>
      <c r="O1073" s="1940"/>
      <c r="P1073" s="1940"/>
      <c r="Q1073" s="1940"/>
      <c r="R1073" s="1940"/>
      <c r="S1073" s="1940"/>
      <c r="T1073" s="1940"/>
      <c r="U1073" s="1940"/>
      <c r="V1073" s="1940"/>
      <c r="W1073" s="1940"/>
      <c r="X1073" s="1940"/>
      <c r="Y1073" s="1940"/>
      <c r="Z1073" s="1940"/>
      <c r="AA1073" s="1940"/>
      <c r="AB1073" s="1940"/>
      <c r="AC1073" s="1940"/>
      <c r="AD1073" s="1940"/>
      <c r="AE1073" s="1940"/>
      <c r="AF1073" s="1940"/>
      <c r="AG1073" s="1940"/>
      <c r="AH1073" s="1940"/>
      <c r="AI1073" s="1940"/>
      <c r="AJ1073" s="1940"/>
      <c r="AK1073" s="1940"/>
    </row>
    <row r="1074" spans="1:96" ht="12.6" customHeight="1">
      <c r="A1074" s="2099" t="s">
        <v>617</v>
      </c>
      <c r="B1074" s="2099"/>
      <c r="C1074" s="318">
        <v>7</v>
      </c>
      <c r="D1074" s="1940" t="s">
        <v>1179</v>
      </c>
      <c r="E1074" s="1940"/>
      <c r="F1074" s="1940"/>
      <c r="G1074" s="1940"/>
      <c r="H1074" s="1940"/>
      <c r="I1074" s="1940"/>
      <c r="J1074" s="1940"/>
      <c r="K1074" s="1940"/>
      <c r="L1074" s="1940"/>
      <c r="M1074" s="1940"/>
      <c r="N1074" s="1940"/>
      <c r="O1074" s="1940"/>
      <c r="P1074" s="1940"/>
      <c r="Q1074" s="1940"/>
      <c r="R1074" s="1940"/>
      <c r="S1074" s="1940"/>
      <c r="T1074" s="1940"/>
      <c r="U1074" s="1940"/>
      <c r="V1074" s="1940"/>
      <c r="W1074" s="1940"/>
      <c r="X1074" s="1940"/>
      <c r="Y1074" s="1940"/>
      <c r="Z1074" s="1940"/>
      <c r="AA1074" s="1940"/>
      <c r="AB1074" s="1940"/>
      <c r="AC1074" s="1940"/>
      <c r="AD1074" s="1940"/>
      <c r="AE1074" s="1940"/>
      <c r="AF1074" s="1940"/>
      <c r="AG1074" s="1940"/>
      <c r="AH1074" s="1940"/>
      <c r="AI1074" s="1940"/>
      <c r="AJ1074" s="1940"/>
      <c r="AK1074" s="194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40"/>
      <c r="E1075" s="1940"/>
      <c r="F1075" s="1940"/>
      <c r="G1075" s="1940"/>
      <c r="H1075" s="1940"/>
      <c r="I1075" s="1940"/>
      <c r="J1075" s="1940"/>
      <c r="K1075" s="1940"/>
      <c r="L1075" s="1940"/>
      <c r="M1075" s="1940"/>
      <c r="N1075" s="1940"/>
      <c r="O1075" s="1940"/>
      <c r="P1075" s="1940"/>
      <c r="Q1075" s="1940"/>
      <c r="R1075" s="1940"/>
      <c r="S1075" s="1940"/>
      <c r="T1075" s="1940"/>
      <c r="U1075" s="1940"/>
      <c r="V1075" s="1940"/>
      <c r="W1075" s="1940"/>
      <c r="X1075" s="1940"/>
      <c r="Y1075" s="1940"/>
      <c r="Z1075" s="1940"/>
      <c r="AA1075" s="1940"/>
      <c r="AB1075" s="1940"/>
      <c r="AC1075" s="1940"/>
      <c r="AD1075" s="1940"/>
      <c r="AE1075" s="1940"/>
      <c r="AF1075" s="1940"/>
      <c r="AG1075" s="1940"/>
      <c r="AH1075" s="1940"/>
      <c r="AI1075" s="1940"/>
      <c r="AJ1075" s="1940"/>
      <c r="AK1075" s="1940"/>
    </row>
    <row r="1076" spans="1:96" ht="12.6" customHeight="1">
      <c r="A1076" s="235"/>
      <c r="B1076" s="235"/>
      <c r="C1076" s="319"/>
      <c r="D1076" s="1940"/>
      <c r="E1076" s="1940"/>
      <c r="F1076" s="1940"/>
      <c r="G1076" s="1940"/>
      <c r="H1076" s="1940"/>
      <c r="I1076" s="1940"/>
      <c r="J1076" s="1940"/>
      <c r="K1076" s="1940"/>
      <c r="L1076" s="1940"/>
      <c r="M1076" s="1940"/>
      <c r="N1076" s="1940"/>
      <c r="O1076" s="1940"/>
      <c r="P1076" s="1940"/>
      <c r="Q1076" s="1940"/>
      <c r="R1076" s="1940"/>
      <c r="S1076" s="1940"/>
      <c r="T1076" s="1940"/>
      <c r="U1076" s="1940"/>
      <c r="V1076" s="1940"/>
      <c r="W1076" s="1940"/>
      <c r="X1076" s="1940"/>
      <c r="Y1076" s="1940"/>
      <c r="Z1076" s="1940"/>
      <c r="AA1076" s="1940"/>
      <c r="AB1076" s="1940"/>
      <c r="AC1076" s="1940"/>
      <c r="AD1076" s="1940"/>
      <c r="AE1076" s="1940"/>
      <c r="AF1076" s="1940"/>
      <c r="AG1076" s="1940"/>
      <c r="AH1076" s="1940"/>
      <c r="AI1076" s="1940"/>
      <c r="AJ1076" s="1940"/>
      <c r="AK1076" s="1940"/>
    </row>
    <row r="1077" spans="1:96" s="674" customFormat="1" ht="12.6" customHeight="1">
      <c r="A1077" s="62"/>
      <c r="B1077" s="66"/>
      <c r="C1077" s="318"/>
      <c r="D1077" s="1940"/>
      <c r="E1077" s="1940"/>
      <c r="F1077" s="1940"/>
      <c r="G1077" s="1940"/>
      <c r="H1077" s="1940"/>
      <c r="I1077" s="1940"/>
      <c r="J1077" s="1940"/>
      <c r="K1077" s="1940"/>
      <c r="L1077" s="1940"/>
      <c r="M1077" s="1940"/>
      <c r="N1077" s="1940"/>
      <c r="O1077" s="1940"/>
      <c r="P1077" s="1940"/>
      <c r="Q1077" s="1940"/>
      <c r="R1077" s="1940"/>
      <c r="S1077" s="1940"/>
      <c r="T1077" s="1940"/>
      <c r="U1077" s="1940"/>
      <c r="V1077" s="1940"/>
      <c r="W1077" s="1940"/>
      <c r="X1077" s="1940"/>
      <c r="Y1077" s="1940"/>
      <c r="Z1077" s="1940"/>
      <c r="AA1077" s="1940"/>
      <c r="AB1077" s="1940"/>
      <c r="AC1077" s="1940"/>
      <c r="AD1077" s="1940"/>
      <c r="AE1077" s="1940"/>
      <c r="AF1077" s="1940"/>
      <c r="AG1077" s="1940"/>
      <c r="AH1077" s="1940"/>
      <c r="AI1077" s="1940"/>
      <c r="AJ1077" s="1940"/>
      <c r="AK1077" s="1940"/>
      <c r="AL1077" s="12"/>
      <c r="AM1077" s="39"/>
      <c r="AN1077" s="39"/>
      <c r="AO1077" s="39"/>
      <c r="AP1077" s="39"/>
      <c r="AQ1077" s="39"/>
      <c r="AR1077" s="39"/>
      <c r="AS1077" s="39"/>
      <c r="AT1077" s="39"/>
      <c r="AU1077" s="39"/>
      <c r="AV1077" s="39"/>
      <c r="AW1077" s="39"/>
      <c r="AX1077" s="39"/>
      <c r="AY1077" s="39"/>
      <c r="CR1077" s="25"/>
    </row>
    <row r="1078" spans="1:96" ht="12.6" customHeight="1">
      <c r="A1078" s="2099" t="s">
        <v>617</v>
      </c>
      <c r="B1078" s="2099"/>
      <c r="C1078" s="318">
        <v>8</v>
      </c>
      <c r="D1078" s="2413" t="s">
        <v>1995</v>
      </c>
      <c r="E1078" s="2413"/>
      <c r="F1078" s="2413"/>
      <c r="G1078" s="2413"/>
      <c r="H1078" s="2413"/>
      <c r="I1078" s="2413"/>
      <c r="J1078" s="2413"/>
      <c r="K1078" s="2413"/>
      <c r="L1078" s="2413"/>
      <c r="M1078" s="2413"/>
      <c r="N1078" s="2413"/>
      <c r="O1078" s="2413"/>
      <c r="P1078" s="2413"/>
      <c r="Q1078" s="2413"/>
      <c r="R1078" s="2413"/>
      <c r="S1078" s="2413"/>
      <c r="T1078" s="2413"/>
      <c r="U1078" s="2413"/>
      <c r="V1078" s="2413"/>
      <c r="W1078" s="2413"/>
      <c r="X1078" s="2413"/>
      <c r="Y1078" s="2413"/>
      <c r="Z1078" s="2413"/>
      <c r="AA1078" s="2413"/>
      <c r="AB1078" s="2413"/>
      <c r="AC1078" s="2413"/>
      <c r="AD1078" s="2413"/>
      <c r="AE1078" s="2413"/>
      <c r="AF1078" s="2413"/>
      <c r="AG1078" s="2413"/>
      <c r="AH1078" s="2413"/>
      <c r="AI1078" s="2413"/>
      <c r="AJ1078" s="2413"/>
      <c r="AK1078" s="2413"/>
    </row>
    <row r="1079" spans="1:96" ht="12.6" customHeight="1">
      <c r="A1079" s="235"/>
      <c r="B1079" s="235"/>
      <c r="C1079" s="318"/>
      <c r="D1079" s="2413"/>
      <c r="E1079" s="2413"/>
      <c r="F1079" s="2413"/>
      <c r="G1079" s="2413"/>
      <c r="H1079" s="2413"/>
      <c r="I1079" s="2413"/>
      <c r="J1079" s="2413"/>
      <c r="K1079" s="2413"/>
      <c r="L1079" s="2413"/>
      <c r="M1079" s="2413"/>
      <c r="N1079" s="2413"/>
      <c r="O1079" s="2413"/>
      <c r="P1079" s="2413"/>
      <c r="Q1079" s="2413"/>
      <c r="R1079" s="2413"/>
      <c r="S1079" s="2413"/>
      <c r="T1079" s="2413"/>
      <c r="U1079" s="2413"/>
      <c r="V1079" s="2413"/>
      <c r="W1079" s="2413"/>
      <c r="X1079" s="2413"/>
      <c r="Y1079" s="2413"/>
      <c r="Z1079" s="2413"/>
      <c r="AA1079" s="2413"/>
      <c r="AB1079" s="2413"/>
      <c r="AC1079" s="2413"/>
      <c r="AD1079" s="2413"/>
      <c r="AE1079" s="2413"/>
      <c r="AF1079" s="2413"/>
      <c r="AG1079" s="2413"/>
      <c r="AH1079" s="2413"/>
      <c r="AI1079" s="2413"/>
      <c r="AJ1079" s="2413"/>
      <c r="AK1079" s="2413"/>
    </row>
    <row r="1080" spans="1:96" ht="12.6" customHeight="1">
      <c r="A1080" s="235"/>
      <c r="B1080" s="235"/>
      <c r="C1080" s="318"/>
      <c r="D1080" s="2413"/>
      <c r="E1080" s="2413"/>
      <c r="F1080" s="2413"/>
      <c r="G1080" s="2413"/>
      <c r="H1080" s="2413"/>
      <c r="I1080" s="2413"/>
      <c r="J1080" s="2413"/>
      <c r="K1080" s="2413"/>
      <c r="L1080" s="2413"/>
      <c r="M1080" s="2413"/>
      <c r="N1080" s="2413"/>
      <c r="O1080" s="2413"/>
      <c r="P1080" s="2413"/>
      <c r="Q1080" s="2413"/>
      <c r="R1080" s="2413"/>
      <c r="S1080" s="2413"/>
      <c r="T1080" s="2413"/>
      <c r="U1080" s="2413"/>
      <c r="V1080" s="2413"/>
      <c r="W1080" s="2413"/>
      <c r="X1080" s="2413"/>
      <c r="Y1080" s="2413"/>
      <c r="Z1080" s="2413"/>
      <c r="AA1080" s="2413"/>
      <c r="AB1080" s="2413"/>
      <c r="AC1080" s="2413"/>
      <c r="AD1080" s="2413"/>
      <c r="AE1080" s="2413"/>
      <c r="AF1080" s="2413"/>
      <c r="AG1080" s="2413"/>
      <c r="AH1080" s="2413"/>
      <c r="AI1080" s="2413"/>
      <c r="AJ1080" s="2413"/>
      <c r="AK1080" s="2413"/>
      <c r="AL1080" s="674"/>
    </row>
    <row r="1081" spans="1:96" ht="12" customHeight="1">
      <c r="A1081" s="62"/>
      <c r="B1081" s="66"/>
      <c r="C1081" s="318"/>
      <c r="D1081" s="2413"/>
      <c r="E1081" s="2413"/>
      <c r="F1081" s="2413"/>
      <c r="G1081" s="2413"/>
      <c r="H1081" s="2413"/>
      <c r="I1081" s="2413"/>
      <c r="J1081" s="2413"/>
      <c r="K1081" s="2413"/>
      <c r="L1081" s="2413"/>
      <c r="M1081" s="2413"/>
      <c r="N1081" s="2413"/>
      <c r="O1081" s="2413"/>
      <c r="P1081" s="2413"/>
      <c r="Q1081" s="2413"/>
      <c r="R1081" s="2413"/>
      <c r="S1081" s="2413"/>
      <c r="T1081" s="2413"/>
      <c r="U1081" s="2413"/>
      <c r="V1081" s="2413"/>
      <c r="W1081" s="2413"/>
      <c r="X1081" s="2413"/>
      <c r="Y1081" s="2413"/>
      <c r="Z1081" s="2413"/>
      <c r="AA1081" s="2413"/>
      <c r="AB1081" s="2413"/>
      <c r="AC1081" s="2413"/>
      <c r="AD1081" s="2413"/>
      <c r="AE1081" s="2413"/>
      <c r="AF1081" s="2413"/>
      <c r="AG1081" s="2413"/>
      <c r="AH1081" s="2413"/>
      <c r="AI1081" s="2413"/>
      <c r="AJ1081" s="2413"/>
      <c r="AK1081" s="2413"/>
    </row>
    <row r="1082" spans="1:96" ht="12.6" customHeight="1">
      <c r="A1082" s="2099" t="s">
        <v>617</v>
      </c>
      <c r="B1082" s="2099"/>
      <c r="C1082" s="318">
        <v>9</v>
      </c>
      <c r="D1082" s="1940" t="s">
        <v>1178</v>
      </c>
      <c r="E1082" s="1940"/>
      <c r="F1082" s="1940"/>
      <c r="G1082" s="1940"/>
      <c r="H1082" s="1940"/>
      <c r="I1082" s="1940"/>
      <c r="J1082" s="1940"/>
      <c r="K1082" s="1940"/>
      <c r="L1082" s="1940"/>
      <c r="M1082" s="1940"/>
      <c r="N1082" s="1940"/>
      <c r="O1082" s="1940"/>
      <c r="P1082" s="1940"/>
      <c r="Q1082" s="1940"/>
      <c r="R1082" s="1940"/>
      <c r="S1082" s="1940"/>
      <c r="T1082" s="1940"/>
      <c r="U1082" s="1940"/>
      <c r="V1082" s="1940"/>
      <c r="W1082" s="1940"/>
      <c r="X1082" s="1940"/>
      <c r="Y1082" s="1940"/>
      <c r="Z1082" s="1940"/>
      <c r="AA1082" s="1940"/>
      <c r="AB1082" s="1940"/>
      <c r="AC1082" s="1940"/>
      <c r="AD1082" s="1940"/>
      <c r="AE1082" s="1940"/>
      <c r="AF1082" s="1940"/>
      <c r="AG1082" s="1940"/>
      <c r="AH1082" s="1940"/>
      <c r="AI1082" s="1940"/>
      <c r="AJ1082" s="1940"/>
      <c r="AK1082" s="1940"/>
    </row>
    <row r="1083" spans="1:96" ht="15" customHeight="1">
      <c r="A1083" s="62"/>
      <c r="B1083" s="66"/>
      <c r="C1083" s="318"/>
      <c r="D1083" s="1940"/>
      <c r="E1083" s="1940"/>
      <c r="F1083" s="1940"/>
      <c r="G1083" s="1940"/>
      <c r="H1083" s="1940"/>
      <c r="I1083" s="1940"/>
      <c r="J1083" s="1940"/>
      <c r="K1083" s="1940"/>
      <c r="L1083" s="1940"/>
      <c r="M1083" s="1940"/>
      <c r="N1083" s="1940"/>
      <c r="O1083" s="1940"/>
      <c r="P1083" s="1940"/>
      <c r="Q1083" s="1940"/>
      <c r="R1083" s="1940"/>
      <c r="S1083" s="1940"/>
      <c r="T1083" s="1940"/>
      <c r="U1083" s="1940"/>
      <c r="V1083" s="1940"/>
      <c r="W1083" s="1940"/>
      <c r="X1083" s="1940"/>
      <c r="Y1083" s="1940"/>
      <c r="Z1083" s="1940"/>
      <c r="AA1083" s="1940"/>
      <c r="AB1083" s="1940"/>
      <c r="AC1083" s="1940"/>
      <c r="AD1083" s="1940"/>
      <c r="AE1083" s="1940"/>
      <c r="AF1083" s="1940"/>
      <c r="AG1083" s="1940"/>
      <c r="AH1083" s="1940"/>
      <c r="AI1083" s="1940"/>
      <c r="AJ1083" s="1940"/>
      <c r="AK1083" s="1940"/>
    </row>
    <row r="1084" spans="1:96" ht="15" customHeight="1">
      <c r="D1084" s="1940"/>
      <c r="E1084" s="1940"/>
      <c r="F1084" s="1940"/>
      <c r="G1084" s="1940"/>
      <c r="H1084" s="1940"/>
      <c r="I1084" s="1940"/>
      <c r="J1084" s="1940"/>
      <c r="K1084" s="1940"/>
      <c r="L1084" s="1940"/>
      <c r="M1084" s="1940"/>
      <c r="N1084" s="1940"/>
      <c r="O1084" s="1940"/>
      <c r="P1084" s="1940"/>
      <c r="Q1084" s="1940"/>
      <c r="R1084" s="1940"/>
      <c r="S1084" s="1940"/>
      <c r="T1084" s="1940"/>
      <c r="U1084" s="1940"/>
      <c r="V1084" s="1940"/>
      <c r="W1084" s="1940"/>
      <c r="X1084" s="1940"/>
      <c r="Y1084" s="1940"/>
      <c r="Z1084" s="1940"/>
      <c r="AA1084" s="1940"/>
      <c r="AB1084" s="1940"/>
      <c r="AC1084" s="1940"/>
      <c r="AD1084" s="1940"/>
      <c r="AE1084" s="1940"/>
      <c r="AF1084" s="1940"/>
      <c r="AG1084" s="1940"/>
      <c r="AH1084" s="1940"/>
      <c r="AI1084" s="1940"/>
      <c r="AJ1084" s="1940"/>
      <c r="AK1084" s="194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P348:AE348"/>
    <mergeCell ref="AC369:AF369"/>
    <mergeCell ref="P347:Z347"/>
    <mergeCell ref="N372:AF373"/>
    <mergeCell ref="AD490:AH490"/>
    <mergeCell ref="C573:P573"/>
    <mergeCell ref="C574:P574"/>
    <mergeCell ref="CC643:CG643"/>
    <mergeCell ref="CH643:CL643"/>
    <mergeCell ref="CM643:CQ643"/>
    <mergeCell ref="BN642:BR642"/>
    <mergeCell ref="BN643:BR643"/>
    <mergeCell ref="BN644:BR644"/>
    <mergeCell ref="BS644:BW644"/>
    <mergeCell ref="BE615:BF615"/>
    <mergeCell ref="D444:AF444"/>
    <mergeCell ref="B513:H514"/>
    <mergeCell ref="AI615:AK615"/>
    <mergeCell ref="AM567:AS567"/>
    <mergeCell ref="AE567:AH567"/>
    <mergeCell ref="BE613:BF613"/>
    <mergeCell ref="BE612:BF612"/>
    <mergeCell ref="N601:O601"/>
    <mergeCell ref="AA583:AK583"/>
    <mergeCell ref="Z604:AK604"/>
    <mergeCell ref="AE565:AH565"/>
    <mergeCell ref="O535:AA535"/>
    <mergeCell ref="Z588:AK588"/>
    <mergeCell ref="G587:R587"/>
    <mergeCell ref="G604:R604"/>
    <mergeCell ref="AJ354:AK354"/>
    <mergeCell ref="A350:AL351"/>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G394:AJ394"/>
    <mergeCell ref="AG392:AJ392"/>
    <mergeCell ref="W471:Y471"/>
    <mergeCell ref="D468:V468"/>
    <mergeCell ref="BS642:BW642"/>
    <mergeCell ref="BS643:BW643"/>
    <mergeCell ref="AC384:AJ384"/>
    <mergeCell ref="AG376:AH376"/>
    <mergeCell ref="E417:G417"/>
    <mergeCell ref="AD410:AE410"/>
    <mergeCell ref="F426:AH427"/>
    <mergeCell ref="G598:R598"/>
    <mergeCell ref="D448:AF448"/>
    <mergeCell ref="K402:AJ402"/>
    <mergeCell ref="AD489:AH489"/>
    <mergeCell ref="W466:Y466"/>
    <mergeCell ref="AD491:AH491"/>
    <mergeCell ref="W470:Y470"/>
    <mergeCell ref="W465:Y465"/>
    <mergeCell ref="T483:AH483"/>
    <mergeCell ref="BX656:CB656"/>
    <mergeCell ref="BX642:CB642"/>
    <mergeCell ref="BX643:CB643"/>
    <mergeCell ref="J386:U386"/>
    <mergeCell ref="AC385:AJ385"/>
    <mergeCell ref="J387:U387"/>
    <mergeCell ref="AI391:AJ391"/>
    <mergeCell ref="AG390:AJ390"/>
    <mergeCell ref="R411:S411"/>
    <mergeCell ref="AF429:AG429"/>
    <mergeCell ref="Y488:AC488"/>
    <mergeCell ref="A478:AL479"/>
    <mergeCell ref="AD484:AH485"/>
    <mergeCell ref="D443:AF443"/>
    <mergeCell ref="D467:V467"/>
    <mergeCell ref="L520:AB520"/>
    <mergeCell ref="C566:P566"/>
    <mergeCell ref="Z566:AD566"/>
    <mergeCell ref="N369:Q369"/>
    <mergeCell ref="V376:W376"/>
    <mergeCell ref="S376:T376"/>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E423:AF423"/>
    <mergeCell ref="AG393:AJ393"/>
    <mergeCell ref="AK728:AO728"/>
    <mergeCell ref="AK729:AO729"/>
    <mergeCell ref="AK730:AO730"/>
    <mergeCell ref="AK731:AO731"/>
    <mergeCell ref="AK732:AO732"/>
    <mergeCell ref="AK733:AO733"/>
    <mergeCell ref="G735:J735"/>
    <mergeCell ref="G736:J736"/>
    <mergeCell ref="G731:J731"/>
    <mergeCell ref="G732:J732"/>
    <mergeCell ref="K732:N732"/>
    <mergeCell ref="K733:N733"/>
    <mergeCell ref="K736:N736"/>
    <mergeCell ref="Z580:AK580"/>
    <mergeCell ref="Y486:AC48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49:AJ449"/>
    <mergeCell ref="AC454:AF454"/>
    <mergeCell ref="S400:U400"/>
    <mergeCell ref="AA331:AF331"/>
    <mergeCell ref="AA327:AK327"/>
    <mergeCell ref="O33:P33"/>
    <mergeCell ref="AH245:AK245"/>
    <mergeCell ref="AI396:AJ396"/>
    <mergeCell ref="T398:AJ398"/>
    <mergeCell ref="T397:AJ397"/>
    <mergeCell ref="AC386:AJ386"/>
    <mergeCell ref="V387:AJ387"/>
    <mergeCell ref="D442:AF442"/>
    <mergeCell ref="Q428:R428"/>
    <mergeCell ref="D466:V466"/>
    <mergeCell ref="I391:N391"/>
    <mergeCell ref="H413:AE414"/>
    <mergeCell ref="Q393:U393"/>
    <mergeCell ref="AI322:AK322"/>
    <mergeCell ref="AA319:AK319"/>
    <mergeCell ref="AI565:AL565"/>
    <mergeCell ref="T569:V569"/>
    <mergeCell ref="O547:AA547"/>
    <mergeCell ref="AH548:AK548"/>
    <mergeCell ref="AH535:AK535"/>
    <mergeCell ref="AH538:AK538"/>
    <mergeCell ref="AH545:AK545"/>
    <mergeCell ref="AH547:AK547"/>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T568:V568"/>
    <mergeCell ref="W571:Y571"/>
    <mergeCell ref="W572:Y572"/>
    <mergeCell ref="W573:Y573"/>
    <mergeCell ref="W574:Y574"/>
    <mergeCell ref="AG617:AH617"/>
    <mergeCell ref="AG447:AJ44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H536:AK536"/>
    <mergeCell ref="AH537:AK537"/>
    <mergeCell ref="Z605:AK605"/>
    <mergeCell ref="Z591:AE591"/>
    <mergeCell ref="Z596:AK596"/>
    <mergeCell ref="AH550:AK550"/>
    <mergeCell ref="C575:P575"/>
    <mergeCell ref="T573:V573"/>
    <mergeCell ref="Z571:AD571"/>
    <mergeCell ref="O532:AA532"/>
    <mergeCell ref="AI567:AL567"/>
    <mergeCell ref="Z597:AK597"/>
    <mergeCell ref="C569:P569"/>
    <mergeCell ref="C570:P570"/>
    <mergeCell ref="H616:R616"/>
    <mergeCell ref="P615:R615"/>
    <mergeCell ref="AH520:AK520"/>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M823:P823"/>
    <mergeCell ref="B753:F753"/>
    <mergeCell ref="AG827:AJ827"/>
    <mergeCell ref="AG825:AJ825"/>
    <mergeCell ref="M824:P824"/>
    <mergeCell ref="AI599:AK599"/>
    <mergeCell ref="Z590:AK590"/>
    <mergeCell ref="AG601:AH601"/>
    <mergeCell ref="AE563:AH563"/>
    <mergeCell ref="Z563:AD563"/>
    <mergeCell ref="Z431:AA431"/>
    <mergeCell ref="AC455:AF455"/>
    <mergeCell ref="Y487:AC487"/>
    <mergeCell ref="AH516:AK516"/>
    <mergeCell ref="AH529:AK529"/>
    <mergeCell ref="AH533:AK533"/>
    <mergeCell ref="AC513:AF513"/>
    <mergeCell ref="D436:AF436"/>
    <mergeCell ref="AH540:AK540"/>
    <mergeCell ref="B526:H528"/>
    <mergeCell ref="AC542:AF542"/>
    <mergeCell ref="O538:AA538"/>
    <mergeCell ref="AC544:AF544"/>
    <mergeCell ref="AC528:AF528"/>
    <mergeCell ref="AC530:AF530"/>
    <mergeCell ref="AC531:AF531"/>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M563:AS563"/>
    <mergeCell ref="AH515:AK515"/>
    <mergeCell ref="AH554:AK554"/>
    <mergeCell ref="W566:Y566"/>
    <mergeCell ref="AI564:AL564"/>
    <mergeCell ref="W563:Y563"/>
    <mergeCell ref="AH551:AK551"/>
    <mergeCell ref="AH543:AK543"/>
    <mergeCell ref="AH552:AK552"/>
    <mergeCell ref="AC552:AF552"/>
    <mergeCell ref="AC551:AF551"/>
    <mergeCell ref="Z587:AK587"/>
    <mergeCell ref="AH532:AK532"/>
    <mergeCell ref="AE569:AH569"/>
    <mergeCell ref="AI569:AL569"/>
    <mergeCell ref="AH541:AK541"/>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CC652:CG652"/>
    <mergeCell ref="CC653:CG653"/>
    <mergeCell ref="CH619:CL619"/>
    <mergeCell ref="CC616:CG616"/>
    <mergeCell ref="CH616:CL616"/>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K635:BL635"/>
    <mergeCell ref="BN635:BR635"/>
    <mergeCell ref="BG626:BH626"/>
    <mergeCell ref="BK628:BL628"/>
    <mergeCell ref="BE623:BF623"/>
    <mergeCell ref="CH629:CL629"/>
    <mergeCell ref="BK633:BL633"/>
    <mergeCell ref="CM620:CQ620"/>
    <mergeCell ref="BG618:BH618"/>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Z578:AK578"/>
    <mergeCell ref="AC534:AF534"/>
    <mergeCell ref="AC533:AF533"/>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AI563:AL563"/>
    <mergeCell ref="A556:AS557"/>
    <mergeCell ref="AC553:AF553"/>
    <mergeCell ref="AH539:AK539"/>
    <mergeCell ref="O544:AA544"/>
    <mergeCell ref="B532:H554"/>
    <mergeCell ref="AM573:AS573"/>
    <mergeCell ref="AM568:AS568"/>
    <mergeCell ref="AC554:AF554"/>
    <mergeCell ref="Q569:S569"/>
    <mergeCell ref="Q570:S570"/>
    <mergeCell ref="Q565:S565"/>
    <mergeCell ref="AI573:AL573"/>
    <mergeCell ref="C564:P564"/>
    <mergeCell ref="AE570:AH570"/>
    <mergeCell ref="Z569:AD569"/>
    <mergeCell ref="Z570:AD570"/>
    <mergeCell ref="AM565:AS565"/>
    <mergeCell ref="C565:P565"/>
    <mergeCell ref="T571:V571"/>
    <mergeCell ref="T572:V572"/>
    <mergeCell ref="T565:V565"/>
    <mergeCell ref="T566:V566"/>
    <mergeCell ref="AE564:AH564"/>
    <mergeCell ref="T563:V563"/>
    <mergeCell ref="T564:V564"/>
    <mergeCell ref="B563:P563"/>
    <mergeCell ref="Q563:S563"/>
    <mergeCell ref="AH534:AK534"/>
    <mergeCell ref="AH542:AK542"/>
    <mergeCell ref="AH553:AK553"/>
    <mergeCell ref="AC547:AF547"/>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9:AE599"/>
    <mergeCell ref="C568:P568"/>
    <mergeCell ref="AM575:AS575"/>
    <mergeCell ref="AI582:AK582"/>
    <mergeCell ref="G580:R580"/>
    <mergeCell ref="T484:X485"/>
    <mergeCell ref="AH517:AK517"/>
    <mergeCell ref="B515:H520"/>
    <mergeCell ref="AC520:AF520"/>
    <mergeCell ref="AH528:AK528"/>
    <mergeCell ref="Q499:AK499"/>
    <mergeCell ref="Q498:AK498"/>
    <mergeCell ref="AH514:AK514"/>
    <mergeCell ref="AC511:AK511"/>
    <mergeCell ref="B501:P502"/>
    <mergeCell ref="AC518:AF518"/>
    <mergeCell ref="Q501:R502"/>
    <mergeCell ref="Q500:AK500"/>
    <mergeCell ref="Q505:AK505"/>
    <mergeCell ref="AC514:AF514"/>
    <mergeCell ref="AC517:AF517"/>
    <mergeCell ref="T490:X490"/>
    <mergeCell ref="T491:X491"/>
    <mergeCell ref="T488:X488"/>
    <mergeCell ref="M507:P507"/>
    <mergeCell ref="AH507:AK507"/>
    <mergeCell ref="AD486:AH486"/>
    <mergeCell ref="Y490:AC490"/>
    <mergeCell ref="AH519:AK519"/>
    <mergeCell ref="C124:K124"/>
    <mergeCell ref="O160:T160"/>
    <mergeCell ref="O161:AH161"/>
    <mergeCell ref="D164:AH164"/>
    <mergeCell ref="P423:Q423"/>
    <mergeCell ref="Q504:AK504"/>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AG448:AJ448"/>
    <mergeCell ref="AA313:AK313"/>
    <mergeCell ref="AA310:AK310"/>
    <mergeCell ref="D449:AF449"/>
    <mergeCell ref="D450:AJ451"/>
    <mergeCell ref="S401:U401"/>
    <mergeCell ref="E419:AJ419"/>
    <mergeCell ref="P424:Q424"/>
    <mergeCell ref="I417:K417"/>
    <mergeCell ref="S412:T412"/>
    <mergeCell ref="AE424:AF424"/>
    <mergeCell ref="L273:AJ273"/>
    <mergeCell ref="AA306:AF306"/>
    <mergeCell ref="H312:R312"/>
    <mergeCell ref="H288:R288"/>
    <mergeCell ref="H290:M290"/>
    <mergeCell ref="H298:M298"/>
    <mergeCell ref="H299:M299"/>
    <mergeCell ref="H300:R300"/>
    <mergeCell ref="AA256:AK256"/>
    <mergeCell ref="AA299:AF299"/>
    <mergeCell ref="H305:R305"/>
    <mergeCell ref="AA336:AK336"/>
    <mergeCell ref="H326:R326"/>
    <mergeCell ref="AA332:AK332"/>
    <mergeCell ref="H338:M338"/>
    <mergeCell ref="AA316:AK316"/>
    <mergeCell ref="L279:AD279"/>
    <mergeCell ref="L274:AD274"/>
    <mergeCell ref="H289:R289"/>
    <mergeCell ref="M252:T252"/>
    <mergeCell ref="M251:AE251"/>
    <mergeCell ref="AA304:AK304"/>
    <mergeCell ref="AA290:AF290"/>
    <mergeCell ref="AI290:AK290"/>
    <mergeCell ref="H291:M291"/>
    <mergeCell ref="AA292:AK292"/>
    <mergeCell ref="V275:W275"/>
    <mergeCell ref="AH196:AI196"/>
    <mergeCell ref="AI228:AJ228"/>
    <mergeCell ref="AA264:AK264"/>
    <mergeCell ref="AF242:AK242"/>
    <mergeCell ref="AA248:AK248"/>
    <mergeCell ref="AA291:AF291"/>
    <mergeCell ref="AB275:AD275"/>
    <mergeCell ref="Y277:AD277"/>
    <mergeCell ref="AA294:AK294"/>
    <mergeCell ref="AF258:AK258"/>
    <mergeCell ref="AC260:AE260"/>
    <mergeCell ref="AA298:AF298"/>
    <mergeCell ref="AA286:AK286"/>
    <mergeCell ref="T266:X266"/>
    <mergeCell ref="W252:X252"/>
    <mergeCell ref="M250:AE250"/>
    <mergeCell ref="AA302:AK302"/>
    <mergeCell ref="D269:H269"/>
    <mergeCell ref="X269:AC269"/>
    <mergeCell ref="AA287:AK287"/>
    <mergeCell ref="M259:AE259"/>
    <mergeCell ref="M261:AE261"/>
    <mergeCell ref="U254:W254"/>
    <mergeCell ref="P298:R298"/>
    <mergeCell ref="A10:AL10"/>
    <mergeCell ref="D203:M203"/>
    <mergeCell ref="P203:U203"/>
    <mergeCell ref="A20:AL20"/>
    <mergeCell ref="AH194:AI194"/>
    <mergeCell ref="AH195:AI195"/>
    <mergeCell ref="U176:V176"/>
    <mergeCell ref="Y126:AK126"/>
    <mergeCell ref="T190:AE190"/>
    <mergeCell ref="M231:AK231"/>
    <mergeCell ref="M232:AE232"/>
    <mergeCell ref="N191:AE192"/>
    <mergeCell ref="D210:M210"/>
    <mergeCell ref="AI227:AJ227"/>
    <mergeCell ref="AI225:AJ225"/>
    <mergeCell ref="M234:AE234"/>
    <mergeCell ref="M248:T248"/>
    <mergeCell ref="T189:AE189"/>
    <mergeCell ref="T194:U194"/>
    <mergeCell ref="E187:AE188"/>
    <mergeCell ref="I189:P189"/>
    <mergeCell ref="Y198:Z198"/>
    <mergeCell ref="AC233:AE233"/>
    <mergeCell ref="T195:U195"/>
    <mergeCell ref="H16:AJ16"/>
    <mergeCell ref="H18:AJ18"/>
    <mergeCell ref="O153:AH153"/>
    <mergeCell ref="O154:AH154"/>
    <mergeCell ref="A13:AL14"/>
    <mergeCell ref="A12:AL12"/>
    <mergeCell ref="G122:H122"/>
    <mergeCell ref="L122:N122"/>
    <mergeCell ref="Y129:AK129"/>
    <mergeCell ref="M26:Q26"/>
    <mergeCell ref="A21:AL21"/>
    <mergeCell ref="F150:T150"/>
    <mergeCell ref="M253:AE253"/>
    <mergeCell ref="J173:S173"/>
    <mergeCell ref="A11:AL11"/>
    <mergeCell ref="O155:AH155"/>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D219:Z219"/>
    <mergeCell ref="R177:S177"/>
    <mergeCell ref="U235:W235"/>
    <mergeCell ref="M242:AE242"/>
    <mergeCell ref="M237:T237"/>
    <mergeCell ref="Z203:AF205"/>
    <mergeCell ref="P204:U204"/>
    <mergeCell ref="M238:AE238"/>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M262:R262"/>
    <mergeCell ref="M264:T264"/>
    <mergeCell ref="H294:R294"/>
    <mergeCell ref="H297:R297"/>
    <mergeCell ref="H311:R311"/>
    <mergeCell ref="M254:R254"/>
    <mergeCell ref="AA305:AK305"/>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H304:R304"/>
    <mergeCell ref="AA324:AK324"/>
    <mergeCell ref="H314:M314"/>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C512:AF512"/>
    <mergeCell ref="W464:Y464"/>
    <mergeCell ref="AH518:AK518"/>
    <mergeCell ref="N625:O625"/>
    <mergeCell ref="AK639:AN639"/>
    <mergeCell ref="AH530:AK530"/>
    <mergeCell ref="AH526:AK526"/>
    <mergeCell ref="AC519:AF519"/>
    <mergeCell ref="D469:V469"/>
    <mergeCell ref="Y489:AC489"/>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AH791:AL791"/>
    <mergeCell ref="T793:W793"/>
    <mergeCell ref="T787:W787"/>
    <mergeCell ref="U821:X822"/>
    <mergeCell ref="Z804:AE804"/>
    <mergeCell ref="Z805:AE805"/>
    <mergeCell ref="AG829:AJ829"/>
    <mergeCell ref="Y829:AB829"/>
    <mergeCell ref="U829:X829"/>
    <mergeCell ref="Q829:T829"/>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T782:W785"/>
    <mergeCell ref="T786:W786"/>
    <mergeCell ref="Q827:T827"/>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AC829:AF829"/>
    <mergeCell ref="Y827:AB827"/>
    <mergeCell ref="AC827:AF827"/>
    <mergeCell ref="Q828:T828"/>
    <mergeCell ref="AG828:AJ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39:F739"/>
    <mergeCell ref="B738:F738"/>
    <mergeCell ref="T739:W739"/>
    <mergeCell ref="G740:J740"/>
    <mergeCell ref="B737:F737"/>
    <mergeCell ref="T738:W738"/>
    <mergeCell ref="X733:AB733"/>
    <mergeCell ref="X732:AB732"/>
    <mergeCell ref="K737:N737"/>
    <mergeCell ref="K738:N738"/>
    <mergeCell ref="K739:N739"/>
    <mergeCell ref="G741:J741"/>
    <mergeCell ref="X739:AB739"/>
    <mergeCell ref="X735:AB735"/>
    <mergeCell ref="X738:AB738"/>
    <mergeCell ref="B733:F733"/>
    <mergeCell ref="B735:F735"/>
    <mergeCell ref="B734:F734"/>
    <mergeCell ref="B736:F736"/>
    <mergeCell ref="K734:N734"/>
    <mergeCell ref="K735:N735"/>
    <mergeCell ref="O733:S733"/>
    <mergeCell ref="O732:S732"/>
    <mergeCell ref="O735:S735"/>
    <mergeCell ref="O736:S736"/>
    <mergeCell ref="O734:S734"/>
    <mergeCell ref="T736:W736"/>
    <mergeCell ref="T733:W733"/>
    <mergeCell ref="T734:W734"/>
    <mergeCell ref="T735:W735"/>
    <mergeCell ref="X734:AB734"/>
    <mergeCell ref="B728:F728"/>
    <mergeCell ref="AE709:AI709"/>
    <mergeCell ref="A719:AO721"/>
    <mergeCell ref="AC724:AG727"/>
    <mergeCell ref="O737:S737"/>
    <mergeCell ref="O738:S738"/>
    <mergeCell ref="B724:F727"/>
    <mergeCell ref="O728:S728"/>
    <mergeCell ref="AH738:AJ738"/>
    <mergeCell ref="T724:W727"/>
    <mergeCell ref="B729:F729"/>
    <mergeCell ref="B730:F730"/>
    <mergeCell ref="B732:F732"/>
    <mergeCell ref="B731:F731"/>
    <mergeCell ref="G734:J734"/>
    <mergeCell ref="G733:J733"/>
    <mergeCell ref="G730:J730"/>
    <mergeCell ref="G729:J729"/>
    <mergeCell ref="X737:AB737"/>
    <mergeCell ref="K730:N730"/>
    <mergeCell ref="K731:N731"/>
    <mergeCell ref="K729:N729"/>
    <mergeCell ref="O731:S731"/>
    <mergeCell ref="O730:S730"/>
    <mergeCell ref="O729:S729"/>
    <mergeCell ref="T731:W731"/>
    <mergeCell ref="T730:W730"/>
    <mergeCell ref="AC735:AG735"/>
    <mergeCell ref="AC736:AG736"/>
    <mergeCell ref="AC730:AG730"/>
    <mergeCell ref="AC731:AG731"/>
    <mergeCell ref="AC733:AG733"/>
    <mergeCell ref="H658:R658"/>
    <mergeCell ref="G657:L657"/>
    <mergeCell ref="G615:L615"/>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T788:W788"/>
    <mergeCell ref="T789:W789"/>
    <mergeCell ref="AC745:AG745"/>
    <mergeCell ref="O782:S785"/>
    <mergeCell ref="O756:R756"/>
    <mergeCell ref="AG756:AJ756"/>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BK615:BL615"/>
    <mergeCell ref="BN625:BR625"/>
    <mergeCell ref="BE622:BF622"/>
    <mergeCell ref="BE620:BF620"/>
    <mergeCell ref="BE621:BF621"/>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M619:CQ619"/>
    <mergeCell ref="CM625:CQ625"/>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M613:CQ613"/>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Z613:AK613"/>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G437:AJ43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7:J737"/>
    <mergeCell ref="D1078:AK1081"/>
    <mergeCell ref="D1082:AK1084"/>
    <mergeCell ref="A1074:B1074"/>
    <mergeCell ref="AE944:AK944"/>
    <mergeCell ref="AE945:AK945"/>
    <mergeCell ref="AA932:AF932"/>
    <mergeCell ref="T740:W740"/>
    <mergeCell ref="M951:S951"/>
    <mergeCell ref="O791:S791"/>
    <mergeCell ref="A1078:B1078"/>
    <mergeCell ref="G743:J743"/>
    <mergeCell ref="A1071:B1071"/>
    <mergeCell ref="K742:N742"/>
    <mergeCell ref="AH749:AJ749"/>
    <mergeCell ref="AH750:AJ750"/>
    <mergeCell ref="Y823:AB823"/>
    <mergeCell ref="AC888:AH888"/>
    <mergeCell ref="AC741:AG741"/>
    <mergeCell ref="AC742:AG742"/>
    <mergeCell ref="AC743:AG743"/>
    <mergeCell ref="AC737:AG737"/>
    <mergeCell ref="AC738:AG738"/>
    <mergeCell ref="Y830:AB830"/>
    <mergeCell ref="AH731:AJ731"/>
    <mergeCell ref="T728:W728"/>
    <mergeCell ref="M869:V869"/>
    <mergeCell ref="AC749:AG749"/>
    <mergeCell ref="O776:S776"/>
    <mergeCell ref="AH739:AJ739"/>
    <mergeCell ref="T737:W737"/>
    <mergeCell ref="AH737:AJ737"/>
    <mergeCell ref="T744:W744"/>
    <mergeCell ref="AH736:AJ736"/>
    <mergeCell ref="K749:N749"/>
    <mergeCell ref="AC744:AG744"/>
    <mergeCell ref="AC772:AG772"/>
    <mergeCell ref="O774:S774"/>
    <mergeCell ref="Z811:AE811"/>
    <mergeCell ref="Y799:AC799"/>
    <mergeCell ref="J782:N785"/>
    <mergeCell ref="AH735:AJ735"/>
    <mergeCell ref="O739:S739"/>
    <mergeCell ref="M830:P830"/>
    <mergeCell ref="W855:AC855"/>
    <mergeCell ref="AC826:AF826"/>
    <mergeCell ref="U825:X825"/>
    <mergeCell ref="Y824:AB824"/>
    <mergeCell ref="AC824:AF824"/>
    <mergeCell ref="Z677:AK677"/>
    <mergeCell ref="K728:N728"/>
    <mergeCell ref="AG699:AH699"/>
    <mergeCell ref="AE703:AF703"/>
    <mergeCell ref="AE704:AF704"/>
    <mergeCell ref="AA682:AK682"/>
    <mergeCell ref="Z694:AK694"/>
    <mergeCell ref="Z697:AE697"/>
    <mergeCell ref="G694:R694"/>
    <mergeCell ref="AH728:AJ728"/>
    <mergeCell ref="AH732:AJ732"/>
    <mergeCell ref="T732:W732"/>
    <mergeCell ref="T729:W729"/>
    <mergeCell ref="AC734:AG734"/>
    <mergeCell ref="AC729:AG729"/>
    <mergeCell ref="AC732:AG732"/>
    <mergeCell ref="AC823:AF823"/>
    <mergeCell ref="G745:J745"/>
    <mergeCell ref="G746:J746"/>
    <mergeCell ref="X745:AB745"/>
    <mergeCell ref="X746:AB746"/>
    <mergeCell ref="X747:AB747"/>
    <mergeCell ref="T746:W746"/>
    <mergeCell ref="T745:W745"/>
    <mergeCell ref="T747:W747"/>
    <mergeCell ref="O745:S745"/>
    <mergeCell ref="AC746:AG746"/>
    <mergeCell ref="O793:S793"/>
    <mergeCell ref="T748:W748"/>
    <mergeCell ref="O795:S795"/>
    <mergeCell ref="O796:S796"/>
    <mergeCell ref="C762:AR764"/>
    <mergeCell ref="BI844:BL844"/>
    <mergeCell ref="AC821:AF822"/>
    <mergeCell ref="Z814:AE814"/>
    <mergeCell ref="G678:R678"/>
    <mergeCell ref="P681:R681"/>
    <mergeCell ref="P697:R697"/>
    <mergeCell ref="Z653:AK653"/>
    <mergeCell ref="J715:O715"/>
    <mergeCell ref="J714:X714"/>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N683:O683"/>
    <mergeCell ref="G697:L697"/>
    <mergeCell ref="G665:L665"/>
    <mergeCell ref="AE712:AF712"/>
    <mergeCell ref="Z665:AE665"/>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G687:R687"/>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Z685:AK685"/>
    <mergeCell ref="P689:R689"/>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C728:AG728"/>
    <mergeCell ref="Z679:AK679"/>
    <mergeCell ref="Z695:AK695"/>
    <mergeCell ref="G685:R685"/>
    <mergeCell ref="AK724:AO7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B742:F742"/>
    <mergeCell ref="G748:J748"/>
    <mergeCell ref="G747:J7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DR660:DV660"/>
    <mergeCell ref="CS658:CW658"/>
    <mergeCell ref="DH655:DL655"/>
    <mergeCell ref="DM655:DQ655"/>
    <mergeCell ref="DR655:DV655"/>
    <mergeCell ref="CS656:CW656"/>
    <mergeCell ref="CX656:DB656"/>
    <mergeCell ref="DC656:DG656"/>
    <mergeCell ref="DH656:DL656"/>
    <mergeCell ref="DM656:DQ656"/>
    <mergeCell ref="DR656:DV656"/>
    <mergeCell ref="DH654:DL654"/>
    <mergeCell ref="DM654:DQ654"/>
    <mergeCell ref="BN658:BR658"/>
    <mergeCell ref="BX657:CB657"/>
    <mergeCell ref="CC658:CG658"/>
    <mergeCell ref="CH658:CL658"/>
    <mergeCell ref="CM658:CQ658"/>
    <mergeCell ref="BS656:BW656"/>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4:AO734"/>
    <mergeCell ref="AK735:AO735"/>
    <mergeCell ref="AK736:AO736"/>
    <mergeCell ref="AK737:AO737"/>
    <mergeCell ref="X744:AB744"/>
    <mergeCell ref="X743:AB743"/>
    <mergeCell ref="BS654:BW654"/>
    <mergeCell ref="AK749:AO749"/>
    <mergeCell ref="CS657:CW657"/>
    <mergeCell ref="CX657:DB657"/>
    <mergeCell ref="T487:X487"/>
    <mergeCell ref="T489:X489"/>
    <mergeCell ref="T493:X493"/>
    <mergeCell ref="T492:X492"/>
    <mergeCell ref="T495:X495"/>
    <mergeCell ref="T494:X494"/>
    <mergeCell ref="T486:X486"/>
    <mergeCell ref="Y494:AC494"/>
    <mergeCell ref="AD495:AH495"/>
    <mergeCell ref="Y492:AC492"/>
    <mergeCell ref="Y495:AC495"/>
    <mergeCell ref="AD494:AH494"/>
    <mergeCell ref="AD493:AH493"/>
    <mergeCell ref="Y493:AC493"/>
    <mergeCell ref="AD492:AH492"/>
    <mergeCell ref="AD487:AH487"/>
    <mergeCell ref="AD488:AH488"/>
    <mergeCell ref="AC548:AF548"/>
    <mergeCell ref="AC538:AF538"/>
    <mergeCell ref="AC546:AF546"/>
    <mergeCell ref="AC541:AF541"/>
    <mergeCell ref="AC550:AF550"/>
    <mergeCell ref="AC549:AF549"/>
    <mergeCell ref="AC532:AF532"/>
    <mergeCell ref="AC539:AF539"/>
    <mergeCell ref="AC535:AF535"/>
    <mergeCell ref="AC543:AF543"/>
    <mergeCell ref="AC536:AF536"/>
    <mergeCell ref="AC529:AF529"/>
    <mergeCell ref="AC545:AF545"/>
    <mergeCell ref="AC537:AF537"/>
    <mergeCell ref="AC527:AF527"/>
    <mergeCell ref="AC526:AF526"/>
    <mergeCell ref="AG436:AJ436"/>
    <mergeCell ref="AG439:AJ439"/>
    <mergeCell ref="AG438:AJ438"/>
    <mergeCell ref="D437:AF437"/>
    <mergeCell ref="D438:AF438"/>
    <mergeCell ref="B529:H531"/>
    <mergeCell ref="D464:V464"/>
    <mergeCell ref="W467:Y467"/>
    <mergeCell ref="Y484:AC485"/>
    <mergeCell ref="AC515:AF515"/>
    <mergeCell ref="AG442:AJ442"/>
    <mergeCell ref="AG443:AJ443"/>
    <mergeCell ref="AC453:AF453"/>
    <mergeCell ref="D441:AF441"/>
    <mergeCell ref="AH531:AK531"/>
    <mergeCell ref="AC516:AF516"/>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3" zoomScaleNormal="100" zoomScaleSheetLayoutView="90" workbookViewId="0">
      <selection activeCell="T8" sqref="T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24" t="s">
        <v>647</v>
      </c>
      <c r="G1" s="2625"/>
      <c r="H1" s="2625"/>
      <c r="I1" s="2625"/>
      <c r="J1" s="2625"/>
      <c r="K1" s="2625"/>
      <c r="L1" s="2625"/>
      <c r="M1" s="2625"/>
      <c r="N1" s="2625"/>
      <c r="O1" s="2625"/>
      <c r="P1" s="2625"/>
      <c r="Q1" s="2625"/>
      <c r="R1" s="2626"/>
      <c r="S1" s="168"/>
      <c r="T1" s="167"/>
      <c r="U1" s="169"/>
    </row>
    <row r="2" spans="1:21" s="208" customFormat="1" ht="71.25" customHeight="1">
      <c r="A2" s="207"/>
      <c r="B2" s="208" t="s">
        <v>24</v>
      </c>
      <c r="C2" s="208" t="s">
        <v>388</v>
      </c>
      <c r="D2" s="208" t="s">
        <v>387</v>
      </c>
      <c r="E2" s="208" t="s">
        <v>25</v>
      </c>
      <c r="F2" s="209" t="str">
        <f>Application!B637&amp;Application!C637</f>
        <v>1)Tax-Exempt Permanent Loan</v>
      </c>
      <c r="G2" s="209" t="str">
        <f>Application!B638&amp;Application!C638</f>
        <v>2)CA HCD - VHHP</v>
      </c>
      <c r="H2" s="209" t="str">
        <f>Application!B639&amp;Application!C639</f>
        <v>3)LA County Development Authority - AHTF</v>
      </c>
      <c r="I2" s="209" t="str">
        <f>Application!B640&amp;Application!C640</f>
        <v>4)Accrued Deferred Interest - LACDA</v>
      </c>
      <c r="J2" s="209" t="str">
        <f>Application!B641&amp;Application!C641</f>
        <v>5)CalHFA/LACDMH SNHP</v>
      </c>
      <c r="K2" s="209" t="str">
        <f>Application!B642&amp;Application!C642</f>
        <v>6)Accrued Deferred Interest - SNHP</v>
      </c>
      <c r="L2" s="209" t="str">
        <f>Application!B643&amp;Application!C643</f>
        <v>7)Deferred Developer Fee</v>
      </c>
      <c r="M2" s="209" t="str">
        <f>Application!B644&amp;Application!C644</f>
        <v>8)Recontributed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1287686</v>
      </c>
      <c r="C4" s="217">
        <v>1287686</v>
      </c>
      <c r="D4" s="217"/>
      <c r="E4" s="1898">
        <v>1287686</v>
      </c>
      <c r="F4" s="217"/>
      <c r="G4" s="217"/>
      <c r="H4" s="217"/>
      <c r="I4" s="217"/>
      <c r="J4" s="217"/>
      <c r="K4" s="217"/>
      <c r="L4" s="217"/>
      <c r="M4" s="217"/>
      <c r="N4" s="217"/>
      <c r="O4" s="217"/>
      <c r="P4" s="217"/>
      <c r="Q4" s="217"/>
      <c r="R4" s="871">
        <f>SUM(E4:Q4)</f>
        <v>1287686</v>
      </c>
      <c r="S4" s="218"/>
      <c r="T4" s="218"/>
      <c r="U4" s="213"/>
    </row>
    <row r="5" spans="1:21" s="214" customFormat="1">
      <c r="A5" s="215" t="s">
        <v>29</v>
      </c>
      <c r="B5" s="216">
        <f>SUM(C5+D5)</f>
        <v>166328</v>
      </c>
      <c r="C5" s="217">
        <v>166328</v>
      </c>
      <c r="D5" s="217"/>
      <c r="E5" s="1898">
        <v>166328</v>
      </c>
      <c r="F5" s="217"/>
      <c r="G5" s="217"/>
      <c r="H5" s="217"/>
      <c r="I5" s="217"/>
      <c r="J5" s="217"/>
      <c r="K5" s="217"/>
      <c r="L5" s="217"/>
      <c r="M5" s="217"/>
      <c r="N5" s="217"/>
      <c r="O5" s="217"/>
      <c r="P5" s="217"/>
      <c r="Q5" s="217"/>
      <c r="R5" s="871">
        <f>SUM(E5:Q5)</f>
        <v>166328</v>
      </c>
      <c r="S5" s="218"/>
      <c r="T5" s="218"/>
      <c r="U5" s="213"/>
    </row>
    <row r="6" spans="1:21" s="214" customFormat="1">
      <c r="A6" s="215" t="s">
        <v>30</v>
      </c>
      <c r="B6" s="216">
        <f>SUM(C6+D6)</f>
        <v>4262</v>
      </c>
      <c r="C6" s="217">
        <v>4262</v>
      </c>
      <c r="D6" s="217"/>
      <c r="E6" s="1898">
        <v>4262</v>
      </c>
      <c r="F6" s="217"/>
      <c r="G6" s="217"/>
      <c r="H6" s="217"/>
      <c r="I6" s="217"/>
      <c r="J6" s="217"/>
      <c r="K6" s="217"/>
      <c r="L6" s="217"/>
      <c r="M6" s="217"/>
      <c r="N6" s="217"/>
      <c r="O6" s="217"/>
      <c r="P6" s="217"/>
      <c r="Q6" s="217"/>
      <c r="R6" s="871">
        <f>SUM(E6:Q6)</f>
        <v>4262</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1458276</v>
      </c>
      <c r="C8" s="216">
        <f t="shared" ref="C8:Q8" si="0">SUM(C4:C7)</f>
        <v>1458276</v>
      </c>
      <c r="D8" s="216">
        <f t="shared" si="0"/>
        <v>0</v>
      </c>
      <c r="E8" s="216">
        <f t="shared" si="0"/>
        <v>1458276</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1458276</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98175</v>
      </c>
      <c r="C10" s="217">
        <v>98175</v>
      </c>
      <c r="D10" s="217"/>
      <c r="E10" s="217">
        <v>98175</v>
      </c>
      <c r="F10" s="217"/>
      <c r="G10" s="217"/>
      <c r="H10" s="217"/>
      <c r="I10" s="217"/>
      <c r="J10" s="217"/>
      <c r="K10" s="217"/>
      <c r="L10" s="217"/>
      <c r="M10" s="217"/>
      <c r="N10" s="217"/>
      <c r="O10" s="217"/>
      <c r="P10" s="217"/>
      <c r="Q10" s="217"/>
      <c r="R10" s="871">
        <f>SUM(E10:Q10)</f>
        <v>98175</v>
      </c>
      <c r="S10" s="217">
        <f>R10</f>
        <v>98175</v>
      </c>
      <c r="T10" s="217"/>
      <c r="U10" s="213"/>
    </row>
    <row r="11" spans="1:21" s="214" customFormat="1">
      <c r="A11" s="219" t="s">
        <v>622</v>
      </c>
      <c r="B11" s="216">
        <f>SUM(C11:D11)</f>
        <v>98175</v>
      </c>
      <c r="C11" s="216">
        <f t="shared" ref="C11:Q11" si="1">SUM(C9:C10)</f>
        <v>98175</v>
      </c>
      <c r="D11" s="216">
        <f t="shared" si="1"/>
        <v>0</v>
      </c>
      <c r="E11" s="216">
        <f t="shared" si="1"/>
        <v>98175</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98175</v>
      </c>
      <c r="S11" s="218"/>
      <c r="T11" s="220">
        <f>SUM(T9:T10)</f>
        <v>0</v>
      </c>
      <c r="U11" s="213"/>
    </row>
    <row r="12" spans="1:21" s="214" customFormat="1">
      <c r="A12" s="219" t="s">
        <v>89</v>
      </c>
      <c r="B12" s="216">
        <f t="shared" ref="B12:Q12" si="2">SUM(B8+B11)</f>
        <v>1556451</v>
      </c>
      <c r="C12" s="216">
        <f t="shared" si="2"/>
        <v>1556451</v>
      </c>
      <c r="D12" s="216">
        <f t="shared" si="2"/>
        <v>0</v>
      </c>
      <c r="E12" s="216">
        <f t="shared" si="2"/>
        <v>1556451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1556451</v>
      </c>
      <c r="S12" s="218"/>
      <c r="T12" s="218"/>
      <c r="U12" s="213"/>
    </row>
    <row r="13" spans="1:21" s="214" customFormat="1">
      <c r="A13" s="446" t="s">
        <v>954</v>
      </c>
      <c r="B13" s="216">
        <f>SUM(C13+D13)</f>
        <v>769497</v>
      </c>
      <c r="C13" s="217">
        <v>769497</v>
      </c>
      <c r="D13" s="217"/>
      <c r="E13" s="217">
        <f>C13</f>
        <v>769497</v>
      </c>
      <c r="F13" s="217"/>
      <c r="G13" s="217"/>
      <c r="H13" s="217"/>
      <c r="I13" s="217"/>
      <c r="J13" s="217"/>
      <c r="K13" s="217"/>
      <c r="L13" s="217"/>
      <c r="M13" s="217"/>
      <c r="N13" s="217"/>
      <c r="O13" s="217"/>
      <c r="P13" s="217"/>
      <c r="Q13" s="217"/>
      <c r="R13" s="871">
        <f>SUM(E13:Q13)</f>
        <v>769497</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145314</v>
      </c>
      <c r="C15" s="217">
        <v>145314</v>
      </c>
      <c r="D15" s="217"/>
      <c r="E15" s="217">
        <f>C15</f>
        <v>145314</v>
      </c>
      <c r="F15" s="217"/>
      <c r="G15" s="217"/>
      <c r="H15" s="217"/>
      <c r="I15" s="217"/>
      <c r="J15" s="217"/>
      <c r="K15" s="217"/>
      <c r="L15" s="217"/>
      <c r="M15" s="217"/>
      <c r="N15" s="217"/>
      <c r="O15" s="217"/>
      <c r="P15" s="217"/>
      <c r="Q15" s="217"/>
      <c r="R15" s="871">
        <f>SUM(E15:Q15)</f>
        <v>145314</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329187</v>
      </c>
      <c r="C29" s="217">
        <v>329187</v>
      </c>
      <c r="D29" s="217"/>
      <c r="E29" s="217"/>
      <c r="F29" s="217">
        <v>300138</v>
      </c>
      <c r="G29" s="217">
        <v>29049</v>
      </c>
      <c r="H29" s="217"/>
      <c r="I29" s="217"/>
      <c r="J29" s="217"/>
      <c r="K29" s="217"/>
      <c r="L29" s="217"/>
      <c r="M29" s="217"/>
      <c r="N29" s="217"/>
      <c r="O29" s="217"/>
      <c r="P29" s="217"/>
      <c r="Q29" s="217"/>
      <c r="R29" s="871">
        <f t="shared" ref="R29:R37" si="7">SUM(E29:Q29)</f>
        <v>329187</v>
      </c>
      <c r="S29" s="217">
        <f>R29</f>
        <v>329187</v>
      </c>
      <c r="T29" s="217"/>
      <c r="U29" s="213"/>
    </row>
    <row r="30" spans="1:21" s="214" customFormat="1">
      <c r="A30" s="215" t="s">
        <v>625</v>
      </c>
      <c r="B30" s="216">
        <f t="shared" si="6"/>
        <v>15372890</v>
      </c>
      <c r="C30" s="217">
        <v>15372890</v>
      </c>
      <c r="D30" s="217"/>
      <c r="E30" s="217"/>
      <c r="F30" s="217"/>
      <c r="G30" s="217">
        <v>8372890</v>
      </c>
      <c r="H30" s="217">
        <v>5000000</v>
      </c>
      <c r="I30" s="217"/>
      <c r="J30" s="217">
        <v>2000000</v>
      </c>
      <c r="K30" s="217"/>
      <c r="L30" s="217"/>
      <c r="M30" s="217"/>
      <c r="N30" s="217"/>
      <c r="O30" s="217"/>
      <c r="P30" s="217"/>
      <c r="Q30" s="217"/>
      <c r="R30" s="871">
        <f t="shared" si="7"/>
        <v>15372890</v>
      </c>
      <c r="S30" s="217">
        <f>R30</f>
        <v>15372890</v>
      </c>
      <c r="T30" s="217"/>
      <c r="U30" s="213"/>
    </row>
    <row r="31" spans="1:21" s="214" customFormat="1">
      <c r="A31" s="215" t="s">
        <v>626</v>
      </c>
      <c r="B31" s="216">
        <f t="shared" si="6"/>
        <v>957995</v>
      </c>
      <c r="C31" s="217">
        <v>957995</v>
      </c>
      <c r="D31" s="217"/>
      <c r="E31" s="217"/>
      <c r="F31" s="217">
        <v>957995</v>
      </c>
      <c r="G31" s="217"/>
      <c r="H31" s="217"/>
      <c r="I31" s="217"/>
      <c r="J31" s="217"/>
      <c r="K31" s="217"/>
      <c r="L31" s="217"/>
      <c r="M31" s="217"/>
      <c r="N31" s="217"/>
      <c r="O31" s="217"/>
      <c r="P31" s="217"/>
      <c r="Q31" s="217"/>
      <c r="R31" s="871">
        <f t="shared" si="7"/>
        <v>957995</v>
      </c>
      <c r="S31" s="217">
        <f>R31</f>
        <v>957995</v>
      </c>
      <c r="T31" s="217"/>
      <c r="U31" s="213"/>
    </row>
    <row r="32" spans="1:21" s="214" customFormat="1">
      <c r="A32" s="215" t="s">
        <v>142</v>
      </c>
      <c r="B32" s="216">
        <f t="shared" si="6"/>
        <v>338491</v>
      </c>
      <c r="C32" s="217">
        <v>338491</v>
      </c>
      <c r="D32" s="217"/>
      <c r="E32" s="217"/>
      <c r="F32" s="217">
        <v>338491</v>
      </c>
      <c r="G32" s="217"/>
      <c r="H32" s="217"/>
      <c r="I32" s="217"/>
      <c r="J32" s="217"/>
      <c r="K32" s="217"/>
      <c r="L32" s="217"/>
      <c r="M32" s="217"/>
      <c r="N32" s="217"/>
      <c r="O32" s="217"/>
      <c r="P32" s="217"/>
      <c r="Q32" s="217"/>
      <c r="R32" s="871">
        <f t="shared" si="7"/>
        <v>338491</v>
      </c>
      <c r="S32" s="217">
        <f>R32</f>
        <v>338491</v>
      </c>
      <c r="T32" s="217"/>
      <c r="U32" s="213"/>
    </row>
    <row r="33" spans="1:21" s="214" customFormat="1">
      <c r="A33" s="215" t="s">
        <v>143</v>
      </c>
      <c r="B33" s="216">
        <f t="shared" si="6"/>
        <v>938835</v>
      </c>
      <c r="C33" s="217">
        <v>938835</v>
      </c>
      <c r="D33" s="217"/>
      <c r="E33" s="217"/>
      <c r="F33" s="217">
        <v>938835</v>
      </c>
      <c r="G33" s="217"/>
      <c r="H33" s="217"/>
      <c r="I33" s="217"/>
      <c r="J33" s="217"/>
      <c r="K33" s="217"/>
      <c r="L33" s="217"/>
      <c r="M33" s="217"/>
      <c r="N33" s="217"/>
      <c r="O33" s="217"/>
      <c r="P33" s="217"/>
      <c r="Q33" s="217"/>
      <c r="R33" s="871">
        <f t="shared" si="7"/>
        <v>938835</v>
      </c>
      <c r="S33" s="217">
        <f>R33</f>
        <v>938835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546058</v>
      </c>
      <c r="C35" s="217">
        <v>546058</v>
      </c>
      <c r="D35" s="217"/>
      <c r="E35" s="217"/>
      <c r="F35" s="217">
        <v>546058</v>
      </c>
      <c r="G35" s="217"/>
      <c r="H35" s="217"/>
      <c r="I35" s="217"/>
      <c r="J35" s="217"/>
      <c r="K35" s="217"/>
      <c r="L35" s="217"/>
      <c r="M35" s="217"/>
      <c r="N35" s="217"/>
      <c r="O35" s="217"/>
      <c r="P35" s="217"/>
      <c r="Q35" s="217"/>
      <c r="R35" s="871">
        <f t="shared" si="7"/>
        <v>546058</v>
      </c>
      <c r="S35" s="217">
        <f>R35</f>
        <v>546058</v>
      </c>
      <c r="T35" s="217"/>
      <c r="U35" s="213"/>
    </row>
    <row r="36" spans="1:21" s="214" customFormat="1">
      <c r="A36" s="1653" t="s">
        <v>1848</v>
      </c>
      <c r="B36" s="216">
        <f t="shared" si="6"/>
        <v>123500</v>
      </c>
      <c r="C36" s="217">
        <v>123500</v>
      </c>
      <c r="D36" s="217"/>
      <c r="E36" s="217"/>
      <c r="F36" s="217">
        <v>123500</v>
      </c>
      <c r="G36" s="217"/>
      <c r="H36" s="217"/>
      <c r="I36" s="217"/>
      <c r="J36" s="217"/>
      <c r="K36" s="217"/>
      <c r="L36" s="217"/>
      <c r="M36" s="217"/>
      <c r="N36" s="217"/>
      <c r="O36" s="217"/>
      <c r="P36" s="217"/>
      <c r="Q36" s="217"/>
      <c r="R36" s="871">
        <f t="shared" si="7"/>
        <v>123500</v>
      </c>
      <c r="S36" s="217">
        <f>R36</f>
        <v>123500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18606956</v>
      </c>
      <c r="C38" s="216">
        <f>SUM(C29:C37)</f>
        <v>18606956</v>
      </c>
      <c r="D38" s="216">
        <f t="shared" ref="D38:Q38" si="8">SUM(D29:D37)</f>
        <v>0</v>
      </c>
      <c r="E38" s="216">
        <f t="shared" si="8"/>
        <v>0</v>
      </c>
      <c r="F38" s="216">
        <f t="shared" si="8"/>
        <v>3205017</v>
      </c>
      <c r="G38" s="216">
        <f t="shared" si="8"/>
        <v>8401939</v>
      </c>
      <c r="H38" s="216">
        <f t="shared" si="8"/>
        <v>5000000</v>
      </c>
      <c r="I38" s="216">
        <f t="shared" si="8"/>
        <v>0</v>
      </c>
      <c r="J38" s="216">
        <f t="shared" si="8"/>
        <v>2000000</v>
      </c>
      <c r="K38" s="216">
        <f t="shared" si="8"/>
        <v>0</v>
      </c>
      <c r="L38" s="216">
        <f t="shared" si="8"/>
        <v>0</v>
      </c>
      <c r="M38" s="216">
        <f t="shared" si="8"/>
        <v>0</v>
      </c>
      <c r="N38" s="216">
        <f t="shared" si="8"/>
        <v>0</v>
      </c>
      <c r="O38" s="216">
        <f t="shared" si="8"/>
        <v>0</v>
      </c>
      <c r="P38" s="216">
        <f t="shared" si="8"/>
        <v>0</v>
      </c>
      <c r="Q38" s="216">
        <f t="shared" si="8"/>
        <v>0</v>
      </c>
      <c r="R38" s="527">
        <f>SUM(R29:R37)</f>
        <v>18606956</v>
      </c>
      <c r="S38" s="220">
        <f>SUM(S29:S37)</f>
        <v>18606956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853000</v>
      </c>
      <c r="C40" s="217">
        <v>853000</v>
      </c>
      <c r="D40" s="217"/>
      <c r="E40" s="217">
        <v>487017</v>
      </c>
      <c r="F40" s="217">
        <v>365983</v>
      </c>
      <c r="G40" s="217"/>
      <c r="H40" s="217"/>
      <c r="I40" s="217"/>
      <c r="J40" s="217"/>
      <c r="K40" s="217"/>
      <c r="L40" s="217"/>
      <c r="M40" s="217"/>
      <c r="N40" s="217"/>
      <c r="O40" s="217"/>
      <c r="P40" s="217"/>
      <c r="Q40" s="217"/>
      <c r="R40" s="871">
        <f>SUM(E40:Q40)</f>
        <v>853000</v>
      </c>
      <c r="S40" s="217">
        <f>R40</f>
        <v>853000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853000</v>
      </c>
      <c r="C42" s="216">
        <f>SUM(C39:C41)</f>
        <v>853000</v>
      </c>
      <c r="D42" s="216">
        <f>SUM(D39:D41)</f>
        <v>0</v>
      </c>
      <c r="E42" s="216">
        <f t="shared" ref="E42:T42" si="9">SUM(E40:E41)</f>
        <v>487017</v>
      </c>
      <c r="F42" s="216">
        <f t="shared" si="9"/>
        <v>365983</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853000</v>
      </c>
      <c r="S42" s="220">
        <f t="shared" si="9"/>
        <v>853000</v>
      </c>
      <c r="T42" s="220">
        <f t="shared" si="9"/>
        <v>0</v>
      </c>
      <c r="U42" s="213"/>
    </row>
    <row r="43" spans="1:21" s="214" customFormat="1">
      <c r="A43" s="219" t="s">
        <v>153</v>
      </c>
      <c r="B43" s="216">
        <f>SUM(C43:D43)</f>
        <v>330000</v>
      </c>
      <c r="C43" s="217">
        <v>330000</v>
      </c>
      <c r="D43" s="217"/>
      <c r="E43" s="217">
        <v>330000</v>
      </c>
      <c r="F43" s="217"/>
      <c r="G43" s="217"/>
      <c r="H43" s="217"/>
      <c r="I43" s="217"/>
      <c r="J43" s="217"/>
      <c r="K43" s="217"/>
      <c r="L43" s="217"/>
      <c r="M43" s="217"/>
      <c r="N43" s="217"/>
      <c r="O43" s="217"/>
      <c r="P43" s="217"/>
      <c r="Q43" s="217"/>
      <c r="R43" s="871">
        <f>SUM(E43:Q43)</f>
        <v>330000</v>
      </c>
      <c r="S43" s="217">
        <f>R43</f>
        <v>330000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3166575</v>
      </c>
      <c r="C45" s="217">
        <v>3166575</v>
      </c>
      <c r="D45" s="217"/>
      <c r="E45" s="217">
        <v>2867284</v>
      </c>
      <c r="F45" s="217"/>
      <c r="G45" s="217"/>
      <c r="H45" s="217"/>
      <c r="I45" s="217">
        <v>213779</v>
      </c>
      <c r="J45" s="217"/>
      <c r="K45" s="217">
        <v>85512</v>
      </c>
      <c r="L45" s="217"/>
      <c r="M45" s="217"/>
      <c r="N45" s="217"/>
      <c r="O45" s="217"/>
      <c r="P45" s="217"/>
      <c r="Q45" s="217"/>
      <c r="R45" s="871">
        <f t="shared" ref="R45:R53" si="11">SUM(E45:Q45)</f>
        <v>3166575</v>
      </c>
      <c r="S45" s="217">
        <v>1570141</v>
      </c>
      <c r="T45" s="217"/>
      <c r="U45" s="213"/>
    </row>
    <row r="46" spans="1:21" s="214" customFormat="1">
      <c r="A46" s="215" t="s">
        <v>156</v>
      </c>
      <c r="B46" s="216">
        <f t="shared" si="10"/>
        <v>172271</v>
      </c>
      <c r="C46" s="217">
        <v>172271</v>
      </c>
      <c r="D46" s="217"/>
      <c r="E46" s="217">
        <v>172271</v>
      </c>
      <c r="F46" s="217"/>
      <c r="G46" s="217"/>
      <c r="H46" s="217"/>
      <c r="I46" s="217"/>
      <c r="J46" s="217"/>
      <c r="K46" s="217"/>
      <c r="L46" s="217"/>
      <c r="M46" s="217"/>
      <c r="N46" s="217"/>
      <c r="O46" s="217"/>
      <c r="P46" s="217"/>
      <c r="Q46" s="217"/>
      <c r="R46" s="871">
        <f t="shared" si="11"/>
        <v>172271</v>
      </c>
      <c r="S46" s="217">
        <v>30387</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242735</v>
      </c>
      <c r="C49" s="217">
        <v>242735</v>
      </c>
      <c r="D49" s="217"/>
      <c r="E49" s="217">
        <v>242735</v>
      </c>
      <c r="F49" s="217"/>
      <c r="G49" s="217"/>
      <c r="H49" s="217"/>
      <c r="I49" s="217"/>
      <c r="J49" s="217"/>
      <c r="K49" s="217"/>
      <c r="L49" s="217"/>
      <c r="M49" s="217"/>
      <c r="N49" s="217"/>
      <c r="O49" s="217"/>
      <c r="P49" s="217"/>
      <c r="Q49" s="217"/>
      <c r="R49" s="871">
        <f t="shared" si="11"/>
        <v>242735</v>
      </c>
      <c r="S49" s="217"/>
      <c r="T49" s="217"/>
      <c r="U49" s="213"/>
    </row>
    <row r="50" spans="1:21" s="214" customFormat="1">
      <c r="A50" s="215" t="s">
        <v>161</v>
      </c>
      <c r="B50" s="216">
        <f t="shared" si="10"/>
        <v>75000</v>
      </c>
      <c r="C50" s="217">
        <v>75000</v>
      </c>
      <c r="D50" s="217"/>
      <c r="E50" s="217">
        <f>C50</f>
        <v>75000</v>
      </c>
      <c r="F50" s="217"/>
      <c r="G50" s="217"/>
      <c r="H50" s="217"/>
      <c r="I50" s="217"/>
      <c r="J50" s="217"/>
      <c r="K50" s="217"/>
      <c r="L50" s="217"/>
      <c r="M50" s="217"/>
      <c r="N50" s="217"/>
      <c r="O50" s="217"/>
      <c r="P50" s="217"/>
      <c r="Q50" s="217"/>
      <c r="R50" s="871">
        <f t="shared" si="11"/>
        <v>75000</v>
      </c>
      <c r="S50" s="217">
        <v>75000</v>
      </c>
      <c r="T50" s="217"/>
      <c r="U50" s="213"/>
    </row>
    <row r="51" spans="1:21" s="214" customFormat="1">
      <c r="A51" s="437" t="s">
        <v>159</v>
      </c>
      <c r="B51" s="216">
        <f t="shared" si="10"/>
        <v>50000</v>
      </c>
      <c r="C51" s="217">
        <v>50000</v>
      </c>
      <c r="D51" s="217"/>
      <c r="E51" s="217">
        <f>C51</f>
        <v>50000</v>
      </c>
      <c r="F51" s="217"/>
      <c r="G51" s="217"/>
      <c r="H51" s="217"/>
      <c r="I51" s="217"/>
      <c r="J51" s="217"/>
      <c r="K51" s="217"/>
      <c r="L51" s="217"/>
      <c r="M51" s="217"/>
      <c r="N51" s="217"/>
      <c r="O51" s="217"/>
      <c r="P51" s="217"/>
      <c r="Q51" s="217"/>
      <c r="R51" s="871">
        <f t="shared" si="11"/>
        <v>50000</v>
      </c>
      <c r="S51" s="217">
        <v>33000</v>
      </c>
      <c r="T51" s="217"/>
      <c r="U51" s="213"/>
    </row>
    <row r="52" spans="1:21" s="214" customFormat="1">
      <c r="A52" s="215" t="s">
        <v>160</v>
      </c>
      <c r="B52" s="216">
        <f t="shared" si="10"/>
        <v>215421</v>
      </c>
      <c r="C52" s="217">
        <v>215421</v>
      </c>
      <c r="D52" s="217"/>
      <c r="E52" s="217">
        <f>C52</f>
        <v>215421</v>
      </c>
      <c r="F52" s="217"/>
      <c r="G52" s="217"/>
      <c r="H52" s="217"/>
      <c r="I52" s="217"/>
      <c r="J52" s="217"/>
      <c r="K52" s="217"/>
      <c r="L52" s="217"/>
      <c r="M52" s="217"/>
      <c r="N52" s="217"/>
      <c r="O52" s="217"/>
      <c r="P52" s="217"/>
      <c r="Q52" s="217"/>
      <c r="R52" s="871">
        <f t="shared" si="11"/>
        <v>215421</v>
      </c>
      <c r="S52" s="217">
        <v>215421</v>
      </c>
      <c r="T52" s="217"/>
      <c r="U52" s="213"/>
    </row>
    <row r="53" spans="1:21" s="214" customFormat="1">
      <c r="A53" s="1894" t="s">
        <v>2667</v>
      </c>
      <c r="B53" s="216">
        <f t="shared" si="10"/>
        <v>50000</v>
      </c>
      <c r="C53" s="217">
        <v>50000</v>
      </c>
      <c r="D53" s="217"/>
      <c r="E53" s="217">
        <f>C53</f>
        <v>50000</v>
      </c>
      <c r="F53" s="217"/>
      <c r="G53" s="217"/>
      <c r="H53" s="217"/>
      <c r="I53" s="217"/>
      <c r="J53" s="217"/>
      <c r="K53" s="217"/>
      <c r="L53" s="217"/>
      <c r="M53" s="217"/>
      <c r="N53" s="217"/>
      <c r="O53" s="217"/>
      <c r="P53" s="217"/>
      <c r="Q53" s="217"/>
      <c r="R53" s="871">
        <f t="shared" si="11"/>
        <v>50000</v>
      </c>
      <c r="S53" s="217">
        <v>8819</v>
      </c>
      <c r="T53" s="217"/>
      <c r="U53" s="213"/>
    </row>
    <row r="54" spans="1:21" s="224" customFormat="1">
      <c r="A54" s="219" t="s">
        <v>162</v>
      </c>
      <c r="B54" s="220">
        <f>SUM(C54:D54)</f>
        <v>3972002</v>
      </c>
      <c r="C54" s="220">
        <f t="shared" ref="C54:T54" si="12">SUM(C45:C53)</f>
        <v>3972002</v>
      </c>
      <c r="D54" s="220">
        <f t="shared" si="12"/>
        <v>0</v>
      </c>
      <c r="E54" s="220">
        <f t="shared" si="12"/>
        <v>3672711</v>
      </c>
      <c r="F54" s="220">
        <f t="shared" si="12"/>
        <v>0</v>
      </c>
      <c r="G54" s="220">
        <f t="shared" si="12"/>
        <v>0</v>
      </c>
      <c r="H54" s="220">
        <f t="shared" si="12"/>
        <v>0</v>
      </c>
      <c r="I54" s="220">
        <f t="shared" si="12"/>
        <v>213779</v>
      </c>
      <c r="J54" s="220">
        <f t="shared" si="12"/>
        <v>0</v>
      </c>
      <c r="K54" s="220">
        <f t="shared" si="12"/>
        <v>85512</v>
      </c>
      <c r="L54" s="220">
        <f t="shared" si="12"/>
        <v>0</v>
      </c>
      <c r="M54" s="220">
        <f t="shared" si="12"/>
        <v>0</v>
      </c>
      <c r="N54" s="220">
        <f t="shared" si="12"/>
        <v>0</v>
      </c>
      <c r="O54" s="220">
        <f t="shared" si="12"/>
        <v>0</v>
      </c>
      <c r="P54" s="220">
        <f t="shared" si="12"/>
        <v>0</v>
      </c>
      <c r="Q54" s="220">
        <f t="shared" si="12"/>
        <v>0</v>
      </c>
      <c r="R54" s="527">
        <f t="shared" si="12"/>
        <v>3972002</v>
      </c>
      <c r="S54" s="220">
        <f t="shared" si="12"/>
        <v>1932768</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35710</v>
      </c>
      <c r="C56" s="217">
        <v>35710</v>
      </c>
      <c r="D56" s="217"/>
      <c r="E56" s="217">
        <f>C56</f>
        <v>35710</v>
      </c>
      <c r="F56" s="217"/>
      <c r="G56" s="217"/>
      <c r="H56" s="217"/>
      <c r="I56" s="217"/>
      <c r="J56" s="217"/>
      <c r="K56" s="217"/>
      <c r="L56" s="217"/>
      <c r="M56" s="217"/>
      <c r="N56" s="217"/>
      <c r="O56" s="217"/>
      <c r="P56" s="217"/>
      <c r="Q56" s="217"/>
      <c r="R56" s="871">
        <f t="shared" ref="R56:R61" si="14">SUM(E56:Q56)</f>
        <v>35710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25000</v>
      </c>
      <c r="C58" s="217">
        <v>25000</v>
      </c>
      <c r="D58" s="217"/>
      <c r="E58" s="217">
        <f>C58</f>
        <v>25000</v>
      </c>
      <c r="F58" s="217"/>
      <c r="G58" s="217"/>
      <c r="H58" s="217"/>
      <c r="I58" s="217"/>
      <c r="J58" s="217"/>
      <c r="K58" s="217"/>
      <c r="L58" s="217"/>
      <c r="M58" s="217"/>
      <c r="N58" s="217"/>
      <c r="O58" s="217"/>
      <c r="P58" s="217"/>
      <c r="Q58" s="217"/>
      <c r="R58" s="871">
        <f t="shared" si="14"/>
        <v>25000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4" t="s">
        <v>2666</v>
      </c>
      <c r="B61" s="216">
        <f t="shared" si="13"/>
        <v>10000</v>
      </c>
      <c r="C61" s="217">
        <v>10000</v>
      </c>
      <c r="D61" s="217"/>
      <c r="E61" s="217">
        <f>C61</f>
        <v>10000</v>
      </c>
      <c r="F61" s="217"/>
      <c r="G61" s="217"/>
      <c r="H61" s="217"/>
      <c r="I61" s="217"/>
      <c r="J61" s="217"/>
      <c r="K61" s="217"/>
      <c r="L61" s="217"/>
      <c r="M61" s="217"/>
      <c r="N61" s="217"/>
      <c r="O61" s="217"/>
      <c r="P61" s="217"/>
      <c r="Q61" s="217"/>
      <c r="R61" s="871">
        <f t="shared" si="14"/>
        <v>10000</v>
      </c>
      <c r="S61" s="218"/>
      <c r="T61" s="218"/>
      <c r="U61" s="213"/>
    </row>
    <row r="62" spans="1:21" s="214" customFormat="1" ht="13.7" customHeight="1">
      <c r="A62" s="219" t="s">
        <v>306</v>
      </c>
      <c r="B62" s="216">
        <f>SUM(C62:D62)</f>
        <v>70710</v>
      </c>
      <c r="C62" s="216">
        <f t="shared" ref="C62:R62" si="15">SUM(C56:C61)</f>
        <v>70710</v>
      </c>
      <c r="D62" s="216">
        <f t="shared" si="15"/>
        <v>0</v>
      </c>
      <c r="E62" s="216">
        <f t="shared" si="15"/>
        <v>70710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70710</v>
      </c>
      <c r="S62" s="218"/>
      <c r="T62" s="218"/>
      <c r="U62" s="213"/>
    </row>
    <row r="63" spans="1:21" s="214" customFormat="1">
      <c r="A63" s="225" t="s">
        <v>307</v>
      </c>
      <c r="B63" s="216">
        <f t="shared" ref="B63:R63" si="16">SUM(B8+B11+B13+B14+B15+B26+B27+B38+B42+B43+B54+B62)</f>
        <v>26303930</v>
      </c>
      <c r="C63" s="216">
        <f t="shared" si="16"/>
        <v>26303930</v>
      </c>
      <c r="D63" s="216">
        <f t="shared" si="16"/>
        <v>0</v>
      </c>
      <c r="E63" s="216">
        <f t="shared" si="16"/>
        <v>7031700</v>
      </c>
      <c r="F63" s="216">
        <f t="shared" si="16"/>
        <v>3571000</v>
      </c>
      <c r="G63" s="216">
        <f t="shared" si="16"/>
        <v>8401939</v>
      </c>
      <c r="H63" s="216">
        <f t="shared" si="16"/>
        <v>5000000</v>
      </c>
      <c r="I63" s="216">
        <f t="shared" si="16"/>
        <v>213779</v>
      </c>
      <c r="J63" s="216">
        <f t="shared" si="16"/>
        <v>2000000</v>
      </c>
      <c r="K63" s="216">
        <f t="shared" si="16"/>
        <v>85512</v>
      </c>
      <c r="L63" s="216">
        <f t="shared" si="16"/>
        <v>0</v>
      </c>
      <c r="M63" s="216">
        <f t="shared" si="16"/>
        <v>0</v>
      </c>
      <c r="N63" s="216">
        <f t="shared" si="16"/>
        <v>0</v>
      </c>
      <c r="O63" s="216">
        <f t="shared" si="16"/>
        <v>0</v>
      </c>
      <c r="P63" s="216">
        <f t="shared" si="16"/>
        <v>0</v>
      </c>
      <c r="Q63" s="216">
        <f t="shared" si="16"/>
        <v>0</v>
      </c>
      <c r="R63" s="527">
        <f t="shared" si="16"/>
        <v>26303930</v>
      </c>
      <c r="S63" s="216">
        <f>SUM(S10+S13+S14+S15+S26+S27+S38+S42+S43+S54)</f>
        <v>21820899</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f>C65</f>
        <v>70000</v>
      </c>
      <c r="F65" s="217"/>
      <c r="G65" s="217"/>
      <c r="H65" s="217"/>
      <c r="I65" s="217"/>
      <c r="J65" s="217"/>
      <c r="K65" s="217"/>
      <c r="L65" s="217"/>
      <c r="M65" s="217"/>
      <c r="N65" s="217"/>
      <c r="O65" s="217"/>
      <c r="P65" s="217"/>
      <c r="Q65" s="217"/>
      <c r="R65" s="871">
        <f>SUM(E65:Q65)</f>
        <v>70000</v>
      </c>
      <c r="S65" s="217">
        <v>8819</v>
      </c>
      <c r="T65" s="217"/>
      <c r="U65" s="213"/>
    </row>
    <row r="66" spans="1:21" s="214" customFormat="1" ht="24" customHeight="1">
      <c r="A66" s="437" t="s">
        <v>1849</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1850</v>
      </c>
      <c r="B67" s="216">
        <f t="shared" si="17"/>
        <v>70000</v>
      </c>
      <c r="C67" s="217">
        <v>70000</v>
      </c>
      <c r="D67" s="217"/>
      <c r="E67" s="217">
        <f>C67</f>
        <v>70000</v>
      </c>
      <c r="F67" s="217"/>
      <c r="G67" s="217"/>
      <c r="H67" s="217"/>
      <c r="I67" s="217"/>
      <c r="J67" s="217"/>
      <c r="K67" s="217"/>
      <c r="L67" s="217"/>
      <c r="M67" s="217"/>
      <c r="N67" s="217"/>
      <c r="O67" s="217"/>
      <c r="P67" s="217"/>
      <c r="Q67" s="217"/>
      <c r="R67" s="871">
        <f t="shared" si="18"/>
        <v>70000</v>
      </c>
      <c r="S67" s="217">
        <f>R67</f>
        <v>70000</v>
      </c>
      <c r="T67" s="217"/>
      <c r="U67" s="213"/>
    </row>
    <row r="68" spans="1:21" s="214" customFormat="1" ht="12" customHeight="1">
      <c r="A68" s="437" t="s">
        <v>1856</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1894" t="s">
        <v>2665</v>
      </c>
      <c r="B69" s="216">
        <f t="shared" si="17"/>
        <v>60000</v>
      </c>
      <c r="C69" s="217">
        <v>60000</v>
      </c>
      <c r="D69" s="217"/>
      <c r="E69" s="217">
        <f>C69</f>
        <v>60000</v>
      </c>
      <c r="F69" s="217"/>
      <c r="G69" s="217"/>
      <c r="H69" s="217"/>
      <c r="I69" s="217"/>
      <c r="J69" s="217"/>
      <c r="K69" s="217"/>
      <c r="L69" s="217"/>
      <c r="M69" s="217"/>
      <c r="N69" s="217"/>
      <c r="O69" s="217"/>
      <c r="P69" s="217"/>
      <c r="Q69" s="217"/>
      <c r="R69" s="871">
        <f>SUM(E69:Q69)</f>
        <v>60000</v>
      </c>
      <c r="S69" s="217">
        <v>40000</v>
      </c>
      <c r="T69" s="217"/>
      <c r="U69" s="213"/>
    </row>
    <row r="70" spans="1:21" s="214" customFormat="1">
      <c r="A70" s="219" t="s">
        <v>1853</v>
      </c>
      <c r="B70" s="216">
        <f>SUM(C70:D70)</f>
        <v>200000</v>
      </c>
      <c r="C70" s="216">
        <f>SUM(C65:C69)</f>
        <v>200000</v>
      </c>
      <c r="D70" s="216">
        <f>SUM(D65:D69)</f>
        <v>0</v>
      </c>
      <c r="E70" s="216">
        <f t="shared" ref="E70:T70" si="19">SUM(E65:E69)</f>
        <v>200000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200000</v>
      </c>
      <c r="S70" s="220">
        <f t="shared" si="19"/>
        <v>118819</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194610</v>
      </c>
      <c r="C75" s="217">
        <v>194610</v>
      </c>
      <c r="D75" s="217"/>
      <c r="E75" s="217">
        <f>C75</f>
        <v>194610</v>
      </c>
      <c r="F75" s="217"/>
      <c r="G75" s="217"/>
      <c r="H75" s="217"/>
      <c r="I75" s="217"/>
      <c r="J75" s="217"/>
      <c r="K75" s="217"/>
      <c r="L75" s="217"/>
      <c r="M75" s="217"/>
      <c r="N75" s="217"/>
      <c r="O75" s="217"/>
      <c r="P75" s="217"/>
      <c r="Q75" s="217"/>
      <c r="R75" s="871">
        <f>SUM(E75:Q75)</f>
        <v>194610</v>
      </c>
      <c r="S75" s="218"/>
      <c r="T75" s="218"/>
      <c r="U75" s="213"/>
    </row>
    <row r="76" spans="1:21" s="214" customFormat="1">
      <c r="A76" s="1894" t="s">
        <v>2668</v>
      </c>
      <c r="B76" s="216">
        <f>SUM(C76+D76)</f>
        <v>347103</v>
      </c>
      <c r="C76" s="217">
        <v>347103</v>
      </c>
      <c r="D76" s="217"/>
      <c r="E76" s="217">
        <f>C76</f>
        <v>347103</v>
      </c>
      <c r="F76" s="217"/>
      <c r="G76" s="217"/>
      <c r="H76" s="217"/>
      <c r="I76" s="217"/>
      <c r="J76" s="217"/>
      <c r="K76" s="217"/>
      <c r="L76" s="217"/>
      <c r="M76" s="217"/>
      <c r="N76" s="217"/>
      <c r="O76" s="217"/>
      <c r="P76" s="217"/>
      <c r="Q76" s="217"/>
      <c r="R76" s="871">
        <f>SUM(E76:Q76)</f>
        <v>347103</v>
      </c>
      <c r="S76" s="218"/>
      <c r="T76" s="218"/>
      <c r="U76" s="213"/>
    </row>
    <row r="77" spans="1:21" s="214" customFormat="1">
      <c r="A77" s="219" t="s">
        <v>632</v>
      </c>
      <c r="B77" s="216">
        <f>SUM(C77:D77)</f>
        <v>541713</v>
      </c>
      <c r="C77" s="216">
        <f>SUM(C72:C76)</f>
        <v>541713</v>
      </c>
      <c r="D77" s="216">
        <f>SUM(D72:D76)</f>
        <v>0</v>
      </c>
      <c r="E77" s="216">
        <f t="shared" ref="E77:Q77" si="20">SUM(E72:E76)</f>
        <v>541713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541713</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1874796</v>
      </c>
      <c r="C79" s="217">
        <v>1874796</v>
      </c>
      <c r="D79" s="217"/>
      <c r="E79" s="217">
        <f>C79</f>
        <v>1874796</v>
      </c>
      <c r="F79" s="217"/>
      <c r="G79" s="217"/>
      <c r="H79" s="217"/>
      <c r="I79" s="217"/>
      <c r="J79" s="217"/>
      <c r="K79" s="217"/>
      <c r="L79" s="217"/>
      <c r="M79" s="217"/>
      <c r="N79" s="217"/>
      <c r="O79" s="217"/>
      <c r="P79" s="217"/>
      <c r="Q79" s="217"/>
      <c r="R79" s="871">
        <f>SUM(E79:Q79)</f>
        <v>1874796</v>
      </c>
      <c r="S79" s="217">
        <f>R79</f>
        <v>1874796</v>
      </c>
      <c r="T79" s="217"/>
      <c r="U79" s="213"/>
    </row>
    <row r="80" spans="1:21" s="214" customFormat="1">
      <c r="A80" s="437" t="s">
        <v>61</v>
      </c>
      <c r="B80" s="216">
        <f>SUM(C80:D80)</f>
        <v>179607</v>
      </c>
      <c r="C80" s="217">
        <v>179607</v>
      </c>
      <c r="D80" s="217"/>
      <c r="E80" s="217">
        <f>C80</f>
        <v>179607</v>
      </c>
      <c r="F80" s="217"/>
      <c r="G80" s="217"/>
      <c r="H80" s="217"/>
      <c r="I80" s="217"/>
      <c r="J80" s="217"/>
      <c r="K80" s="217"/>
      <c r="L80" s="217"/>
      <c r="M80" s="217"/>
      <c r="N80" s="217"/>
      <c r="O80" s="217"/>
      <c r="P80" s="217"/>
      <c r="Q80" s="217"/>
      <c r="R80" s="871">
        <f>SUM(E80:Q80)</f>
        <v>179607</v>
      </c>
      <c r="S80" s="217">
        <f>R80</f>
        <v>179607</v>
      </c>
      <c r="T80" s="217"/>
      <c r="U80" s="213"/>
    </row>
    <row r="81" spans="1:21" s="214" customFormat="1">
      <c r="A81" s="219" t="s">
        <v>1374</v>
      </c>
      <c r="B81" s="216">
        <f>SUM(C81:D81)</f>
        <v>2054403</v>
      </c>
      <c r="C81" s="851">
        <f>SUM(C79:C80)</f>
        <v>2054403</v>
      </c>
      <c r="D81" s="851">
        <f t="shared" ref="D81:T81" si="21">SUM(D79:D80)</f>
        <v>0</v>
      </c>
      <c r="E81" s="851">
        <f t="shared" si="21"/>
        <v>2054403</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2054403</v>
      </c>
      <c r="S81" s="851">
        <f t="shared" si="21"/>
        <v>2054403</v>
      </c>
      <c r="T81" s="851">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2">SUM(C83+D83)</f>
        <v>35947</v>
      </c>
      <c r="C83" s="217">
        <v>35947</v>
      </c>
      <c r="D83" s="217"/>
      <c r="E83" s="217">
        <f>C83</f>
        <v>35947</v>
      </c>
      <c r="F83" s="217"/>
      <c r="G83" s="217"/>
      <c r="H83" s="217"/>
      <c r="I83" s="217"/>
      <c r="J83" s="217"/>
      <c r="K83" s="217"/>
      <c r="L83" s="217"/>
      <c r="M83" s="217"/>
      <c r="N83" s="217"/>
      <c r="O83" s="217"/>
      <c r="P83" s="217"/>
      <c r="Q83" s="217"/>
      <c r="R83" s="871">
        <f t="shared" ref="R83:R95" si="23">SUM(E83:Q83)</f>
        <v>35947</v>
      </c>
      <c r="S83" s="218"/>
      <c r="T83" s="218"/>
      <c r="U83" s="213"/>
    </row>
    <row r="84" spans="1:21" s="214" customFormat="1">
      <c r="A84" s="215" t="s">
        <v>809</v>
      </c>
      <c r="B84" s="216">
        <f t="shared" si="22"/>
        <v>86000</v>
      </c>
      <c r="C84" s="217">
        <v>86000</v>
      </c>
      <c r="D84" s="217"/>
      <c r="E84" s="217">
        <f>C84</f>
        <v>86000</v>
      </c>
      <c r="F84" s="217"/>
      <c r="G84" s="217"/>
      <c r="H84" s="217"/>
      <c r="I84" s="217"/>
      <c r="J84" s="217"/>
      <c r="K84" s="217"/>
      <c r="L84" s="217"/>
      <c r="M84" s="217"/>
      <c r="N84" s="217"/>
      <c r="O84" s="217"/>
      <c r="P84" s="217"/>
      <c r="Q84" s="217"/>
      <c r="R84" s="871">
        <f t="shared" si="23"/>
        <v>86000</v>
      </c>
      <c r="S84" s="217">
        <f>R84</f>
        <v>86000</v>
      </c>
      <c r="T84" s="217"/>
      <c r="U84" s="213"/>
    </row>
    <row r="85" spans="1:21" s="214" customFormat="1">
      <c r="A85" s="215" t="s">
        <v>810</v>
      </c>
      <c r="B85" s="216">
        <f t="shared" si="22"/>
        <v>251475</v>
      </c>
      <c r="C85" s="217">
        <v>251475</v>
      </c>
      <c r="D85" s="217"/>
      <c r="E85" s="217">
        <f>C85</f>
        <v>251475</v>
      </c>
      <c r="F85" s="217"/>
      <c r="G85" s="217"/>
      <c r="H85" s="217"/>
      <c r="I85" s="217"/>
      <c r="J85" s="217"/>
      <c r="K85" s="217"/>
      <c r="L85" s="217"/>
      <c r="M85" s="217"/>
      <c r="N85" s="217"/>
      <c r="O85" s="217"/>
      <c r="P85" s="217"/>
      <c r="Q85" s="217"/>
      <c r="R85" s="871">
        <f t="shared" si="23"/>
        <v>251475</v>
      </c>
      <c r="S85" s="217">
        <f>R85</f>
        <v>251475</v>
      </c>
      <c r="T85" s="217"/>
      <c r="U85" s="213"/>
    </row>
    <row r="86" spans="1:21" s="214" customFormat="1">
      <c r="A86" s="215" t="s">
        <v>811</v>
      </c>
      <c r="B86" s="216">
        <f t="shared" si="22"/>
        <v>384000</v>
      </c>
      <c r="C86" s="217">
        <v>384000</v>
      </c>
      <c r="D86" s="217"/>
      <c r="E86" s="217">
        <f>C86</f>
        <v>384000</v>
      </c>
      <c r="F86" s="217"/>
      <c r="G86" s="217"/>
      <c r="H86" s="217"/>
      <c r="I86" s="217"/>
      <c r="J86" s="217"/>
      <c r="K86" s="217"/>
      <c r="L86" s="217"/>
      <c r="M86" s="217"/>
      <c r="N86" s="217"/>
      <c r="O86" s="217"/>
      <c r="P86" s="217"/>
      <c r="Q86" s="217"/>
      <c r="R86" s="871">
        <f t="shared" si="23"/>
        <v>384000</v>
      </c>
      <c r="S86" s="217">
        <f>R86</f>
        <v>384000</v>
      </c>
      <c r="T86" s="217"/>
      <c r="U86" s="213"/>
    </row>
    <row r="87" spans="1:21" s="214" customFormat="1">
      <c r="A87" s="215" t="s">
        <v>812</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813</v>
      </c>
      <c r="B88" s="216">
        <f t="shared" si="22"/>
        <v>80000</v>
      </c>
      <c r="C88" s="217">
        <v>80000</v>
      </c>
      <c r="D88" s="217"/>
      <c r="E88" s="217">
        <f>C88</f>
        <v>80000</v>
      </c>
      <c r="F88" s="217"/>
      <c r="G88" s="217"/>
      <c r="H88" s="217"/>
      <c r="I88" s="217"/>
      <c r="J88" s="217"/>
      <c r="K88" s="217"/>
      <c r="L88" s="217"/>
      <c r="M88" s="217"/>
      <c r="N88" s="217"/>
      <c r="O88" s="217"/>
      <c r="P88" s="217"/>
      <c r="Q88" s="217"/>
      <c r="R88" s="871">
        <f t="shared" si="23"/>
        <v>80000</v>
      </c>
      <c r="S88" s="218"/>
      <c r="T88" s="218"/>
      <c r="U88" s="213"/>
    </row>
    <row r="89" spans="1:21" s="214" customFormat="1">
      <c r="A89" s="215" t="s">
        <v>814</v>
      </c>
      <c r="B89" s="216">
        <f t="shared" si="22"/>
        <v>177000</v>
      </c>
      <c r="C89" s="217">
        <v>177000</v>
      </c>
      <c r="D89" s="217"/>
      <c r="E89" s="217">
        <f>C89</f>
        <v>177000</v>
      </c>
      <c r="F89" s="217"/>
      <c r="G89" s="217"/>
      <c r="H89" s="217"/>
      <c r="I89" s="217"/>
      <c r="J89" s="217"/>
      <c r="K89" s="217"/>
      <c r="L89" s="217"/>
      <c r="M89" s="217"/>
      <c r="N89" s="217"/>
      <c r="O89" s="217"/>
      <c r="P89" s="217"/>
      <c r="Q89" s="217"/>
      <c r="R89" s="871">
        <f t="shared" si="23"/>
        <v>177000</v>
      </c>
      <c r="S89" s="217">
        <f>R89</f>
        <v>177000</v>
      </c>
      <c r="T89" s="217"/>
      <c r="U89" s="213"/>
    </row>
    <row r="90" spans="1:21" s="214" customFormat="1">
      <c r="A90" s="215" t="s">
        <v>815</v>
      </c>
      <c r="B90" s="216">
        <f t="shared" si="22"/>
        <v>25000</v>
      </c>
      <c r="C90" s="217">
        <v>25000</v>
      </c>
      <c r="D90" s="217"/>
      <c r="E90" s="217">
        <f>C90</f>
        <v>25000</v>
      </c>
      <c r="F90" s="217"/>
      <c r="G90" s="217"/>
      <c r="H90" s="217"/>
      <c r="I90" s="217"/>
      <c r="J90" s="217"/>
      <c r="K90" s="217"/>
      <c r="L90" s="217"/>
      <c r="M90" s="217"/>
      <c r="N90" s="217"/>
      <c r="O90" s="217"/>
      <c r="P90" s="217"/>
      <c r="Q90" s="217"/>
      <c r="R90" s="871">
        <f t="shared" si="23"/>
        <v>25000</v>
      </c>
      <c r="S90" s="217"/>
      <c r="T90" s="217"/>
      <c r="U90" s="213"/>
    </row>
    <row r="91" spans="1:21" s="214" customFormat="1">
      <c r="A91" s="1654" t="s">
        <v>386</v>
      </c>
      <c r="B91" s="216">
        <f t="shared" si="22"/>
        <v>0</v>
      </c>
      <c r="C91" s="217"/>
      <c r="D91" s="217"/>
      <c r="E91" s="217"/>
      <c r="F91" s="217"/>
      <c r="G91" s="217"/>
      <c r="H91" s="217"/>
      <c r="I91" s="217"/>
      <c r="J91" s="217"/>
      <c r="K91" s="217"/>
      <c r="L91" s="217"/>
      <c r="M91" s="217"/>
      <c r="N91" s="217"/>
      <c r="O91" s="217"/>
      <c r="P91" s="217"/>
      <c r="Q91" s="217"/>
      <c r="R91" s="871">
        <f t="shared" si="23"/>
        <v>0</v>
      </c>
      <c r="S91" s="217"/>
      <c r="T91" s="217"/>
      <c r="U91" s="213"/>
    </row>
    <row r="92" spans="1:21" s="214" customFormat="1">
      <c r="A92" s="1653" t="s">
        <v>1376</v>
      </c>
      <c r="B92" s="216">
        <f t="shared" si="22"/>
        <v>15000</v>
      </c>
      <c r="C92" s="217">
        <v>15000</v>
      </c>
      <c r="D92" s="217"/>
      <c r="E92" s="217">
        <f>C92</f>
        <v>15000</v>
      </c>
      <c r="F92" s="217"/>
      <c r="G92" s="217"/>
      <c r="H92" s="217"/>
      <c r="I92" s="217"/>
      <c r="J92" s="217"/>
      <c r="K92" s="217"/>
      <c r="L92" s="217"/>
      <c r="M92" s="217"/>
      <c r="N92" s="217"/>
      <c r="O92" s="217"/>
      <c r="P92" s="217"/>
      <c r="Q92" s="217"/>
      <c r="R92" s="871">
        <f t="shared" si="23"/>
        <v>15000</v>
      </c>
      <c r="S92" s="217">
        <f>R92</f>
        <v>15000</v>
      </c>
      <c r="T92" s="217"/>
      <c r="U92" s="213"/>
    </row>
    <row r="93" spans="1:21" s="214" customFormat="1">
      <c r="A93" s="1894" t="s">
        <v>2669</v>
      </c>
      <c r="B93" s="216">
        <f t="shared" si="22"/>
        <v>213850</v>
      </c>
      <c r="C93" s="217">
        <v>213850</v>
      </c>
      <c r="D93" s="217"/>
      <c r="E93" s="217">
        <f>C93</f>
        <v>213850</v>
      </c>
      <c r="F93" s="217"/>
      <c r="G93" s="217"/>
      <c r="H93" s="217"/>
      <c r="I93" s="217"/>
      <c r="J93" s="217"/>
      <c r="K93" s="217"/>
      <c r="L93" s="217"/>
      <c r="M93" s="217"/>
      <c r="N93" s="217"/>
      <c r="O93" s="217"/>
      <c r="P93" s="217"/>
      <c r="Q93" s="217"/>
      <c r="R93" s="871">
        <f t="shared" si="23"/>
        <v>213850</v>
      </c>
      <c r="S93" s="217"/>
      <c r="T93" s="217"/>
      <c r="U93" s="213"/>
    </row>
    <row r="94" spans="1:21" s="214" customFormat="1">
      <c r="A94" s="1894" t="s">
        <v>2670</v>
      </c>
      <c r="B94" s="216">
        <f t="shared" si="22"/>
        <v>622247</v>
      </c>
      <c r="C94" s="217">
        <v>622247</v>
      </c>
      <c r="D94" s="217"/>
      <c r="E94" s="217">
        <f>C94</f>
        <v>622247</v>
      </c>
      <c r="F94" s="217"/>
      <c r="G94" s="217"/>
      <c r="H94" s="217"/>
      <c r="I94" s="217"/>
      <c r="J94" s="217"/>
      <c r="K94" s="217"/>
      <c r="L94" s="217"/>
      <c r="M94" s="217"/>
      <c r="N94" s="217"/>
      <c r="O94" s="217"/>
      <c r="P94" s="217"/>
      <c r="Q94" s="217"/>
      <c r="R94" s="871">
        <f t="shared" si="23"/>
        <v>622247</v>
      </c>
      <c r="S94" s="217">
        <f>R94</f>
        <v>622247</v>
      </c>
      <c r="T94" s="217"/>
      <c r="U94" s="213"/>
    </row>
    <row r="95" spans="1:21" s="214" customFormat="1">
      <c r="A95" s="1894" t="s">
        <v>2671</v>
      </c>
      <c r="B95" s="216">
        <f t="shared" si="22"/>
        <v>54000</v>
      </c>
      <c r="C95" s="217">
        <v>54000</v>
      </c>
      <c r="D95" s="217"/>
      <c r="E95" s="217">
        <f>C95</f>
        <v>54000</v>
      </c>
      <c r="F95" s="217"/>
      <c r="G95" s="217"/>
      <c r="H95" s="217"/>
      <c r="I95" s="217"/>
      <c r="J95" s="217"/>
      <c r="K95" s="217"/>
      <c r="L95" s="217"/>
      <c r="M95" s="217"/>
      <c r="N95" s="217"/>
      <c r="O95" s="217"/>
      <c r="P95" s="217"/>
      <c r="Q95" s="217"/>
      <c r="R95" s="871">
        <f t="shared" si="23"/>
        <v>54000</v>
      </c>
      <c r="S95" s="217"/>
      <c r="T95" s="217"/>
      <c r="U95" s="213"/>
    </row>
    <row r="96" spans="1:21" s="214" customFormat="1">
      <c r="A96" s="219" t="s">
        <v>816</v>
      </c>
      <c r="B96" s="216">
        <f>SUM(C96:D96)</f>
        <v>1944519</v>
      </c>
      <c r="C96" s="216">
        <f t="shared" ref="C96:R96" si="24">SUM(C83:C95)</f>
        <v>1944519</v>
      </c>
      <c r="D96" s="216">
        <f t="shared" si="24"/>
        <v>0</v>
      </c>
      <c r="E96" s="216">
        <f t="shared" si="24"/>
        <v>1944519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1944519</v>
      </c>
      <c r="S96" s="220">
        <f>SUM(S84:S87,S89:S95)</f>
        <v>1535722</v>
      </c>
      <c r="T96" s="216">
        <f>SUM(T84:T87,T89:T95)</f>
        <v>0</v>
      </c>
      <c r="U96" s="213"/>
    </row>
    <row r="97" spans="1:21" s="214" customFormat="1">
      <c r="A97" s="219" t="s">
        <v>817</v>
      </c>
      <c r="B97" s="216">
        <f>SUM(C97:D97)</f>
        <v>31044565</v>
      </c>
      <c r="C97" s="216">
        <f t="shared" ref="C97:R97" si="25">SUM(C63+C70+C77+C81+C96)</f>
        <v>31044565</v>
      </c>
      <c r="D97" s="216">
        <f t="shared" si="25"/>
        <v>0</v>
      </c>
      <c r="E97" s="216">
        <f t="shared" si="25"/>
        <v>11772335</v>
      </c>
      <c r="F97" s="216">
        <f t="shared" si="25"/>
        <v>3571000</v>
      </c>
      <c r="G97" s="216">
        <f t="shared" si="25"/>
        <v>8401939</v>
      </c>
      <c r="H97" s="216">
        <f t="shared" si="25"/>
        <v>5000000</v>
      </c>
      <c r="I97" s="216">
        <f t="shared" si="25"/>
        <v>213779</v>
      </c>
      <c r="J97" s="216">
        <f t="shared" si="25"/>
        <v>2000000</v>
      </c>
      <c r="K97" s="216">
        <f t="shared" si="25"/>
        <v>85512</v>
      </c>
      <c r="L97" s="216">
        <f t="shared" si="25"/>
        <v>0</v>
      </c>
      <c r="M97" s="216">
        <f t="shared" si="25"/>
        <v>0</v>
      </c>
      <c r="N97" s="216">
        <f t="shared" si="25"/>
        <v>0</v>
      </c>
      <c r="O97" s="216">
        <f t="shared" si="25"/>
        <v>0</v>
      </c>
      <c r="P97" s="216">
        <f t="shared" si="25"/>
        <v>0</v>
      </c>
      <c r="Q97" s="216">
        <f t="shared" si="25"/>
        <v>0</v>
      </c>
      <c r="R97" s="216">
        <f t="shared" si="25"/>
        <v>31044565</v>
      </c>
      <c r="S97" s="216">
        <f>SUM(S63+S70+S81+S96)</f>
        <v>25529843</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3829476</v>
      </c>
      <c r="C99" s="1548">
        <v>3829476</v>
      </c>
      <c r="D99" s="1548"/>
      <c r="E99" s="217">
        <v>2200000</v>
      </c>
      <c r="F99" s="217"/>
      <c r="G99" s="217"/>
      <c r="H99" s="217"/>
      <c r="I99" s="217"/>
      <c r="J99" s="217"/>
      <c r="K99" s="217"/>
      <c r="L99" s="217">
        <v>300000</v>
      </c>
      <c r="M99" s="217">
        <v>1329476</v>
      </c>
      <c r="N99" s="217"/>
      <c r="O99" s="217"/>
      <c r="P99" s="217"/>
      <c r="Q99" s="217"/>
      <c r="R99" s="871">
        <f t="shared" ref="R99:R103" si="26">SUM(E99:Q99)</f>
        <v>3829476</v>
      </c>
      <c r="S99" s="217">
        <f>R99</f>
        <v>3829476</v>
      </c>
      <c r="T99" s="217"/>
      <c r="U99" s="213"/>
    </row>
    <row r="100" spans="1:21" s="214" customFormat="1">
      <c r="A100" s="437" t="s">
        <v>1854</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820</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821</v>
      </c>
      <c r="B104" s="216">
        <f>SUM(C104:D104)</f>
        <v>3829476</v>
      </c>
      <c r="C104" s="216">
        <f>SUM(C99:C103)</f>
        <v>3829476</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0</v>
      </c>
      <c r="L104" s="216">
        <f t="shared" si="28"/>
        <v>300000</v>
      </c>
      <c r="M104" s="216">
        <f t="shared" si="28"/>
        <v>1329476</v>
      </c>
      <c r="N104" s="216">
        <f t="shared" si="28"/>
        <v>0</v>
      </c>
      <c r="O104" s="216">
        <f t="shared" si="28"/>
        <v>0</v>
      </c>
      <c r="P104" s="216">
        <f t="shared" si="28"/>
        <v>0</v>
      </c>
      <c r="Q104" s="216">
        <f t="shared" si="28"/>
        <v>0</v>
      </c>
      <c r="R104" s="527">
        <f t="shared" si="28"/>
        <v>3829476</v>
      </c>
      <c r="S104" s="220">
        <f t="shared" si="28"/>
        <v>3829476</v>
      </c>
      <c r="T104" s="220">
        <f t="shared" si="28"/>
        <v>0</v>
      </c>
      <c r="U104" s="213"/>
    </row>
    <row r="105" spans="1:21" s="214" customFormat="1">
      <c r="A105" s="219" t="s">
        <v>822</v>
      </c>
      <c r="B105" s="220">
        <f>SUM(C105:D105)</f>
        <v>34874041</v>
      </c>
      <c r="C105" s="220">
        <f t="shared" ref="C105:R105" si="29">SUM(C97+C104)</f>
        <v>34874041</v>
      </c>
      <c r="D105" s="220">
        <f t="shared" si="29"/>
        <v>0</v>
      </c>
      <c r="E105" s="220">
        <f t="shared" si="29"/>
        <v>13972335</v>
      </c>
      <c r="F105" s="220">
        <f t="shared" si="29"/>
        <v>3571000</v>
      </c>
      <c r="G105" s="220">
        <f t="shared" si="29"/>
        <v>8401939</v>
      </c>
      <c r="H105" s="220">
        <f t="shared" si="29"/>
        <v>5000000</v>
      </c>
      <c r="I105" s="220">
        <f t="shared" si="29"/>
        <v>213779</v>
      </c>
      <c r="J105" s="220">
        <f t="shared" si="29"/>
        <v>2000000</v>
      </c>
      <c r="K105" s="220">
        <f t="shared" si="29"/>
        <v>85512</v>
      </c>
      <c r="L105" s="220">
        <f t="shared" si="29"/>
        <v>300000</v>
      </c>
      <c r="M105" s="220">
        <f t="shared" si="29"/>
        <v>1329476</v>
      </c>
      <c r="N105" s="220">
        <f t="shared" si="29"/>
        <v>0</v>
      </c>
      <c r="O105" s="220">
        <f t="shared" si="29"/>
        <v>0</v>
      </c>
      <c r="P105" s="220">
        <f t="shared" si="29"/>
        <v>0</v>
      </c>
      <c r="Q105" s="220">
        <f t="shared" si="29"/>
        <v>0</v>
      </c>
      <c r="R105" s="527">
        <f t="shared" si="29"/>
        <v>34874041</v>
      </c>
      <c r="S105" s="220">
        <f>S97+S104</f>
        <v>29359319</v>
      </c>
      <c r="T105" s="220">
        <f>T97+T104</f>
        <v>0</v>
      </c>
      <c r="U105" s="213"/>
    </row>
    <row r="106" spans="1:21">
      <c r="A106" s="858" t="s">
        <v>1101</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29359319</v>
      </c>
      <c r="T107" s="234">
        <f>T105+T106</f>
        <v>0</v>
      </c>
    </row>
    <row r="108" spans="1:21" s="300" customFormat="1">
      <c r="A108" s="233" t="s">
        <v>927</v>
      </c>
      <c r="B108" s="228"/>
      <c r="C108" s="228"/>
      <c r="D108" s="228"/>
      <c r="E108" s="461">
        <f>Application!AO650</f>
        <v>13972335</v>
      </c>
      <c r="F108" s="461">
        <f>Application!AO637</f>
        <v>3571000</v>
      </c>
      <c r="G108" s="461">
        <f>Application!AO638</f>
        <v>8401939</v>
      </c>
      <c r="H108" s="461">
        <f>Application!AO639</f>
        <v>5000000</v>
      </c>
      <c r="I108" s="461">
        <f>Application!AO640</f>
        <v>213779</v>
      </c>
      <c r="J108" s="461">
        <f>Application!AO641</f>
        <v>2000000</v>
      </c>
      <c r="K108" s="461">
        <f>Application!AO642</f>
        <v>85512</v>
      </c>
      <c r="L108" s="461">
        <f>Application!AO643</f>
        <v>300000</v>
      </c>
      <c r="M108" s="461">
        <f>Application!AO644</f>
        <v>1329476</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30" t="s">
        <v>1067</v>
      </c>
      <c r="E122" s="2630"/>
      <c r="F122" s="2630"/>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33" t="s">
        <v>1393</v>
      </c>
      <c r="E123" s="2634"/>
      <c r="F123" s="2634"/>
      <c r="G123" s="2634"/>
      <c r="H123" s="2634"/>
      <c r="I123" s="2634"/>
      <c r="J123" s="2634"/>
      <c r="K123" s="2634"/>
      <c r="L123" s="2634"/>
      <c r="M123" s="2634"/>
      <c r="N123" s="2634"/>
      <c r="O123" s="2634"/>
      <c r="P123" s="2634"/>
      <c r="Q123" s="2634"/>
      <c r="R123" s="2634"/>
      <c r="S123" s="2634"/>
      <c r="T123" s="507"/>
      <c r="U123" s="509"/>
    </row>
    <row r="124" spans="1:21" ht="12.75">
      <c r="A124" s="506" t="s">
        <v>1069</v>
      </c>
      <c r="B124" s="516"/>
      <c r="C124" s="506"/>
      <c r="D124" s="2634"/>
      <c r="E124" s="2634"/>
      <c r="F124" s="2634"/>
      <c r="G124" s="2634"/>
      <c r="H124" s="2634"/>
      <c r="I124" s="2634"/>
      <c r="J124" s="2634"/>
      <c r="K124" s="2634"/>
      <c r="L124" s="2634"/>
      <c r="M124" s="2634"/>
      <c r="N124" s="2634"/>
      <c r="O124" s="2634"/>
      <c r="P124" s="2634"/>
      <c r="Q124" s="2634"/>
      <c r="R124" s="2634"/>
      <c r="S124" s="2634"/>
      <c r="T124" s="507"/>
      <c r="U124" s="509"/>
    </row>
    <row r="125" spans="1:21" ht="12.75">
      <c r="A125" s="506" t="s">
        <v>1070</v>
      </c>
      <c r="B125" s="516"/>
      <c r="C125" s="506"/>
      <c r="D125" s="2634"/>
      <c r="E125" s="2634"/>
      <c r="F125" s="2634"/>
      <c r="G125" s="2634"/>
      <c r="H125" s="2634"/>
      <c r="I125" s="2634"/>
      <c r="J125" s="2634"/>
      <c r="K125" s="2634"/>
      <c r="L125" s="2634"/>
      <c r="M125" s="2634"/>
      <c r="N125" s="2634"/>
      <c r="O125" s="2634"/>
      <c r="P125" s="2634"/>
      <c r="Q125" s="2634"/>
      <c r="R125" s="2634"/>
      <c r="S125" s="2634"/>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27"/>
      <c r="E128" s="2627"/>
      <c r="F128" s="2627"/>
      <c r="G128" s="2627"/>
      <c r="H128" s="2627"/>
      <c r="I128" s="506"/>
      <c r="J128" s="2628"/>
      <c r="K128" s="2628"/>
      <c r="L128" s="506"/>
      <c r="M128" s="506"/>
      <c r="N128" s="506"/>
      <c r="O128" s="506"/>
      <c r="P128" s="506"/>
      <c r="Q128" s="506"/>
      <c r="R128" s="506"/>
      <c r="S128" s="506"/>
      <c r="T128" s="507"/>
      <c r="U128" s="509"/>
    </row>
    <row r="129" spans="1:21" ht="12.75">
      <c r="A129" s="506" t="s">
        <v>305</v>
      </c>
      <c r="B129" s="516"/>
      <c r="C129" s="506"/>
      <c r="D129" s="2629" t="s">
        <v>1074</v>
      </c>
      <c r="E129" s="2629"/>
      <c r="F129" s="2629"/>
      <c r="G129" s="2629"/>
      <c r="H129" s="2629"/>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623"/>
      <c r="E131" s="2623"/>
      <c r="F131" s="2623"/>
      <c r="G131" s="2623"/>
      <c r="H131" s="2623"/>
      <c r="I131" s="506"/>
      <c r="J131" s="2623"/>
      <c r="K131" s="2623"/>
      <c r="L131" s="2623"/>
      <c r="M131" s="2623"/>
      <c r="N131" s="506"/>
      <c r="O131" s="506"/>
      <c r="P131" s="506"/>
      <c r="Q131" s="506"/>
      <c r="R131" s="506"/>
      <c r="S131" s="506"/>
      <c r="T131" s="507"/>
      <c r="U131" s="509"/>
    </row>
    <row r="132" spans="1:21" ht="12" customHeight="1">
      <c r="A132" s="520"/>
      <c r="B132" s="506"/>
      <c r="C132" s="506"/>
      <c r="D132" s="2635" t="s">
        <v>1077</v>
      </c>
      <c r="E132" s="2635"/>
      <c r="F132" s="2635"/>
      <c r="G132" s="2635"/>
      <c r="H132" s="2635"/>
      <c r="I132" s="506"/>
      <c r="J132" s="2635" t="s">
        <v>1078</v>
      </c>
      <c r="K132" s="2635"/>
      <c r="L132" s="2635"/>
      <c r="M132" s="263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6"/>
      <c r="B138" s="2637"/>
      <c r="C138" s="2637"/>
      <c r="D138" s="511"/>
      <c r="E138" s="2628"/>
      <c r="F138" s="2628"/>
      <c r="G138" s="506"/>
      <c r="H138" s="506"/>
      <c r="I138" s="506"/>
      <c r="J138" s="506"/>
      <c r="K138" s="506"/>
      <c r="L138" s="506"/>
      <c r="M138" s="506"/>
      <c r="N138" s="506"/>
      <c r="O138" s="506"/>
      <c r="P138" s="506"/>
      <c r="Q138" s="506"/>
      <c r="R138" s="506"/>
      <c r="S138" s="506"/>
      <c r="T138" s="513"/>
      <c r="U138" s="514"/>
    </row>
    <row r="139" spans="1:21" ht="12.75">
      <c r="A139" s="2631" t="s">
        <v>1081</v>
      </c>
      <c r="B139" s="2632"/>
      <c r="C139" s="2632"/>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102" sqref="F102"/>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4" t="s">
        <v>1396</v>
      </c>
      <c r="B1" s="2645"/>
      <c r="C1" s="2645"/>
      <c r="D1" s="2645"/>
      <c r="E1" s="2645"/>
      <c r="F1" s="2645"/>
      <c r="G1" s="2645"/>
      <c r="H1" s="2645"/>
      <c r="I1" s="2645"/>
      <c r="J1" s="2646"/>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1287686</v>
      </c>
      <c r="C4" s="559">
        <f>B4</f>
        <v>1287686</v>
      </c>
      <c r="D4" s="559"/>
      <c r="E4" s="560"/>
      <c r="F4" s="560"/>
      <c r="G4" s="560"/>
      <c r="H4" s="560"/>
      <c r="I4" s="560"/>
      <c r="J4" s="560"/>
      <c r="K4" s="556"/>
    </row>
    <row r="5" spans="1:11" s="557" customFormat="1">
      <c r="A5" s="561" t="s">
        <v>29</v>
      </c>
      <c r="B5" s="558">
        <f>'Sources and Uses Budget'!C5</f>
        <v>166328</v>
      </c>
      <c r="C5" s="1895">
        <f t="shared" ref="C5:C6" si="0">B5</f>
        <v>166328</v>
      </c>
      <c r="D5" s="559"/>
      <c r="E5" s="560"/>
      <c r="F5" s="560"/>
      <c r="G5" s="560"/>
      <c r="H5" s="560"/>
      <c r="I5" s="560"/>
      <c r="J5" s="560"/>
      <c r="K5" s="556"/>
    </row>
    <row r="6" spans="1:11" s="557" customFormat="1">
      <c r="A6" s="561" t="s">
        <v>30</v>
      </c>
      <c r="B6" s="558">
        <f>'Sources and Uses Budget'!C6</f>
        <v>4262</v>
      </c>
      <c r="C6" s="1895">
        <f t="shared" si="0"/>
        <v>4262</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1458276</v>
      </c>
      <c r="C8" s="558">
        <f>SUM(C4:C7)</f>
        <v>1458276</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98175</v>
      </c>
      <c r="C10" s="559">
        <f>B10</f>
        <v>98175</v>
      </c>
      <c r="D10" s="559"/>
      <c r="E10" s="558">
        <f>'Sources and Uses Budget'!S10</f>
        <v>98175</v>
      </c>
      <c r="F10" s="559">
        <f>E10</f>
        <v>98175</v>
      </c>
      <c r="G10" s="559"/>
      <c r="H10" s="558">
        <f>'Sources and Uses Budget'!T10</f>
        <v>0</v>
      </c>
      <c r="I10" s="559"/>
      <c r="J10" s="559"/>
      <c r="K10" s="556"/>
    </row>
    <row r="11" spans="1:11" s="557" customFormat="1">
      <c r="A11" s="562" t="s">
        <v>622</v>
      </c>
      <c r="B11" s="558">
        <f>'Sources and Uses Budget'!C11</f>
        <v>98175</v>
      </c>
      <c r="C11" s="558">
        <f>SUM(C9:C10)</f>
        <v>98175</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1556451</v>
      </c>
      <c r="C12" s="558">
        <f>SUM(C8+C11)</f>
        <v>1556451</v>
      </c>
      <c r="D12" s="558">
        <f>SUM(D8+D11)</f>
        <v>0</v>
      </c>
      <c r="E12" s="560"/>
      <c r="F12" s="560"/>
      <c r="G12" s="560"/>
      <c r="H12" s="560"/>
      <c r="I12" s="560"/>
      <c r="J12" s="560"/>
      <c r="K12" s="556"/>
    </row>
    <row r="13" spans="1:11" s="557" customFormat="1">
      <c r="A13" s="563" t="s">
        <v>954</v>
      </c>
      <c r="B13" s="558">
        <f>'Sources and Uses Budget'!C13</f>
        <v>769497</v>
      </c>
      <c r="C13" s="559">
        <f>B13</f>
        <v>769497</v>
      </c>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145314</v>
      </c>
      <c r="C15" s="559">
        <f>B15</f>
        <v>145314</v>
      </c>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329187</v>
      </c>
      <c r="C29" s="559">
        <f>B29</f>
        <v>329187</v>
      </c>
      <c r="D29" s="559"/>
      <c r="E29" s="558">
        <f>'Sources and Uses Budget'!S29</f>
        <v>329187</v>
      </c>
      <c r="F29" s="559">
        <f t="shared" ref="F29:F36" si="1">E29</f>
        <v>329187</v>
      </c>
      <c r="G29" s="559"/>
      <c r="H29" s="558">
        <f>'Sources and Uses Budget'!T29</f>
        <v>0</v>
      </c>
      <c r="I29" s="559"/>
      <c r="J29" s="559"/>
      <c r="K29" s="556"/>
    </row>
    <row r="30" spans="1:11" s="557" customFormat="1">
      <c r="A30" s="215" t="s">
        <v>625</v>
      </c>
      <c r="B30" s="558">
        <f>'Sources and Uses Budget'!C30</f>
        <v>15372890</v>
      </c>
      <c r="C30" s="1895">
        <f t="shared" ref="C30:C35" si="2">B30</f>
        <v>15372890</v>
      </c>
      <c r="D30" s="559"/>
      <c r="E30" s="558">
        <f>'Sources and Uses Budget'!S30</f>
        <v>15372890</v>
      </c>
      <c r="F30" s="1900">
        <f t="shared" si="1"/>
        <v>15372890</v>
      </c>
      <c r="G30" s="559"/>
      <c r="H30" s="558">
        <f>'Sources and Uses Budget'!T30</f>
        <v>0</v>
      </c>
      <c r="I30" s="559"/>
      <c r="J30" s="559"/>
      <c r="K30" s="556"/>
    </row>
    <row r="31" spans="1:11" s="557" customFormat="1">
      <c r="A31" s="215" t="s">
        <v>626</v>
      </c>
      <c r="B31" s="558">
        <f>'Sources and Uses Budget'!C31</f>
        <v>957995</v>
      </c>
      <c r="C31" s="1895">
        <f t="shared" si="2"/>
        <v>957995</v>
      </c>
      <c r="D31" s="559"/>
      <c r="E31" s="558">
        <f>'Sources and Uses Budget'!S31</f>
        <v>957995</v>
      </c>
      <c r="F31" s="1900">
        <f t="shared" si="1"/>
        <v>957995</v>
      </c>
      <c r="G31" s="559"/>
      <c r="H31" s="558">
        <f>'Sources and Uses Budget'!T31</f>
        <v>0</v>
      </c>
      <c r="I31" s="559"/>
      <c r="J31" s="559"/>
      <c r="K31" s="556"/>
    </row>
    <row r="32" spans="1:11" s="557" customFormat="1">
      <c r="A32" s="215" t="s">
        <v>142</v>
      </c>
      <c r="B32" s="558">
        <f>'Sources and Uses Budget'!C32</f>
        <v>338491</v>
      </c>
      <c r="C32" s="1895">
        <f t="shared" si="2"/>
        <v>338491</v>
      </c>
      <c r="D32" s="559"/>
      <c r="E32" s="558">
        <f>'Sources and Uses Budget'!S32</f>
        <v>338491</v>
      </c>
      <c r="F32" s="1900">
        <f t="shared" si="1"/>
        <v>338491</v>
      </c>
      <c r="G32" s="559"/>
      <c r="H32" s="558">
        <f>'Sources and Uses Budget'!T32</f>
        <v>0</v>
      </c>
      <c r="I32" s="559"/>
      <c r="J32" s="559"/>
      <c r="K32" s="556"/>
    </row>
    <row r="33" spans="1:11" s="557" customFormat="1">
      <c r="A33" s="215" t="s">
        <v>143</v>
      </c>
      <c r="B33" s="558">
        <f>'Sources and Uses Budget'!C33</f>
        <v>938835</v>
      </c>
      <c r="C33" s="1895">
        <f t="shared" si="2"/>
        <v>938835</v>
      </c>
      <c r="D33" s="559"/>
      <c r="E33" s="558">
        <f>'Sources and Uses Budget'!S33</f>
        <v>938835</v>
      </c>
      <c r="F33" s="1900">
        <f t="shared" si="1"/>
        <v>938835</v>
      </c>
      <c r="G33" s="559"/>
      <c r="H33" s="558">
        <f>'Sources and Uses Budget'!T33</f>
        <v>0</v>
      </c>
      <c r="I33" s="559"/>
      <c r="J33" s="559"/>
      <c r="K33" s="556"/>
    </row>
    <row r="34" spans="1:11" s="557" customFormat="1">
      <c r="A34" s="215" t="s">
        <v>144</v>
      </c>
      <c r="B34" s="558">
        <f>'Sources and Uses Budget'!C34</f>
        <v>0</v>
      </c>
      <c r="C34" s="1895">
        <f t="shared" si="2"/>
        <v>0</v>
      </c>
      <c r="D34" s="559"/>
      <c r="E34" s="558">
        <f>'Sources and Uses Budget'!S34</f>
        <v>0</v>
      </c>
      <c r="F34" s="1900">
        <f t="shared" si="1"/>
        <v>0</v>
      </c>
      <c r="G34" s="559"/>
      <c r="H34" s="558">
        <f>'Sources and Uses Budget'!T34</f>
        <v>0</v>
      </c>
      <c r="I34" s="559"/>
      <c r="J34" s="559"/>
      <c r="K34" s="556"/>
    </row>
    <row r="35" spans="1:11" s="557" customFormat="1">
      <c r="A35" s="215" t="s">
        <v>145</v>
      </c>
      <c r="B35" s="558">
        <f>'Sources and Uses Budget'!C35</f>
        <v>546058</v>
      </c>
      <c r="C35" s="1895">
        <f t="shared" si="2"/>
        <v>546058</v>
      </c>
      <c r="D35" s="559"/>
      <c r="E35" s="558">
        <f>'Sources and Uses Budget'!S35</f>
        <v>546058</v>
      </c>
      <c r="F35" s="1900">
        <f t="shared" si="1"/>
        <v>546058</v>
      </c>
      <c r="G35" s="559"/>
      <c r="H35" s="558">
        <f>'Sources and Uses Budget'!T35</f>
        <v>0</v>
      </c>
      <c r="I35" s="559"/>
      <c r="J35" s="559"/>
      <c r="K35" s="556"/>
    </row>
    <row r="36" spans="1:11" s="557" customFormat="1">
      <c r="A36" s="850" t="s">
        <v>1848</v>
      </c>
      <c r="B36" s="558">
        <f>'Sources and Uses Budget'!C36</f>
        <v>123500</v>
      </c>
      <c r="C36" s="559">
        <f>B36</f>
        <v>123500</v>
      </c>
      <c r="D36" s="559"/>
      <c r="E36" s="558">
        <f>'Sources and Uses Budget'!S36</f>
        <v>123500</v>
      </c>
      <c r="F36" s="1900">
        <f t="shared" si="1"/>
        <v>123500</v>
      </c>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18606956</v>
      </c>
      <c r="C38" s="558">
        <f>SUM(C29:C37)</f>
        <v>18606956</v>
      </c>
      <c r="D38" s="558">
        <f>SUM(D29:D37)</f>
        <v>0</v>
      </c>
      <c r="E38" s="558">
        <f>'Sources and Uses Budget'!S38</f>
        <v>18606956</v>
      </c>
      <c r="F38" s="565">
        <f>SUM(F29:F37)</f>
        <v>18606956</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853000</v>
      </c>
      <c r="C40" s="559">
        <f>B40</f>
        <v>853000</v>
      </c>
      <c r="D40" s="559"/>
      <c r="E40" s="558">
        <f>'Sources and Uses Budget'!S40</f>
        <v>853000</v>
      </c>
      <c r="F40" s="1900">
        <f>E40</f>
        <v>853000</v>
      </c>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853000</v>
      </c>
      <c r="C42" s="558">
        <f>SUM(C39:C41)</f>
        <v>853000</v>
      </c>
      <c r="D42" s="558">
        <f>SUM(D39:D41)</f>
        <v>0</v>
      </c>
      <c r="E42" s="558">
        <f>'Sources and Uses Budget'!S42</f>
        <v>853000</v>
      </c>
      <c r="F42" s="565">
        <f>SUM(F40:F41)</f>
        <v>853000</v>
      </c>
      <c r="G42" s="565">
        <f>SUM(G40:G41)</f>
        <v>0</v>
      </c>
      <c r="H42" s="558">
        <f>'Sources and Uses Budget'!T42</f>
        <v>0</v>
      </c>
      <c r="I42" s="565">
        <f>SUM(I40:I41)</f>
        <v>0</v>
      </c>
      <c r="J42" s="565">
        <f>SUM(J40:J41)</f>
        <v>0</v>
      </c>
      <c r="K42" s="556"/>
    </row>
    <row r="43" spans="1:11" s="557" customFormat="1">
      <c r="A43" s="562" t="s">
        <v>153</v>
      </c>
      <c r="B43" s="558">
        <f>'Sources and Uses Budget'!C43</f>
        <v>330000</v>
      </c>
      <c r="C43" s="559">
        <f>B43</f>
        <v>330000</v>
      </c>
      <c r="D43" s="559"/>
      <c r="E43" s="558">
        <f>'Sources and Uses Budget'!S43</f>
        <v>330000</v>
      </c>
      <c r="F43" s="1900">
        <f>E43</f>
        <v>330000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3166575</v>
      </c>
      <c r="C45" s="559">
        <f>B45</f>
        <v>3166575</v>
      </c>
      <c r="D45" s="559"/>
      <c r="E45" s="558">
        <f>'Sources and Uses Budget'!S45</f>
        <v>1570141</v>
      </c>
      <c r="F45" s="1900">
        <f>E45</f>
        <v>1570141</v>
      </c>
      <c r="G45" s="559"/>
      <c r="H45" s="558">
        <f>'Sources and Uses Budget'!T45</f>
        <v>0</v>
      </c>
      <c r="I45" s="559"/>
      <c r="J45" s="559"/>
      <c r="K45" s="556"/>
    </row>
    <row r="46" spans="1:11" s="557" customFormat="1">
      <c r="A46" s="561" t="s">
        <v>156</v>
      </c>
      <c r="B46" s="558">
        <f>'Sources and Uses Budget'!C46</f>
        <v>172271</v>
      </c>
      <c r="C46" s="1895">
        <f t="shared" ref="C46:C53" si="3">B46</f>
        <v>172271</v>
      </c>
      <c r="D46" s="559"/>
      <c r="E46" s="558">
        <f>'Sources and Uses Budget'!S46</f>
        <v>30387</v>
      </c>
      <c r="F46" s="1900">
        <f>E46</f>
        <v>30387</v>
      </c>
      <c r="G46" s="559"/>
      <c r="H46" s="558">
        <f>'Sources and Uses Budget'!T46</f>
        <v>0</v>
      </c>
      <c r="I46" s="559"/>
      <c r="J46" s="559"/>
      <c r="K46" s="556"/>
    </row>
    <row r="47" spans="1:11" s="557" customFormat="1" ht="12" customHeight="1">
      <c r="A47" s="561" t="s">
        <v>157</v>
      </c>
      <c r="B47" s="558">
        <f>'Sources and Uses Budget'!C47</f>
        <v>0</v>
      </c>
      <c r="C47" s="1895">
        <f t="shared" si="3"/>
        <v>0</v>
      </c>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1895">
        <f t="shared" si="3"/>
        <v>0</v>
      </c>
      <c r="D48" s="559"/>
      <c r="E48" s="558">
        <f>'Sources and Uses Budget'!S48</f>
        <v>0</v>
      </c>
      <c r="F48" s="559"/>
      <c r="G48" s="559"/>
      <c r="H48" s="558">
        <f>'Sources and Uses Budget'!T48</f>
        <v>0</v>
      </c>
      <c r="I48" s="559"/>
      <c r="J48" s="559"/>
      <c r="K48" s="556"/>
    </row>
    <row r="49" spans="1:11" s="557" customFormat="1">
      <c r="A49" s="437" t="s">
        <v>60</v>
      </c>
      <c r="B49" s="558">
        <f>'Sources and Uses Budget'!C49</f>
        <v>242735</v>
      </c>
      <c r="C49" s="1895">
        <f t="shared" si="3"/>
        <v>242735</v>
      </c>
      <c r="D49" s="559"/>
      <c r="E49" s="558">
        <f>'Sources and Uses Budget'!S49</f>
        <v>0</v>
      </c>
      <c r="F49" s="559"/>
      <c r="G49" s="559"/>
      <c r="H49" s="558">
        <f>'Sources and Uses Budget'!T49</f>
        <v>0</v>
      </c>
      <c r="I49" s="559"/>
      <c r="J49" s="559"/>
      <c r="K49" s="556"/>
    </row>
    <row r="50" spans="1:11" s="557" customFormat="1">
      <c r="A50" s="561" t="s">
        <v>161</v>
      </c>
      <c r="B50" s="558">
        <f>'Sources and Uses Budget'!C50</f>
        <v>75000</v>
      </c>
      <c r="C50" s="1895">
        <f t="shared" si="3"/>
        <v>75000</v>
      </c>
      <c r="D50" s="559"/>
      <c r="E50" s="558">
        <f>'Sources and Uses Budget'!S50</f>
        <v>75000</v>
      </c>
      <c r="F50" s="1900">
        <f>E50</f>
        <v>75000</v>
      </c>
      <c r="G50" s="559"/>
      <c r="H50" s="558">
        <f>'Sources and Uses Budget'!T50</f>
        <v>0</v>
      </c>
      <c r="I50" s="559"/>
      <c r="J50" s="559"/>
      <c r="K50" s="556"/>
    </row>
    <row r="51" spans="1:11" s="557" customFormat="1">
      <c r="A51" s="561" t="s">
        <v>159</v>
      </c>
      <c r="B51" s="558">
        <f>'Sources and Uses Budget'!C51</f>
        <v>50000</v>
      </c>
      <c r="C51" s="1895">
        <f t="shared" si="3"/>
        <v>50000</v>
      </c>
      <c r="D51" s="559"/>
      <c r="E51" s="558">
        <f>'Sources and Uses Budget'!S51</f>
        <v>33000</v>
      </c>
      <c r="F51" s="1900">
        <f>E51</f>
        <v>33000</v>
      </c>
      <c r="G51" s="559"/>
      <c r="H51" s="558">
        <f>'Sources and Uses Budget'!T51</f>
        <v>0</v>
      </c>
      <c r="I51" s="559"/>
      <c r="J51" s="559"/>
      <c r="K51" s="556"/>
    </row>
    <row r="52" spans="1:11" s="557" customFormat="1">
      <c r="A52" s="561" t="s">
        <v>160</v>
      </c>
      <c r="B52" s="558">
        <f>'Sources and Uses Budget'!C52</f>
        <v>215421</v>
      </c>
      <c r="C52" s="1895">
        <f t="shared" si="3"/>
        <v>215421</v>
      </c>
      <c r="D52" s="559"/>
      <c r="E52" s="558">
        <f>'Sources and Uses Budget'!S52</f>
        <v>215421</v>
      </c>
      <c r="F52" s="1900">
        <f>E52</f>
        <v>215421</v>
      </c>
      <c r="G52" s="559"/>
      <c r="H52" s="558">
        <f>'Sources and Uses Budget'!T52</f>
        <v>0</v>
      </c>
      <c r="I52" s="559"/>
      <c r="J52" s="559"/>
      <c r="K52" s="556"/>
    </row>
    <row r="53" spans="1:11" s="557" customFormat="1">
      <c r="A53" s="564" t="str">
        <f>'Sources and Uses Budget'!$A53</f>
        <v>Other: Construction Lender Expenses</v>
      </c>
      <c r="B53" s="558">
        <f>'Sources and Uses Budget'!C53</f>
        <v>50000</v>
      </c>
      <c r="C53" s="1895">
        <f t="shared" si="3"/>
        <v>50000</v>
      </c>
      <c r="D53" s="559"/>
      <c r="E53" s="558">
        <f>'Sources and Uses Budget'!S53</f>
        <v>8819</v>
      </c>
      <c r="F53" s="1900">
        <f>E53</f>
        <v>8819</v>
      </c>
      <c r="G53" s="559"/>
      <c r="H53" s="558">
        <f>'Sources and Uses Budget'!T53</f>
        <v>0</v>
      </c>
      <c r="I53" s="559"/>
      <c r="J53" s="559"/>
      <c r="K53" s="556"/>
    </row>
    <row r="54" spans="1:11" s="568" customFormat="1">
      <c r="A54" s="562" t="s">
        <v>162</v>
      </c>
      <c r="B54" s="558">
        <f>'Sources and Uses Budget'!C54</f>
        <v>3972002</v>
      </c>
      <c r="C54" s="565">
        <f>SUM(C45:C53)</f>
        <v>3972002</v>
      </c>
      <c r="D54" s="565">
        <f>SUM(D45:D53)</f>
        <v>0</v>
      </c>
      <c r="E54" s="558">
        <f>'Sources and Uses Budget'!S54</f>
        <v>1932768</v>
      </c>
      <c r="F54" s="565">
        <f>SUM(F45:F53)</f>
        <v>1932768</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35710</v>
      </c>
      <c r="C56" s="559">
        <f>B56</f>
        <v>35710</v>
      </c>
      <c r="D56" s="559"/>
      <c r="E56" s="560"/>
      <c r="F56" s="560"/>
      <c r="G56" s="560"/>
      <c r="H56" s="560"/>
      <c r="I56" s="560"/>
      <c r="J56" s="560"/>
      <c r="K56" s="556"/>
    </row>
    <row r="57" spans="1:11" s="557" customFormat="1" ht="12" customHeight="1">
      <c r="A57" s="561" t="s">
        <v>157</v>
      </c>
      <c r="B57" s="558">
        <f>'Sources and Uses Budget'!C57</f>
        <v>0</v>
      </c>
      <c r="C57" s="1895">
        <f t="shared" ref="C57:C61" si="4">B57</f>
        <v>0</v>
      </c>
      <c r="D57" s="559"/>
      <c r="E57" s="560"/>
      <c r="F57" s="560"/>
      <c r="G57" s="560"/>
      <c r="H57" s="560"/>
      <c r="I57" s="560"/>
      <c r="J57" s="560"/>
      <c r="K57" s="556"/>
    </row>
    <row r="58" spans="1:11" s="557" customFormat="1">
      <c r="A58" s="561" t="s">
        <v>161</v>
      </c>
      <c r="B58" s="558">
        <f>'Sources and Uses Budget'!C58</f>
        <v>25000</v>
      </c>
      <c r="C58" s="1895">
        <f t="shared" si="4"/>
        <v>25000</v>
      </c>
      <c r="D58" s="559"/>
      <c r="E58" s="560"/>
      <c r="F58" s="560"/>
      <c r="G58" s="560"/>
      <c r="H58" s="560"/>
      <c r="I58" s="560"/>
      <c r="J58" s="560"/>
      <c r="K58" s="556"/>
    </row>
    <row r="59" spans="1:11" s="557" customFormat="1">
      <c r="A59" s="561" t="s">
        <v>159</v>
      </c>
      <c r="B59" s="558">
        <f>'Sources and Uses Budget'!C59</f>
        <v>0</v>
      </c>
      <c r="C59" s="1895">
        <f t="shared" si="4"/>
        <v>0</v>
      </c>
      <c r="D59" s="559"/>
      <c r="E59" s="560"/>
      <c r="F59" s="560"/>
      <c r="G59" s="560"/>
      <c r="H59" s="560"/>
      <c r="I59" s="560"/>
      <c r="J59" s="560"/>
      <c r="K59" s="556"/>
    </row>
    <row r="60" spans="1:11" s="557" customFormat="1">
      <c r="A60" s="561" t="s">
        <v>160</v>
      </c>
      <c r="B60" s="558">
        <f>'Sources and Uses Budget'!C60</f>
        <v>0</v>
      </c>
      <c r="C60" s="1895">
        <f t="shared" si="4"/>
        <v>0</v>
      </c>
      <c r="D60" s="559"/>
      <c r="E60" s="560"/>
      <c r="F60" s="560"/>
      <c r="G60" s="560"/>
      <c r="H60" s="560"/>
      <c r="I60" s="560"/>
      <c r="J60" s="560"/>
      <c r="K60" s="556"/>
    </row>
    <row r="61" spans="1:11" s="557" customFormat="1">
      <c r="A61" s="564" t="str">
        <f>'Sources and Uses Budget'!$A61</f>
        <v>Other: Perm Lender Expenses</v>
      </c>
      <c r="B61" s="558">
        <f>'Sources and Uses Budget'!C61</f>
        <v>10000</v>
      </c>
      <c r="C61" s="1895">
        <f t="shared" si="4"/>
        <v>10000</v>
      </c>
      <c r="D61" s="559"/>
      <c r="E61" s="560"/>
      <c r="F61" s="560"/>
      <c r="G61" s="560"/>
      <c r="H61" s="560"/>
      <c r="I61" s="560"/>
      <c r="J61" s="560"/>
      <c r="K61" s="556"/>
    </row>
    <row r="62" spans="1:11" s="557" customFormat="1" ht="13.7" customHeight="1">
      <c r="A62" s="562" t="s">
        <v>306</v>
      </c>
      <c r="B62" s="558">
        <f>'Sources and Uses Budget'!C62</f>
        <v>70710</v>
      </c>
      <c r="C62" s="558">
        <f>SUM(C56:C61)</f>
        <v>70710</v>
      </c>
      <c r="D62" s="558">
        <f>SUM(D56:D61)</f>
        <v>0</v>
      </c>
      <c r="E62" s="560"/>
      <c r="F62" s="560"/>
      <c r="G62" s="560"/>
      <c r="H62" s="560"/>
      <c r="I62" s="560"/>
      <c r="J62" s="560"/>
      <c r="K62" s="556"/>
    </row>
    <row r="63" spans="1:11" s="557" customFormat="1">
      <c r="A63" s="569" t="s">
        <v>307</v>
      </c>
      <c r="B63" s="558">
        <f>'Sources and Uses Budget'!C63</f>
        <v>26303930</v>
      </c>
      <c r="C63" s="558">
        <f>SUM(C8+C11+C13+C14+C15+C26+C27+C38+C42+C43+C54+C62)</f>
        <v>26303930</v>
      </c>
      <c r="D63" s="558">
        <f>SUM(D8+D11+D13+D14+D15+D26+D27+D38+D42+D43+D54+D62)</f>
        <v>0</v>
      </c>
      <c r="E63" s="558">
        <f>'Sources and Uses Budget'!S63</f>
        <v>21820899</v>
      </c>
      <c r="F63" s="558">
        <f>SUM(F10+F13+F14+F15+F26+F27+F38+F42+F43+F54)</f>
        <v>21820899</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175</v>
      </c>
      <c r="B65" s="558">
        <f>'Sources and Uses Budget'!C65</f>
        <v>70000</v>
      </c>
      <c r="C65" s="559">
        <f>B65</f>
        <v>70000</v>
      </c>
      <c r="D65" s="559"/>
      <c r="E65" s="558">
        <f>'Sources and Uses Budget'!S65</f>
        <v>8819</v>
      </c>
      <c r="F65" s="559">
        <f>E65</f>
        <v>8819</v>
      </c>
      <c r="G65" s="559"/>
      <c r="H65" s="558">
        <f>'Sources and Uses Budget'!T65</f>
        <v>0</v>
      </c>
      <c r="I65" s="559"/>
      <c r="J65" s="559"/>
      <c r="K65" s="556"/>
    </row>
    <row r="66" spans="1:11" s="557" customFormat="1" ht="24">
      <c r="A66" s="437" t="s">
        <v>1849</v>
      </c>
      <c r="B66" s="558">
        <f>'Sources and Uses Budget'!C66</f>
        <v>0</v>
      </c>
      <c r="C66" s="1895">
        <f t="shared" ref="C66:C69" si="5">B66</f>
        <v>0</v>
      </c>
      <c r="D66" s="559"/>
      <c r="E66" s="558">
        <f>'Sources and Uses Budget'!S66</f>
        <v>0</v>
      </c>
      <c r="F66" s="559"/>
      <c r="G66" s="559"/>
      <c r="H66" s="558">
        <f>'Sources and Uses Budget'!T66</f>
        <v>0</v>
      </c>
      <c r="I66" s="559"/>
      <c r="J66" s="559"/>
      <c r="K66" s="556"/>
    </row>
    <row r="67" spans="1:11" s="557" customFormat="1" ht="24">
      <c r="A67" s="437" t="s">
        <v>1850</v>
      </c>
      <c r="B67" s="558">
        <f>'Sources and Uses Budget'!C67</f>
        <v>70000</v>
      </c>
      <c r="C67" s="1895">
        <f t="shared" si="5"/>
        <v>70000</v>
      </c>
      <c r="D67" s="559"/>
      <c r="E67" s="558">
        <f>'Sources and Uses Budget'!S67</f>
        <v>70000</v>
      </c>
      <c r="F67" s="559">
        <f>E67</f>
        <v>70000</v>
      </c>
      <c r="G67" s="559"/>
      <c r="H67" s="558">
        <f>'Sources and Uses Budget'!T67</f>
        <v>0</v>
      </c>
      <c r="I67" s="559"/>
      <c r="J67" s="559"/>
      <c r="K67" s="556"/>
    </row>
    <row r="68" spans="1:11" s="557" customFormat="1">
      <c r="A68" s="437" t="s">
        <v>1856</v>
      </c>
      <c r="B68" s="558">
        <f>'Sources and Uses Budget'!C68</f>
        <v>0</v>
      </c>
      <c r="C68" s="1895">
        <f t="shared" si="5"/>
        <v>0</v>
      </c>
      <c r="D68" s="559"/>
      <c r="E68" s="558">
        <f>'Sources and Uses Budget'!S68</f>
        <v>0</v>
      </c>
      <c r="F68" s="559"/>
      <c r="G68" s="559"/>
      <c r="H68" s="558">
        <f>'Sources and Uses Budget'!T68</f>
        <v>0</v>
      </c>
      <c r="I68" s="559"/>
      <c r="J68" s="559"/>
      <c r="K68" s="556"/>
    </row>
    <row r="69" spans="1:11" s="557" customFormat="1">
      <c r="A69" s="564" t="str">
        <f>'Sources and Uses Budget'!$A69</f>
        <v>Other: Owner Legal</v>
      </c>
      <c r="B69" s="558">
        <f>'Sources and Uses Budget'!C69</f>
        <v>60000</v>
      </c>
      <c r="C69" s="1895">
        <f t="shared" si="5"/>
        <v>60000</v>
      </c>
      <c r="D69" s="559"/>
      <c r="E69" s="558">
        <f>'Sources and Uses Budget'!S69</f>
        <v>40000</v>
      </c>
      <c r="F69" s="559">
        <f>E69</f>
        <v>40000</v>
      </c>
      <c r="G69" s="559"/>
      <c r="H69" s="558">
        <f>'Sources and Uses Budget'!T69</f>
        <v>0</v>
      </c>
      <c r="I69" s="559"/>
      <c r="J69" s="559"/>
      <c r="K69" s="556"/>
    </row>
    <row r="70" spans="1:11" s="557" customFormat="1">
      <c r="A70" s="562" t="s">
        <v>627</v>
      </c>
      <c r="B70" s="558">
        <f>'Sources and Uses Budget'!C70</f>
        <v>200000</v>
      </c>
      <c r="C70" s="558">
        <f>SUM(C64:C69)</f>
        <v>200000</v>
      </c>
      <c r="D70" s="558">
        <f>SUM(D64:D69)</f>
        <v>0</v>
      </c>
      <c r="E70" s="558">
        <f>'Sources and Uses Budget'!S70</f>
        <v>118819</v>
      </c>
      <c r="F70" s="565">
        <f>SUM(F65:F69)</f>
        <v>118819</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194610</v>
      </c>
      <c r="C75" s="559">
        <f>B75</f>
        <v>194610</v>
      </c>
      <c r="D75" s="559"/>
      <c r="E75" s="560"/>
      <c r="F75" s="560"/>
      <c r="G75" s="560"/>
      <c r="H75" s="560"/>
      <c r="I75" s="560"/>
      <c r="J75" s="560"/>
      <c r="K75" s="556"/>
    </row>
    <row r="76" spans="1:11" s="557" customFormat="1">
      <c r="A76" s="564" t="str">
        <f>'Sources and Uses Budget'!$A76</f>
        <v>Other: Transition Reserve</v>
      </c>
      <c r="B76" s="558">
        <f>'Sources and Uses Budget'!C76</f>
        <v>347103</v>
      </c>
      <c r="C76" s="559">
        <f>B76</f>
        <v>347103</v>
      </c>
      <c r="D76" s="559"/>
      <c r="E76" s="560"/>
      <c r="F76" s="560"/>
      <c r="G76" s="560"/>
      <c r="H76" s="560"/>
      <c r="I76" s="560"/>
      <c r="J76" s="560"/>
      <c r="K76" s="556"/>
    </row>
    <row r="77" spans="1:11" s="557" customFormat="1">
      <c r="A77" s="562" t="s">
        <v>632</v>
      </c>
      <c r="B77" s="558">
        <f>'Sources and Uses Budget'!C77</f>
        <v>541713</v>
      </c>
      <c r="C77" s="558">
        <f>SUM(C72:C76)</f>
        <v>541713</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1874796</v>
      </c>
      <c r="C79" s="559">
        <f>B79</f>
        <v>1874796</v>
      </c>
      <c r="D79" s="559"/>
      <c r="E79" s="558">
        <f>'Sources and Uses Budget'!S79</f>
        <v>1874796</v>
      </c>
      <c r="F79" s="1900">
        <f>E79</f>
        <v>1874796</v>
      </c>
      <c r="G79" s="559"/>
      <c r="H79" s="558">
        <f>'Sources and Uses Budget'!T79</f>
        <v>0</v>
      </c>
      <c r="I79" s="559"/>
      <c r="J79" s="559"/>
      <c r="K79" s="556"/>
    </row>
    <row r="80" spans="1:11" s="557" customFormat="1">
      <c r="A80" s="561" t="s">
        <v>61</v>
      </c>
      <c r="B80" s="558">
        <f>'Sources and Uses Budget'!C80</f>
        <v>179607</v>
      </c>
      <c r="C80" s="559">
        <f>B80</f>
        <v>179607</v>
      </c>
      <c r="D80" s="559"/>
      <c r="E80" s="558">
        <f>'Sources and Uses Budget'!S80</f>
        <v>179607</v>
      </c>
      <c r="F80" s="1900">
        <f>E80</f>
        <v>179607</v>
      </c>
      <c r="G80" s="559"/>
      <c r="H80" s="558">
        <f>'Sources and Uses Budget'!T80</f>
        <v>0</v>
      </c>
      <c r="I80" s="559"/>
      <c r="J80" s="559"/>
      <c r="K80" s="556"/>
    </row>
    <row r="81" spans="1:11" s="557" customFormat="1">
      <c r="A81" s="562" t="s">
        <v>1374</v>
      </c>
      <c r="B81" s="558">
        <f>'Sources and Uses Budget'!C81</f>
        <v>2054403</v>
      </c>
      <c r="C81" s="558">
        <f>SUM(C79:C80)</f>
        <v>2054403</v>
      </c>
      <c r="D81" s="558">
        <f>SUM(D79:D80)</f>
        <v>0</v>
      </c>
      <c r="E81" s="558">
        <f>'Sources and Uses Budget'!S81</f>
        <v>2054403</v>
      </c>
      <c r="F81" s="558">
        <f>SUM(F79:F80)</f>
        <v>2054403</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2593</v>
      </c>
      <c r="B83" s="558">
        <f>'Sources and Uses Budget'!C83</f>
        <v>35947</v>
      </c>
      <c r="C83" s="559">
        <f>B83</f>
        <v>35947</v>
      </c>
      <c r="D83" s="559"/>
      <c r="E83" s="560"/>
      <c r="F83" s="560"/>
      <c r="G83" s="560"/>
      <c r="H83" s="560"/>
      <c r="I83" s="560"/>
      <c r="J83" s="560"/>
      <c r="K83" s="556"/>
    </row>
    <row r="84" spans="1:11" s="557" customFormat="1">
      <c r="A84" s="215" t="s">
        <v>809</v>
      </c>
      <c r="B84" s="558">
        <f>'Sources and Uses Budget'!C84</f>
        <v>86000</v>
      </c>
      <c r="C84" s="1895">
        <f t="shared" ref="C84:C95" si="6">B84</f>
        <v>86000</v>
      </c>
      <c r="D84" s="559"/>
      <c r="E84" s="558">
        <f>'Sources and Uses Budget'!S84</f>
        <v>86000</v>
      </c>
      <c r="F84" s="1900">
        <f>E84</f>
        <v>86000</v>
      </c>
      <c r="G84" s="559"/>
      <c r="H84" s="558">
        <f>'Sources and Uses Budget'!T84</f>
        <v>0</v>
      </c>
      <c r="I84" s="559"/>
      <c r="J84" s="559"/>
      <c r="K84" s="556"/>
    </row>
    <row r="85" spans="1:11" s="557" customFormat="1">
      <c r="A85" s="215" t="s">
        <v>810</v>
      </c>
      <c r="B85" s="558">
        <f>'Sources and Uses Budget'!C85</f>
        <v>251475</v>
      </c>
      <c r="C85" s="1895">
        <f t="shared" si="6"/>
        <v>251475</v>
      </c>
      <c r="D85" s="559"/>
      <c r="E85" s="558">
        <f>'Sources and Uses Budget'!S85</f>
        <v>251475</v>
      </c>
      <c r="F85" s="1900">
        <f>E85</f>
        <v>251475</v>
      </c>
      <c r="G85" s="559"/>
      <c r="H85" s="558">
        <f>'Sources and Uses Budget'!T85</f>
        <v>0</v>
      </c>
      <c r="I85" s="559"/>
      <c r="J85" s="559"/>
      <c r="K85" s="556"/>
    </row>
    <row r="86" spans="1:11" s="557" customFormat="1">
      <c r="A86" s="215" t="s">
        <v>811</v>
      </c>
      <c r="B86" s="558">
        <f>'Sources and Uses Budget'!C86</f>
        <v>384000</v>
      </c>
      <c r="C86" s="1895">
        <f t="shared" si="6"/>
        <v>384000</v>
      </c>
      <c r="D86" s="559"/>
      <c r="E86" s="558">
        <f>'Sources and Uses Budget'!S86</f>
        <v>384000</v>
      </c>
      <c r="F86" s="1900">
        <f>E86</f>
        <v>384000</v>
      </c>
      <c r="G86" s="559"/>
      <c r="H86" s="558">
        <f>'Sources and Uses Budget'!T86</f>
        <v>0</v>
      </c>
      <c r="I86" s="559"/>
      <c r="J86" s="559"/>
      <c r="K86" s="556"/>
    </row>
    <row r="87" spans="1:11" s="557" customFormat="1">
      <c r="A87" s="215" t="s">
        <v>812</v>
      </c>
      <c r="B87" s="558">
        <f>'Sources and Uses Budget'!C87</f>
        <v>0</v>
      </c>
      <c r="C87" s="1895">
        <f t="shared" si="6"/>
        <v>0</v>
      </c>
      <c r="D87" s="559"/>
      <c r="E87" s="558">
        <f>'Sources and Uses Budget'!S87</f>
        <v>0</v>
      </c>
      <c r="F87" s="559"/>
      <c r="G87" s="559"/>
      <c r="H87" s="558">
        <f>'Sources and Uses Budget'!T87</f>
        <v>0</v>
      </c>
      <c r="I87" s="559"/>
      <c r="J87" s="559"/>
      <c r="K87" s="556"/>
    </row>
    <row r="88" spans="1:11" s="557" customFormat="1">
      <c r="A88" s="215" t="s">
        <v>813</v>
      </c>
      <c r="B88" s="558">
        <f>'Sources and Uses Budget'!C88</f>
        <v>80000</v>
      </c>
      <c r="C88" s="1895">
        <f t="shared" si="6"/>
        <v>80000</v>
      </c>
      <c r="D88" s="559"/>
      <c r="E88" s="560"/>
      <c r="F88" s="560"/>
      <c r="G88" s="560"/>
      <c r="H88" s="560"/>
      <c r="I88" s="560"/>
      <c r="J88" s="560"/>
      <c r="K88" s="556"/>
    </row>
    <row r="89" spans="1:11" s="557" customFormat="1">
      <c r="A89" s="215" t="s">
        <v>814</v>
      </c>
      <c r="B89" s="558">
        <f>'Sources and Uses Budget'!C89</f>
        <v>177000</v>
      </c>
      <c r="C89" s="1895">
        <f t="shared" si="6"/>
        <v>177000</v>
      </c>
      <c r="D89" s="559"/>
      <c r="E89" s="558">
        <f>'Sources and Uses Budget'!S89</f>
        <v>177000</v>
      </c>
      <c r="F89" s="1900">
        <f>E89</f>
        <v>177000</v>
      </c>
      <c r="G89" s="559"/>
      <c r="H89" s="558">
        <f>'Sources and Uses Budget'!T89</f>
        <v>0</v>
      </c>
      <c r="I89" s="559"/>
      <c r="J89" s="559"/>
      <c r="K89" s="556"/>
    </row>
    <row r="90" spans="1:11" s="557" customFormat="1">
      <c r="A90" s="215" t="s">
        <v>815</v>
      </c>
      <c r="B90" s="558">
        <f>'Sources and Uses Budget'!C90</f>
        <v>25000</v>
      </c>
      <c r="C90" s="1895">
        <f t="shared" si="6"/>
        <v>25000</v>
      </c>
      <c r="D90" s="559"/>
      <c r="E90" s="558">
        <f>'Sources and Uses Budget'!S90</f>
        <v>0</v>
      </c>
      <c r="F90" s="559"/>
      <c r="G90" s="559"/>
      <c r="H90" s="558">
        <f>'Sources and Uses Budget'!T90</f>
        <v>0</v>
      </c>
      <c r="I90" s="559"/>
      <c r="J90" s="559"/>
      <c r="K90" s="556"/>
    </row>
    <row r="91" spans="1:11" s="557" customFormat="1">
      <c r="A91" s="226" t="s">
        <v>386</v>
      </c>
      <c r="B91" s="558">
        <f>'Sources and Uses Budget'!C91</f>
        <v>0</v>
      </c>
      <c r="C91" s="1895">
        <f t="shared" si="6"/>
        <v>0</v>
      </c>
      <c r="D91" s="559"/>
      <c r="E91" s="558">
        <f>'Sources and Uses Budget'!S91</f>
        <v>0</v>
      </c>
      <c r="F91" s="559"/>
      <c r="G91" s="559"/>
      <c r="H91" s="558">
        <f>'Sources and Uses Budget'!T91</f>
        <v>0</v>
      </c>
      <c r="I91" s="559"/>
      <c r="J91" s="559"/>
      <c r="K91" s="556"/>
    </row>
    <row r="92" spans="1:11" s="557" customFormat="1">
      <c r="A92" s="850" t="s">
        <v>1376</v>
      </c>
      <c r="B92" s="558">
        <f>'Sources and Uses Budget'!C92</f>
        <v>15000</v>
      </c>
      <c r="C92" s="1895">
        <f t="shared" si="6"/>
        <v>15000</v>
      </c>
      <c r="D92" s="559"/>
      <c r="E92" s="558">
        <f>'Sources and Uses Budget'!S92</f>
        <v>15000</v>
      </c>
      <c r="F92" s="1900">
        <f>E92</f>
        <v>15000</v>
      </c>
      <c r="G92" s="559"/>
      <c r="H92" s="558">
        <f>'Sources and Uses Budget'!T92</f>
        <v>0</v>
      </c>
      <c r="I92" s="559"/>
      <c r="J92" s="559"/>
      <c r="K92" s="556"/>
    </row>
    <row r="93" spans="1:11" s="557" customFormat="1">
      <c r="A93" s="564" t="str">
        <f>'Sources and Uses Budget'!$A93</f>
        <v>Other: Predevelopment Loan Interest</v>
      </c>
      <c r="B93" s="558">
        <f>'Sources and Uses Budget'!C93</f>
        <v>213850</v>
      </c>
      <c r="C93" s="1895">
        <f t="shared" si="6"/>
        <v>213850</v>
      </c>
      <c r="D93" s="559"/>
      <c r="E93" s="558">
        <f>'Sources and Uses Budget'!S93</f>
        <v>0</v>
      </c>
      <c r="F93" s="559"/>
      <c r="G93" s="559"/>
      <c r="H93" s="558">
        <f>'Sources and Uses Budget'!T93</f>
        <v>0</v>
      </c>
      <c r="I93" s="559"/>
      <c r="J93" s="559"/>
      <c r="K93" s="556"/>
    </row>
    <row r="94" spans="1:11" s="557" customFormat="1">
      <c r="A94" s="564" t="str">
        <f>'Sources and Uses Budget'!$A94</f>
        <v>Other:  Utility Connection</v>
      </c>
      <c r="B94" s="558">
        <f>'Sources and Uses Budget'!C94</f>
        <v>622247</v>
      </c>
      <c r="C94" s="1895">
        <f t="shared" si="6"/>
        <v>622247</v>
      </c>
      <c r="D94" s="559"/>
      <c r="E94" s="558">
        <f>'Sources and Uses Budget'!S94</f>
        <v>622247</v>
      </c>
      <c r="F94" s="1900">
        <f>E94</f>
        <v>622247</v>
      </c>
      <c r="G94" s="559"/>
      <c r="H94" s="558">
        <f>'Sources and Uses Budget'!T94</f>
        <v>0</v>
      </c>
      <c r="I94" s="559"/>
      <c r="J94" s="559"/>
      <c r="K94" s="556"/>
    </row>
    <row r="95" spans="1:11" s="557" customFormat="1">
      <c r="A95" s="564" t="str">
        <f>'Sources and Uses Budget'!$A95</f>
        <v>Other:  Security after PIS</v>
      </c>
      <c r="B95" s="558">
        <f>'Sources and Uses Budget'!C95</f>
        <v>54000</v>
      </c>
      <c r="C95" s="1895">
        <f t="shared" si="6"/>
        <v>54000</v>
      </c>
      <c r="D95" s="559"/>
      <c r="E95" s="558">
        <f>'Sources and Uses Budget'!S95</f>
        <v>0</v>
      </c>
      <c r="F95" s="559"/>
      <c r="G95" s="559"/>
      <c r="H95" s="558">
        <f>'Sources and Uses Budget'!T95</f>
        <v>0</v>
      </c>
      <c r="I95" s="559"/>
      <c r="J95" s="559"/>
      <c r="K95" s="556"/>
    </row>
    <row r="96" spans="1:11" s="557" customFormat="1">
      <c r="A96" s="562" t="s">
        <v>816</v>
      </c>
      <c r="B96" s="558">
        <f>'Sources and Uses Budget'!C96</f>
        <v>1944519</v>
      </c>
      <c r="C96" s="558">
        <f>SUM(C83:C95)</f>
        <v>1944519</v>
      </c>
      <c r="D96" s="558">
        <f>SUM(D83:D95)</f>
        <v>0</v>
      </c>
      <c r="E96" s="558">
        <f>'Sources and Uses Budget'!S96</f>
        <v>1535722</v>
      </c>
      <c r="F96" s="565">
        <f>SUM(F84:F87,F89:F95)</f>
        <v>1535722</v>
      </c>
      <c r="G96" s="565">
        <f>SUM(G84:G87,G89:G95)</f>
        <v>0</v>
      </c>
      <c r="H96" s="558">
        <f>'Sources and Uses Budget'!T96</f>
        <v>0</v>
      </c>
      <c r="I96" s="558">
        <f>SUM(I84:I87,I89:I95)</f>
        <v>0</v>
      </c>
      <c r="J96" s="558">
        <f>SUM(J84:J87,J89:J95)</f>
        <v>0</v>
      </c>
      <c r="K96" s="556"/>
    </row>
    <row r="97" spans="1:11" s="557" customFormat="1">
      <c r="A97" s="562" t="s">
        <v>1110</v>
      </c>
      <c r="B97" s="558">
        <f>'Sources and Uses Budget'!C97</f>
        <v>31044565</v>
      </c>
      <c r="C97" s="558">
        <f>SUM(C63+C70+C77+C81+C96)</f>
        <v>31044565</v>
      </c>
      <c r="D97" s="558">
        <f>SUM(D63+D70+D77+D81+D96)</f>
        <v>0</v>
      </c>
      <c r="E97" s="558">
        <f>'Sources and Uses Budget'!S97</f>
        <v>25529843</v>
      </c>
      <c r="F97" s="565">
        <f>SUM(+F63+F70+F81+F96)</f>
        <v>25529843</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3829476</v>
      </c>
      <c r="C99" s="559">
        <f>B99</f>
        <v>3829476</v>
      </c>
      <c r="D99" s="559"/>
      <c r="E99" s="558">
        <f>'Sources and Uses Budget'!S99</f>
        <v>3829476</v>
      </c>
      <c r="F99" s="1900">
        <f>E99</f>
        <v>3829476</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3829476</v>
      </c>
      <c r="C104" s="558">
        <f>SUM(C99:C103)</f>
        <v>3829476</v>
      </c>
      <c r="D104" s="558">
        <f>SUM(D99:D103)</f>
        <v>0</v>
      </c>
      <c r="E104" s="558">
        <f>'Sources and Uses Budget'!S104</f>
        <v>3829476</v>
      </c>
      <c r="F104" s="565">
        <f>SUM(F99:F103)</f>
        <v>3829476</v>
      </c>
      <c r="G104" s="565">
        <f>SUM(G99:G103)</f>
        <v>0</v>
      </c>
      <c r="H104" s="558">
        <f>'Sources and Uses Budget'!T104</f>
        <v>0</v>
      </c>
      <c r="I104" s="565">
        <f>SUM(I99:I103)</f>
        <v>0</v>
      </c>
      <c r="J104" s="565">
        <f>SUM(J99:J103)</f>
        <v>0</v>
      </c>
      <c r="K104" s="556"/>
    </row>
    <row r="105" spans="1:11" s="557" customFormat="1">
      <c r="A105" s="562" t="s">
        <v>1111</v>
      </c>
      <c r="B105" s="558">
        <f>'Sources and Uses Budget'!C105</f>
        <v>34874041</v>
      </c>
      <c r="C105" s="565">
        <f>SUM(C97+C104)</f>
        <v>34874041</v>
      </c>
      <c r="D105" s="565">
        <f>SUM(D97+D104)</f>
        <v>0</v>
      </c>
      <c r="E105" s="558">
        <f>'Sources and Uses Budget'!S105</f>
        <v>29359319</v>
      </c>
      <c r="F105" s="565">
        <f>F97+F104</f>
        <v>29359319</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29359319</v>
      </c>
      <c r="F107" s="574">
        <f>F105+F106</f>
        <v>29359319</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8"/>
      <c r="E124" s="2639"/>
      <c r="F124" s="2639"/>
      <c r="G124" s="2639"/>
      <c r="H124" s="2639"/>
      <c r="I124" s="2639"/>
      <c r="J124" s="576"/>
      <c r="K124" s="556"/>
    </row>
    <row r="125" spans="1:11" s="557" customFormat="1" ht="12.75">
      <c r="A125" s="587"/>
      <c r="B125" s="586"/>
      <c r="C125" s="587"/>
      <c r="D125" s="2639"/>
      <c r="E125" s="2639"/>
      <c r="F125" s="2639"/>
      <c r="G125" s="2639"/>
      <c r="H125" s="2639"/>
      <c r="I125" s="2639"/>
      <c r="J125" s="576"/>
      <c r="K125" s="556"/>
    </row>
    <row r="126" spans="1:11" s="557" customFormat="1" ht="12.75">
      <c r="A126" s="587"/>
      <c r="B126" s="586"/>
      <c r="C126" s="587"/>
      <c r="D126" s="2639"/>
      <c r="E126" s="2639"/>
      <c r="F126" s="2639"/>
      <c r="G126" s="2639"/>
      <c r="H126" s="2639"/>
      <c r="I126" s="2639"/>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0"/>
      <c r="B139" s="2641"/>
      <c r="C139" s="2641"/>
      <c r="D139" s="599"/>
      <c r="E139" s="587"/>
      <c r="F139" s="587"/>
      <c r="G139" s="587"/>
    </row>
    <row r="140" spans="1:11" ht="12" customHeight="1">
      <c r="A140" s="2642"/>
      <c r="B140" s="2643"/>
      <c r="C140" s="264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77" t="s">
        <v>2595</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078"/>
      <c r="AW1" s="3078"/>
      <c r="AX1" s="3078"/>
      <c r="AY1" s="3078"/>
      <c r="AZ1" s="3078"/>
      <c r="BA1" s="3078"/>
      <c r="BB1" s="3078"/>
      <c r="BC1" s="3078"/>
      <c r="BD1" s="3078"/>
      <c r="BE1" s="3079"/>
    </row>
    <row r="2" spans="1:65" ht="15.75" customHeight="1">
      <c r="A2" s="3080" t="s">
        <v>2596</v>
      </c>
      <c r="B2" s="3081"/>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1"/>
      <c r="BA2" s="3081"/>
      <c r="BB2" s="3081"/>
      <c r="BC2" s="3081"/>
      <c r="BD2" s="3081"/>
      <c r="BE2" s="308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3008" t="str">
        <f>IF(Application!H18="","",Application!H18)</f>
        <v>Huntington Square</v>
      </c>
      <c r="M4" s="3009"/>
      <c r="N4" s="3009"/>
      <c r="O4" s="3009"/>
      <c r="P4" s="3009"/>
      <c r="Q4" s="3009"/>
      <c r="R4" s="3009"/>
      <c r="S4" s="3009"/>
      <c r="T4" s="3009"/>
      <c r="U4" s="3009"/>
      <c r="V4" s="3009"/>
      <c r="W4" s="3009"/>
      <c r="X4" s="3009"/>
      <c r="Y4" s="3009"/>
      <c r="Z4" s="3009"/>
      <c r="AA4" s="3009"/>
      <c r="AB4" s="3009"/>
      <c r="AC4" s="3010"/>
      <c r="AD4" s="1706"/>
      <c r="AE4" s="1706"/>
      <c r="AF4" s="2709" t="s">
        <v>1886</v>
      </c>
      <c r="AG4" s="2710"/>
      <c r="AH4" s="2710"/>
      <c r="AI4" s="2710"/>
      <c r="AJ4" s="2710"/>
      <c r="AK4" s="2710"/>
      <c r="AL4" s="2710"/>
      <c r="AM4" s="2710"/>
      <c r="AN4" s="2710"/>
      <c r="AO4" s="2710"/>
      <c r="AP4" s="3083">
        <v>44562</v>
      </c>
      <c r="AQ4" s="3056"/>
      <c r="AR4" s="3056"/>
      <c r="AS4" s="3056"/>
      <c r="AT4" s="3056"/>
      <c r="AU4" s="3057"/>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5" t="s">
        <v>1887</v>
      </c>
      <c r="AG5" s="2766"/>
      <c r="AH5" s="2766"/>
      <c r="AI5" s="2766"/>
      <c r="AJ5" s="2766"/>
      <c r="AK5" s="2766"/>
      <c r="AL5" s="2766"/>
      <c r="AM5" s="2766"/>
      <c r="AN5" s="2766"/>
      <c r="AO5" s="2766"/>
      <c r="AP5" s="3083">
        <v>44562</v>
      </c>
      <c r="AQ5" s="3056"/>
      <c r="AR5" s="3056"/>
      <c r="AS5" s="3056"/>
      <c r="AT5" s="3056"/>
      <c r="AU5" s="3057"/>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62" t="str">
        <f>IF(Application!H16="","",Application!H16)</f>
        <v>Huntington Square, L.P.</v>
      </c>
      <c r="M6" s="3063"/>
      <c r="N6" s="3063"/>
      <c r="O6" s="3063"/>
      <c r="P6" s="3063"/>
      <c r="Q6" s="3063"/>
      <c r="R6" s="3063"/>
      <c r="S6" s="3063"/>
      <c r="T6" s="3063"/>
      <c r="U6" s="3063"/>
      <c r="V6" s="3063"/>
      <c r="W6" s="3063"/>
      <c r="X6" s="3063"/>
      <c r="Y6" s="3063"/>
      <c r="Z6" s="3063"/>
      <c r="AA6" s="3063"/>
      <c r="AB6" s="3063"/>
      <c r="AC6" s="306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5" t="str">
        <f>Application!T196</f>
        <v>No</v>
      </c>
      <c r="AC8" s="3066"/>
      <c r="AD8" s="306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68">
        <f>Application!AO637</f>
        <v>3571000</v>
      </c>
      <c r="O10" s="3069"/>
      <c r="P10" s="3069"/>
      <c r="Q10" s="3069"/>
      <c r="R10" s="3069"/>
      <c r="S10" s="3069"/>
      <c r="T10" s="3070"/>
      <c r="U10" s="1706"/>
      <c r="V10" s="1706"/>
      <c r="W10" s="1706"/>
      <c r="X10" s="2750" t="s">
        <v>1892</v>
      </c>
      <c r="Y10" s="2751"/>
      <c r="Z10" s="2751"/>
      <c r="AA10" s="2751"/>
      <c r="AB10" s="2751"/>
      <c r="AC10" s="2751"/>
      <c r="AD10" s="2751"/>
      <c r="AE10" s="2751"/>
      <c r="AF10" s="2751"/>
      <c r="AG10" s="2751"/>
      <c r="AH10" s="2751"/>
      <c r="AI10" s="2751"/>
      <c r="AJ10" s="2751"/>
      <c r="AK10" s="2752"/>
      <c r="AL10" s="3087">
        <f>Application!W471</f>
        <v>0</v>
      </c>
      <c r="AM10" s="3066"/>
      <c r="AN10" s="3066"/>
      <c r="AO10" s="3066"/>
      <c r="AP10" s="3067"/>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71">
        <f>Application!AA925</f>
        <v>0</v>
      </c>
      <c r="O11" s="3072"/>
      <c r="P11" s="3072"/>
      <c r="Q11" s="3072"/>
      <c r="R11" s="3072"/>
      <c r="S11" s="3072"/>
      <c r="T11" s="3073"/>
      <c r="U11" s="1706"/>
      <c r="V11" s="1706"/>
      <c r="W11" s="1706"/>
      <c r="X11" s="3074" t="s">
        <v>1894</v>
      </c>
      <c r="Y11" s="3075"/>
      <c r="Z11" s="3075"/>
      <c r="AA11" s="3075"/>
      <c r="AB11" s="3075"/>
      <c r="AC11" s="3075"/>
      <c r="AD11" s="3075"/>
      <c r="AE11" s="3075"/>
      <c r="AF11" s="3075"/>
      <c r="AG11" s="3075"/>
      <c r="AH11" s="3075"/>
      <c r="AI11" s="3075"/>
      <c r="AJ11" s="3075"/>
      <c r="AK11" s="3076"/>
      <c r="AL11" s="3084">
        <v>44562</v>
      </c>
      <c r="AM11" s="3085"/>
      <c r="AN11" s="3085"/>
      <c r="AO11" s="3085"/>
      <c r="AP11" s="3086"/>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50" t="s">
        <v>2597</v>
      </c>
      <c r="Y12" s="2751"/>
      <c r="Z12" s="2751"/>
      <c r="AA12" s="2751"/>
      <c r="AB12" s="2751"/>
      <c r="AC12" s="2751"/>
      <c r="AD12" s="2751"/>
      <c r="AE12" s="2751"/>
      <c r="AF12" s="2751"/>
      <c r="AG12" s="2751"/>
      <c r="AH12" s="2751"/>
      <c r="AI12" s="2751"/>
      <c r="AJ12" s="2751"/>
      <c r="AK12" s="2752"/>
      <c r="AL12" s="3084">
        <v>44562</v>
      </c>
      <c r="AM12" s="3085"/>
      <c r="AN12" s="3085"/>
      <c r="AO12" s="3085"/>
      <c r="AP12" s="3086"/>
      <c r="AQ12" s="1709"/>
      <c r="AR12" s="1709"/>
      <c r="AS12" s="1709"/>
      <c r="AT12" s="1709"/>
      <c r="AU12" s="1709"/>
      <c r="AV12" s="1706"/>
      <c r="AW12" s="1706"/>
      <c r="AX12" s="1706"/>
      <c r="AY12" s="1706"/>
      <c r="AZ12" s="1706"/>
      <c r="BA12" s="1706"/>
      <c r="BB12" s="1706"/>
      <c r="BC12" s="1706"/>
      <c r="BD12" s="1706"/>
      <c r="BE12" s="1712"/>
    </row>
    <row r="13" spans="1:65" thickBot="1">
      <c r="A13" s="1706"/>
      <c r="B13" s="2750" t="s">
        <v>1895</v>
      </c>
      <c r="C13" s="2751"/>
      <c r="D13" s="2751"/>
      <c r="E13" s="2751"/>
      <c r="F13" s="2751"/>
      <c r="G13" s="2751"/>
      <c r="H13" s="2751"/>
      <c r="I13" s="2751"/>
      <c r="J13" s="2751"/>
      <c r="K13" s="2751"/>
      <c r="L13" s="2751"/>
      <c r="M13" s="2751"/>
      <c r="N13" s="2751"/>
      <c r="O13" s="2751"/>
      <c r="P13" s="2752"/>
      <c r="Q13" s="3055" t="s">
        <v>1890</v>
      </c>
      <c r="R13" s="3056"/>
      <c r="S13" s="3056"/>
      <c r="T13" s="3057"/>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8" t="s">
        <v>1896</v>
      </c>
      <c r="C15" s="3058"/>
      <c r="D15" s="3058"/>
      <c r="E15" s="3058"/>
      <c r="F15" s="3058"/>
      <c r="G15" s="3058"/>
      <c r="H15" s="3058"/>
      <c r="I15" s="3058"/>
      <c r="J15" s="3058"/>
      <c r="K15" s="3058"/>
      <c r="L15" s="3059"/>
      <c r="M15" s="2709" t="s">
        <v>1897</v>
      </c>
      <c r="N15" s="2710"/>
      <c r="O15" s="2710"/>
      <c r="P15" s="2710"/>
      <c r="Q15" s="2710"/>
      <c r="R15" s="2710"/>
      <c r="S15" s="3060">
        <f>IF(Application!AB214="","",Application!AB214)</f>
        <v>62</v>
      </c>
      <c r="T15" s="3060"/>
      <c r="U15" s="3060"/>
      <c r="V15" s="3060"/>
      <c r="W15" s="306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94" t="s">
        <v>1898</v>
      </c>
      <c r="C17" s="2795"/>
      <c r="D17" s="2795"/>
      <c r="E17" s="2795"/>
      <c r="F17" s="2795"/>
      <c r="G17" s="2795"/>
      <c r="H17" s="2795"/>
      <c r="I17" s="2795"/>
      <c r="J17" s="2795"/>
      <c r="K17" s="2795"/>
      <c r="L17" s="2795"/>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c r="AS17" s="2795"/>
      <c r="AT17" s="2795"/>
      <c r="AU17" s="2795"/>
      <c r="AV17" s="2795"/>
      <c r="AW17" s="2795"/>
      <c r="AX17" s="2795"/>
      <c r="AY17" s="2796"/>
      <c r="AZ17" s="1706"/>
      <c r="BA17" s="1706"/>
      <c r="BB17" s="1706"/>
      <c r="BC17" s="1706"/>
      <c r="BD17" s="1706"/>
      <c r="BE17" s="1712"/>
      <c r="BF17" s="1704"/>
    </row>
    <row r="18" spans="1:58" ht="15.75" customHeight="1">
      <c r="A18" s="1706"/>
      <c r="B18" s="3048" t="s">
        <v>1899</v>
      </c>
      <c r="C18" s="3049"/>
      <c r="D18" s="3049"/>
      <c r="E18" s="3049"/>
      <c r="F18" s="3049"/>
      <c r="G18" s="3049"/>
      <c r="H18" s="3049"/>
      <c r="I18" s="3050"/>
      <c r="J18" s="3051" t="s">
        <v>1791</v>
      </c>
      <c r="K18" s="3052"/>
      <c r="L18" s="3052"/>
      <c r="M18" s="3052"/>
      <c r="N18" s="3052"/>
      <c r="O18" s="3053"/>
      <c r="P18" s="3051" t="s">
        <v>329</v>
      </c>
      <c r="Q18" s="3052"/>
      <c r="R18" s="3052"/>
      <c r="S18" s="3052"/>
      <c r="T18" s="3052"/>
      <c r="U18" s="3053"/>
      <c r="V18" s="3051" t="s">
        <v>330</v>
      </c>
      <c r="W18" s="3052"/>
      <c r="X18" s="3052"/>
      <c r="Y18" s="3052"/>
      <c r="Z18" s="3052"/>
      <c r="AA18" s="3053"/>
      <c r="AB18" s="3051" t="s">
        <v>168</v>
      </c>
      <c r="AC18" s="3052"/>
      <c r="AD18" s="3052"/>
      <c r="AE18" s="3052"/>
      <c r="AF18" s="3052"/>
      <c r="AG18" s="3053"/>
      <c r="AH18" s="3051" t="s">
        <v>169</v>
      </c>
      <c r="AI18" s="3052"/>
      <c r="AJ18" s="3052"/>
      <c r="AK18" s="3052"/>
      <c r="AL18" s="3052"/>
      <c r="AM18" s="3053"/>
      <c r="AN18" s="3051" t="s">
        <v>170</v>
      </c>
      <c r="AO18" s="3052"/>
      <c r="AP18" s="3052"/>
      <c r="AQ18" s="3052"/>
      <c r="AR18" s="3052"/>
      <c r="AS18" s="3053"/>
      <c r="AT18" s="3051" t="s">
        <v>1900</v>
      </c>
      <c r="AU18" s="3052"/>
      <c r="AV18" s="3052"/>
      <c r="AW18" s="3052"/>
      <c r="AX18" s="3052"/>
      <c r="AY18" s="3054"/>
      <c r="AZ18" s="1706"/>
      <c r="BA18" s="1706"/>
      <c r="BB18" s="1706"/>
      <c r="BC18" s="1706"/>
      <c r="BD18" s="1706"/>
      <c r="BE18" s="1712"/>
    </row>
    <row r="19" spans="1:58" ht="15">
      <c r="A19" s="1706"/>
      <c r="B19" s="3046">
        <v>0.2</v>
      </c>
      <c r="C19" s="3047"/>
      <c r="D19" s="3047"/>
      <c r="E19" s="3047"/>
      <c r="F19" s="3047"/>
      <c r="G19" s="3047"/>
      <c r="H19" s="3047"/>
      <c r="I19" s="3047"/>
      <c r="J19" s="3037">
        <f>SUM(P19:AS19)</f>
        <v>0</v>
      </c>
      <c r="K19" s="3038"/>
      <c r="L19" s="3038"/>
      <c r="M19" s="3038"/>
      <c r="N19" s="3038"/>
      <c r="O19" s="3039"/>
      <c r="P19" s="3037" cm="1">
        <f t="array" ref="P19">SUMPRODUCT((Application!$B$728:$B$752 = 'CalHFA Addendum'!P$18)*(Application!$AC$728:$AC$752 = 'CalHFA Addendum'!$B19),Application!$G$728:$G$752)</f>
        <v>0</v>
      </c>
      <c r="Q19" s="3038"/>
      <c r="R19" s="3038"/>
      <c r="S19" s="3038"/>
      <c r="T19" s="3038"/>
      <c r="U19" s="3039"/>
      <c r="V19" s="3037" cm="1">
        <f t="array" ref="V19">SUMPRODUCT((Application!$B$728:$B$752 = 'CalHFA Addendum'!V$18)*(Application!$AC$728:$AC$752 = 'CalHFA Addendum'!$B19),Application!$G$728:$G$752)</f>
        <v>0</v>
      </c>
      <c r="W19" s="3038"/>
      <c r="X19" s="3038"/>
      <c r="Y19" s="3038"/>
      <c r="Z19" s="3038"/>
      <c r="AA19" s="3039"/>
      <c r="AB19" s="3037" cm="1">
        <f t="array" ref="AB19">SUMPRODUCT((Application!$B$728:$B$752 = 'CalHFA Addendum'!AB$18)*(Application!$AC$728:$AC$752 = 'CalHFA Addendum'!$B19),Application!$G$728:$G$752)</f>
        <v>0</v>
      </c>
      <c r="AC19" s="3038"/>
      <c r="AD19" s="3038"/>
      <c r="AE19" s="3038"/>
      <c r="AF19" s="3038"/>
      <c r="AG19" s="3039"/>
      <c r="AH19" s="3037" cm="1">
        <f t="array" ref="AH19">SUMPRODUCT((Application!$B$728:$B$752 = 'CalHFA Addendum'!AH$18)*(Application!$AC$728:$AC$752 = 'CalHFA Addendum'!$B19),Application!$G$728:$G$752)</f>
        <v>0</v>
      </c>
      <c r="AI19" s="3038"/>
      <c r="AJ19" s="3038"/>
      <c r="AK19" s="3038"/>
      <c r="AL19" s="3038"/>
      <c r="AM19" s="3039"/>
      <c r="AN19" s="3037" cm="1">
        <f t="array" ref="AN19">SUMPRODUCT((Application!$B$728:$B$752 = 'CalHFA Addendum'!AN$18)*(Application!$AC$728:$AC$752 = 'CalHFA Addendum'!$B19),Application!$G$728:$G$752)</f>
        <v>0</v>
      </c>
      <c r="AO19" s="3038"/>
      <c r="AP19" s="3038"/>
      <c r="AQ19" s="3038"/>
      <c r="AR19" s="3038"/>
      <c r="AS19" s="3039"/>
      <c r="AT19" s="3040">
        <f t="shared" ref="AT19:AT28" si="0">J19/$J$29</f>
        <v>0</v>
      </c>
      <c r="AU19" s="3041"/>
      <c r="AV19" s="3041"/>
      <c r="AW19" s="3041"/>
      <c r="AX19" s="3041"/>
      <c r="AY19" s="3042"/>
      <c r="AZ19" s="1713"/>
      <c r="BA19" s="1706"/>
      <c r="BB19" s="1706"/>
      <c r="BC19" s="1706"/>
      <c r="BD19" s="1706"/>
      <c r="BE19" s="1712"/>
    </row>
    <row r="20" spans="1:58" ht="15" customHeight="1">
      <c r="A20" s="1706"/>
      <c r="B20" s="3046">
        <v>0.3</v>
      </c>
      <c r="C20" s="3047"/>
      <c r="D20" s="3047"/>
      <c r="E20" s="3047"/>
      <c r="F20" s="3047"/>
      <c r="G20" s="3047"/>
      <c r="H20" s="3047"/>
      <c r="I20" s="3047"/>
      <c r="J20" s="3037">
        <f t="shared" ref="J20:J28" si="1">SUM(P20:AS20)</f>
        <v>20</v>
      </c>
      <c r="K20" s="3038"/>
      <c r="L20" s="3038"/>
      <c r="M20" s="3038"/>
      <c r="N20" s="3038"/>
      <c r="O20" s="3039"/>
      <c r="P20" s="3037" cm="1">
        <f t="array" ref="P20">SUMPRODUCT((Application!$B$728:$B$752 = 'CalHFA Addendum'!P$18)*(Application!$AC$728:$AC$752 = 'CalHFA Addendum'!$B20),Application!$G$728:$G$752)</f>
        <v>8</v>
      </c>
      <c r="Q20" s="3038"/>
      <c r="R20" s="3038"/>
      <c r="S20" s="3038"/>
      <c r="T20" s="3038"/>
      <c r="U20" s="3039"/>
      <c r="V20" s="3037" cm="1">
        <f t="array" ref="V20">SUMPRODUCT((Application!$B$728:$B$752 = 'CalHFA Addendum'!V$18)*(Application!$AC$728:$AC$752 = 'CalHFA Addendum'!$B20),Application!$G$728:$G$752)</f>
        <v>12</v>
      </c>
      <c r="W20" s="3038"/>
      <c r="X20" s="3038"/>
      <c r="Y20" s="3038"/>
      <c r="Z20" s="3038"/>
      <c r="AA20" s="3039"/>
      <c r="AB20" s="3037" cm="1">
        <f t="array" ref="AB20">SUMPRODUCT((Application!$B$728:$B$752 = 'CalHFA Addendum'!AB$18)*(Application!$AC$728:$AC$752 = 'CalHFA Addendum'!$B20),Application!$G$728:$G$752)</f>
        <v>0</v>
      </c>
      <c r="AC20" s="3038"/>
      <c r="AD20" s="3038"/>
      <c r="AE20" s="3038"/>
      <c r="AF20" s="3038"/>
      <c r="AG20" s="3039"/>
      <c r="AH20" s="3037" cm="1">
        <f t="array" ref="AH20">SUMPRODUCT((Application!$B$728:$B$752 = 'CalHFA Addendum'!AH$18)*(Application!$AC$728:$AC$752 = 'CalHFA Addendum'!$B20),Application!$G$728:$G$752)</f>
        <v>0</v>
      </c>
      <c r="AI20" s="3038"/>
      <c r="AJ20" s="3038"/>
      <c r="AK20" s="3038"/>
      <c r="AL20" s="3038"/>
      <c r="AM20" s="3039"/>
      <c r="AN20" s="3037" cm="1">
        <f t="array" ref="AN20">SUMPRODUCT((Application!$B$728:$B$752 = 'CalHFA Addendum'!AN$18)*(Application!$AC$728:$AC$752 = 'CalHFA Addendum'!$B20),Application!$G$728:$G$752)</f>
        <v>0</v>
      </c>
      <c r="AO20" s="3038"/>
      <c r="AP20" s="3038"/>
      <c r="AQ20" s="3038"/>
      <c r="AR20" s="3038"/>
      <c r="AS20" s="3039"/>
      <c r="AT20" s="3040">
        <f t="shared" si="0"/>
        <v>0.41666666666666669</v>
      </c>
      <c r="AU20" s="3041"/>
      <c r="AV20" s="3041"/>
      <c r="AW20" s="3041"/>
      <c r="AX20" s="3041"/>
      <c r="AY20" s="3042"/>
      <c r="AZ20" s="1706"/>
      <c r="BA20" s="1706"/>
      <c r="BB20" s="1706"/>
      <c r="BC20" s="1706"/>
      <c r="BD20" s="1706"/>
      <c r="BE20" s="1712"/>
    </row>
    <row r="21" spans="1:58" ht="15">
      <c r="A21" s="1706"/>
      <c r="B21" s="3046">
        <v>0.4</v>
      </c>
      <c r="C21" s="3047"/>
      <c r="D21" s="3047"/>
      <c r="E21" s="3047"/>
      <c r="F21" s="3047"/>
      <c r="G21" s="3047"/>
      <c r="H21" s="3047"/>
      <c r="I21" s="3047"/>
      <c r="J21" s="3037">
        <f t="shared" si="1"/>
        <v>2</v>
      </c>
      <c r="K21" s="3038"/>
      <c r="L21" s="3038"/>
      <c r="M21" s="3038"/>
      <c r="N21" s="3038"/>
      <c r="O21" s="3039"/>
      <c r="P21" s="3037" cm="1">
        <f t="array" ref="P21">SUMPRODUCT((Application!$B$728:$B$752 = 'CalHFA Addendum'!P$18)*(Application!$AC$728:$AC$752 = 'CalHFA Addendum'!$B21),Application!$G$728:$G$752)</f>
        <v>2</v>
      </c>
      <c r="Q21" s="3038"/>
      <c r="R21" s="3038"/>
      <c r="S21" s="3038"/>
      <c r="T21" s="3038"/>
      <c r="U21" s="3039"/>
      <c r="V21" s="3037" cm="1">
        <f t="array" ref="V21">SUMPRODUCT((Application!$B$728:$B$752 = 'CalHFA Addendum'!V$18)*(Application!$AC$728:$AC$752 = 'CalHFA Addendum'!$B21),Application!$G$728:$G$752)</f>
        <v>0</v>
      </c>
      <c r="W21" s="3038"/>
      <c r="X21" s="3038"/>
      <c r="Y21" s="3038"/>
      <c r="Z21" s="3038"/>
      <c r="AA21" s="3039"/>
      <c r="AB21" s="3037" cm="1">
        <f t="array" ref="AB21">SUMPRODUCT((Application!$B$728:$B$752 = 'CalHFA Addendum'!AB$18)*(Application!$AC$728:$AC$752 = 'CalHFA Addendum'!$B21),Application!$G$728:$G$752)</f>
        <v>0</v>
      </c>
      <c r="AC21" s="3038"/>
      <c r="AD21" s="3038"/>
      <c r="AE21" s="3038"/>
      <c r="AF21" s="3038"/>
      <c r="AG21" s="3039"/>
      <c r="AH21" s="3037" cm="1">
        <f t="array" ref="AH21">SUMPRODUCT((Application!$B$728:$B$752 = 'CalHFA Addendum'!AH$18)*(Application!$AC$728:$AC$752 = 'CalHFA Addendum'!$B21),Application!$G$728:$G$752)</f>
        <v>0</v>
      </c>
      <c r="AI21" s="3038"/>
      <c r="AJ21" s="3038"/>
      <c r="AK21" s="3038"/>
      <c r="AL21" s="3038"/>
      <c r="AM21" s="3039"/>
      <c r="AN21" s="3037" cm="1">
        <f t="array" ref="AN21">SUMPRODUCT((Application!$B$728:$B$752 = 'CalHFA Addendum'!AN$18)*(Application!$AC$728:$AC$752 = 'CalHFA Addendum'!$B21),Application!$G$728:$G$752)</f>
        <v>0</v>
      </c>
      <c r="AO21" s="3038"/>
      <c r="AP21" s="3038"/>
      <c r="AQ21" s="3038"/>
      <c r="AR21" s="3038"/>
      <c r="AS21" s="3039"/>
      <c r="AT21" s="3040">
        <f t="shared" si="0"/>
        <v>4.1666666666666664E-2</v>
      </c>
      <c r="AU21" s="3041"/>
      <c r="AV21" s="3041"/>
      <c r="AW21" s="3041"/>
      <c r="AX21" s="3041"/>
      <c r="AY21" s="3042"/>
      <c r="AZ21" s="1706"/>
      <c r="BA21" s="1706"/>
      <c r="BB21" s="1706"/>
      <c r="BC21" s="1706"/>
      <c r="BD21" s="1706"/>
      <c r="BE21" s="1712"/>
    </row>
    <row r="22" spans="1:58" ht="15">
      <c r="A22" s="1706"/>
      <c r="B22" s="3046">
        <v>0.5</v>
      </c>
      <c r="C22" s="3047"/>
      <c r="D22" s="3047"/>
      <c r="E22" s="3047"/>
      <c r="F22" s="3047"/>
      <c r="G22" s="3047"/>
      <c r="H22" s="3047"/>
      <c r="I22" s="3047"/>
      <c r="J22" s="3037">
        <f t="shared" si="1"/>
        <v>20</v>
      </c>
      <c r="K22" s="3038"/>
      <c r="L22" s="3038"/>
      <c r="M22" s="3038"/>
      <c r="N22" s="3038"/>
      <c r="O22" s="3039"/>
      <c r="P22" s="3037" cm="1">
        <f t="array" ref="P22">SUMPRODUCT((Application!$B$728:$B$752 = 'CalHFA Addendum'!P$18)*(Application!$AC$728:$AC$752 = 'CalHFA Addendum'!$B22),Application!$G$728:$G$752)</f>
        <v>7</v>
      </c>
      <c r="Q22" s="3038"/>
      <c r="R22" s="3038"/>
      <c r="S22" s="3038"/>
      <c r="T22" s="3038"/>
      <c r="U22" s="3039"/>
      <c r="V22" s="3037" cm="1">
        <f t="array" ref="V22">SUMPRODUCT((Application!$B$728:$B$752 = 'CalHFA Addendum'!V$18)*(Application!$AC$728:$AC$752 = 'CalHFA Addendum'!$B22),Application!$G$728:$G$752)</f>
        <v>13</v>
      </c>
      <c r="W22" s="3038"/>
      <c r="X22" s="3038"/>
      <c r="Y22" s="3038"/>
      <c r="Z22" s="3038"/>
      <c r="AA22" s="3039"/>
      <c r="AB22" s="3037" cm="1">
        <f t="array" ref="AB22">SUMPRODUCT((Application!$B$728:$B$752 = 'CalHFA Addendum'!AB$18)*(Application!$AC$728:$AC$752 = 'CalHFA Addendum'!$B22),Application!$G$728:$G$752)</f>
        <v>0</v>
      </c>
      <c r="AC22" s="3038"/>
      <c r="AD22" s="3038"/>
      <c r="AE22" s="3038"/>
      <c r="AF22" s="3038"/>
      <c r="AG22" s="3039"/>
      <c r="AH22" s="3037" cm="1">
        <f t="array" ref="AH22">SUMPRODUCT((Application!$B$728:$B$752 = 'CalHFA Addendum'!AH$18)*(Application!$AC$728:$AC$752 = 'CalHFA Addendum'!$B22),Application!$G$728:$G$752)</f>
        <v>0</v>
      </c>
      <c r="AI22" s="3038"/>
      <c r="AJ22" s="3038"/>
      <c r="AK22" s="3038"/>
      <c r="AL22" s="3038"/>
      <c r="AM22" s="3039"/>
      <c r="AN22" s="3037" cm="1">
        <f t="array" ref="AN22">SUMPRODUCT((Application!$B$728:$B$752 = 'CalHFA Addendum'!AN$18)*(Application!$AC$728:$AC$752 = 'CalHFA Addendum'!$B22),Application!$G$728:$G$752)</f>
        <v>0</v>
      </c>
      <c r="AO22" s="3038"/>
      <c r="AP22" s="3038"/>
      <c r="AQ22" s="3038"/>
      <c r="AR22" s="3038"/>
      <c r="AS22" s="3039"/>
      <c r="AT22" s="3040">
        <f t="shared" si="0"/>
        <v>0.41666666666666669</v>
      </c>
      <c r="AU22" s="3041"/>
      <c r="AV22" s="3041"/>
      <c r="AW22" s="3041"/>
      <c r="AX22" s="3041"/>
      <c r="AY22" s="3042"/>
      <c r="AZ22" s="1706"/>
      <c r="BA22" s="1706"/>
      <c r="BB22" s="1706"/>
      <c r="BC22" s="1706"/>
      <c r="BD22" s="1706"/>
      <c r="BE22" s="1712"/>
    </row>
    <row r="23" spans="1:58" ht="15">
      <c r="A23" s="1706"/>
      <c r="B23" s="3046">
        <v>0.6</v>
      </c>
      <c r="C23" s="3047"/>
      <c r="D23" s="3047"/>
      <c r="E23" s="3047"/>
      <c r="F23" s="3047"/>
      <c r="G23" s="3047"/>
      <c r="H23" s="3047"/>
      <c r="I23" s="3047"/>
      <c r="J23" s="3037">
        <f t="shared" si="1"/>
        <v>5</v>
      </c>
      <c r="K23" s="3038"/>
      <c r="L23" s="3038"/>
      <c r="M23" s="3038"/>
      <c r="N23" s="3038"/>
      <c r="O23" s="3039"/>
      <c r="P23" s="3037" cm="1">
        <f t="array" ref="P23">SUMPRODUCT((Application!$B$728:$B$752 = 'CalHFA Addendum'!P$18)*(Application!$AC$728:$AC$752 = 'CalHFA Addendum'!$B23),Application!$G$728:$G$752)</f>
        <v>0</v>
      </c>
      <c r="Q23" s="3038"/>
      <c r="R23" s="3038"/>
      <c r="S23" s="3038"/>
      <c r="T23" s="3038"/>
      <c r="U23" s="3039"/>
      <c r="V23" s="3037" cm="1">
        <f t="array" ref="V23">SUMPRODUCT((Application!$B$728:$B$752 = 'CalHFA Addendum'!V$18)*(Application!$AC$728:$AC$752 = 'CalHFA Addendum'!$B23),Application!$G$728:$G$752)</f>
        <v>5</v>
      </c>
      <c r="W23" s="3038"/>
      <c r="X23" s="3038"/>
      <c r="Y23" s="3038"/>
      <c r="Z23" s="3038"/>
      <c r="AA23" s="3039"/>
      <c r="AB23" s="3037" cm="1">
        <f t="array" ref="AB23">SUMPRODUCT((Application!$B$728:$B$752 = 'CalHFA Addendum'!AB$18)*(Application!$AC$728:$AC$752 = 'CalHFA Addendum'!$B23),Application!$G$728:$G$752)</f>
        <v>0</v>
      </c>
      <c r="AC23" s="3038"/>
      <c r="AD23" s="3038"/>
      <c r="AE23" s="3038"/>
      <c r="AF23" s="3038"/>
      <c r="AG23" s="3039"/>
      <c r="AH23" s="3037" cm="1">
        <f t="array" ref="AH23">SUMPRODUCT((Application!$B$728:$B$752 = 'CalHFA Addendum'!AH$18)*(Application!$AC$728:$AC$752 = 'CalHFA Addendum'!$B23),Application!$G$728:$G$752)</f>
        <v>0</v>
      </c>
      <c r="AI23" s="3038"/>
      <c r="AJ23" s="3038"/>
      <c r="AK23" s="3038"/>
      <c r="AL23" s="3038"/>
      <c r="AM23" s="3039"/>
      <c r="AN23" s="3037" cm="1">
        <f t="array" ref="AN23">SUMPRODUCT((Application!$B$728:$B$752 = 'CalHFA Addendum'!AN$18)*(Application!$AC$728:$AC$752 = 'CalHFA Addendum'!$B23),Application!$G$728:$G$752)</f>
        <v>0</v>
      </c>
      <c r="AO23" s="3038"/>
      <c r="AP23" s="3038"/>
      <c r="AQ23" s="3038"/>
      <c r="AR23" s="3038"/>
      <c r="AS23" s="3039"/>
      <c r="AT23" s="3040">
        <f t="shared" si="0"/>
        <v>0.10416666666666667</v>
      </c>
      <c r="AU23" s="3041"/>
      <c r="AV23" s="3041"/>
      <c r="AW23" s="3041"/>
      <c r="AX23" s="3041"/>
      <c r="AY23" s="3042"/>
      <c r="AZ23" s="1706"/>
      <c r="BA23" s="1706"/>
      <c r="BB23" s="1706"/>
      <c r="BC23" s="1706"/>
      <c r="BD23" s="1706"/>
      <c r="BE23" s="1712"/>
    </row>
    <row r="24" spans="1:58" ht="15">
      <c r="A24" s="1706"/>
      <c r="B24" s="3046">
        <v>0.7</v>
      </c>
      <c r="C24" s="3047"/>
      <c r="D24" s="3047"/>
      <c r="E24" s="3047"/>
      <c r="F24" s="3047"/>
      <c r="G24" s="3047"/>
      <c r="H24" s="3047"/>
      <c r="I24" s="3047"/>
      <c r="J24" s="3037">
        <f t="shared" si="1"/>
        <v>0</v>
      </c>
      <c r="K24" s="3038"/>
      <c r="L24" s="3038"/>
      <c r="M24" s="3038"/>
      <c r="N24" s="3038"/>
      <c r="O24" s="3039"/>
      <c r="P24" s="3037" cm="1">
        <f t="array" ref="P24">SUMPRODUCT((Application!$B$728:$B$752 = 'CalHFA Addendum'!P$18)*(Application!$AC$728:$AC$752 = 'CalHFA Addendum'!$B24),Application!$G$728:$G$752)</f>
        <v>0</v>
      </c>
      <c r="Q24" s="3038"/>
      <c r="R24" s="3038"/>
      <c r="S24" s="3038"/>
      <c r="T24" s="3038"/>
      <c r="U24" s="3039"/>
      <c r="V24" s="3037" cm="1">
        <f t="array" ref="V24">SUMPRODUCT((Application!$B$728:$B$752 = 'CalHFA Addendum'!V$18)*(Application!$AC$728:$AC$752 = 'CalHFA Addendum'!$B24),Application!$G$728:$G$752)</f>
        <v>0</v>
      </c>
      <c r="W24" s="3038"/>
      <c r="X24" s="3038"/>
      <c r="Y24" s="3038"/>
      <c r="Z24" s="3038"/>
      <c r="AA24" s="3039"/>
      <c r="AB24" s="3037" cm="1">
        <f t="array" ref="AB24">SUMPRODUCT((Application!$B$728:$B$752 = 'CalHFA Addendum'!AB$18)*(Application!$AC$728:$AC$752 = 'CalHFA Addendum'!$B24),Application!$G$728:$G$752)</f>
        <v>0</v>
      </c>
      <c r="AC24" s="3038"/>
      <c r="AD24" s="3038"/>
      <c r="AE24" s="3038"/>
      <c r="AF24" s="3038"/>
      <c r="AG24" s="3039"/>
      <c r="AH24" s="3037" cm="1">
        <f t="array" ref="AH24">SUMPRODUCT((Application!$B$728:$B$752 = 'CalHFA Addendum'!AH$18)*(Application!$AC$728:$AC$752 = 'CalHFA Addendum'!$B24),Application!$G$728:$G$752)</f>
        <v>0</v>
      </c>
      <c r="AI24" s="3038"/>
      <c r="AJ24" s="3038"/>
      <c r="AK24" s="3038"/>
      <c r="AL24" s="3038"/>
      <c r="AM24" s="3039"/>
      <c r="AN24" s="3037" cm="1">
        <f t="array" ref="AN24">SUMPRODUCT((Application!$B$728:$B$752 = 'CalHFA Addendum'!AN$18)*(Application!$AC$728:$AC$752 = 'CalHFA Addendum'!$B24),Application!$G$728:$G$752)</f>
        <v>0</v>
      </c>
      <c r="AO24" s="3038"/>
      <c r="AP24" s="3038"/>
      <c r="AQ24" s="3038"/>
      <c r="AR24" s="3038"/>
      <c r="AS24" s="3039"/>
      <c r="AT24" s="3040">
        <f t="shared" si="0"/>
        <v>0</v>
      </c>
      <c r="AU24" s="3041"/>
      <c r="AV24" s="3041"/>
      <c r="AW24" s="3041"/>
      <c r="AX24" s="3041"/>
      <c r="AY24" s="3042"/>
      <c r="AZ24" s="1706"/>
      <c r="BA24" s="1706"/>
      <c r="BB24" s="1706"/>
      <c r="BC24" s="1706"/>
      <c r="BD24" s="1706"/>
      <c r="BE24" s="1712"/>
    </row>
    <row r="25" spans="1:58" ht="15">
      <c r="A25" s="1706"/>
      <c r="B25" s="3046">
        <v>0.8</v>
      </c>
      <c r="C25" s="3047"/>
      <c r="D25" s="3047"/>
      <c r="E25" s="3047"/>
      <c r="F25" s="3047"/>
      <c r="G25" s="3047"/>
      <c r="H25" s="3047"/>
      <c r="I25" s="3047"/>
      <c r="J25" s="3037">
        <f t="shared" si="1"/>
        <v>0</v>
      </c>
      <c r="K25" s="3038"/>
      <c r="L25" s="3038"/>
      <c r="M25" s="3038"/>
      <c r="N25" s="3038"/>
      <c r="O25" s="3039"/>
      <c r="P25" s="3037" cm="1">
        <f t="array" ref="P25">SUMPRODUCT((Application!$B$728:$B$752 = 'CalHFA Addendum'!P$18)*(Application!$AC$728:$AC$752 = 'CalHFA Addendum'!$B25),Application!$G$728:$G$752)</f>
        <v>0</v>
      </c>
      <c r="Q25" s="3038"/>
      <c r="R25" s="3038"/>
      <c r="S25" s="3038"/>
      <c r="T25" s="3038"/>
      <c r="U25" s="3039"/>
      <c r="V25" s="3037" cm="1">
        <f t="array" ref="V25">SUMPRODUCT((Application!$B$728:$B$752 = 'CalHFA Addendum'!V$18)*(Application!$AC$728:$AC$752 = 'CalHFA Addendum'!$B25),Application!$G$728:$G$752)</f>
        <v>0</v>
      </c>
      <c r="W25" s="3038"/>
      <c r="X25" s="3038"/>
      <c r="Y25" s="3038"/>
      <c r="Z25" s="3038"/>
      <c r="AA25" s="3039"/>
      <c r="AB25" s="3037" cm="1">
        <f t="array" ref="AB25">SUMPRODUCT((Application!$B$728:$B$752 = 'CalHFA Addendum'!AB$18)*(Application!$AC$728:$AC$752 = 'CalHFA Addendum'!$B25),Application!$G$728:$G$752)</f>
        <v>0</v>
      </c>
      <c r="AC25" s="3038"/>
      <c r="AD25" s="3038"/>
      <c r="AE25" s="3038"/>
      <c r="AF25" s="3038"/>
      <c r="AG25" s="3039"/>
      <c r="AH25" s="3037" cm="1">
        <f t="array" ref="AH25">SUMPRODUCT((Application!$B$728:$B$752 = 'CalHFA Addendum'!AH$18)*(Application!$AC$728:$AC$752 = 'CalHFA Addendum'!$B25),Application!$G$728:$G$752)</f>
        <v>0</v>
      </c>
      <c r="AI25" s="3038"/>
      <c r="AJ25" s="3038"/>
      <c r="AK25" s="3038"/>
      <c r="AL25" s="3038"/>
      <c r="AM25" s="3039"/>
      <c r="AN25" s="3037" cm="1">
        <f t="array" ref="AN25">SUMPRODUCT((Application!$B$728:$B$752 = 'CalHFA Addendum'!AN$18)*(Application!$AC$728:$AC$752 = 'CalHFA Addendum'!$B25),Application!$G$728:$G$752)</f>
        <v>0</v>
      </c>
      <c r="AO25" s="3038"/>
      <c r="AP25" s="3038"/>
      <c r="AQ25" s="3038"/>
      <c r="AR25" s="3038"/>
      <c r="AS25" s="3039"/>
      <c r="AT25" s="3040">
        <f t="shared" si="0"/>
        <v>0</v>
      </c>
      <c r="AU25" s="3041"/>
      <c r="AV25" s="3041"/>
      <c r="AW25" s="3041"/>
      <c r="AX25" s="3041"/>
      <c r="AY25" s="3042"/>
      <c r="AZ25" s="1706"/>
      <c r="BA25" s="1706"/>
      <c r="BB25" s="1706"/>
      <c r="BC25" s="1706"/>
      <c r="BD25" s="1706"/>
      <c r="BE25" s="1712"/>
    </row>
    <row r="26" spans="1:58" ht="15">
      <c r="A26" s="1706"/>
      <c r="B26" s="3046">
        <v>0.9</v>
      </c>
      <c r="C26" s="3047"/>
      <c r="D26" s="3047"/>
      <c r="E26" s="3047"/>
      <c r="F26" s="3047"/>
      <c r="G26" s="3047"/>
      <c r="H26" s="3047"/>
      <c r="I26" s="3047"/>
      <c r="J26" s="3037">
        <f t="shared" si="1"/>
        <v>0</v>
      </c>
      <c r="K26" s="3038"/>
      <c r="L26" s="3038"/>
      <c r="M26" s="3038"/>
      <c r="N26" s="3038"/>
      <c r="O26" s="3039"/>
      <c r="P26" s="3037" cm="1">
        <f t="array" ref="P26">SUMPRODUCT((Application!$B$728:$B$752 = 'CalHFA Addendum'!P$18)*(Application!$AC$728:$AC$752 = 'CalHFA Addendum'!$B26),Application!$G$728:$G$752)</f>
        <v>0</v>
      </c>
      <c r="Q26" s="3038"/>
      <c r="R26" s="3038"/>
      <c r="S26" s="3038"/>
      <c r="T26" s="3038"/>
      <c r="U26" s="3039"/>
      <c r="V26" s="3037" cm="1">
        <f t="array" ref="V26">SUMPRODUCT((Application!$B$728:$B$752 = 'CalHFA Addendum'!V$18)*(Application!$AC$728:$AC$752 = 'CalHFA Addendum'!$B26),Application!$G$728:$G$752)</f>
        <v>0</v>
      </c>
      <c r="W26" s="3038"/>
      <c r="X26" s="3038"/>
      <c r="Y26" s="3038"/>
      <c r="Z26" s="3038"/>
      <c r="AA26" s="3039"/>
      <c r="AB26" s="3037" cm="1">
        <f t="array" ref="AB26">SUMPRODUCT((Application!$B$728:$B$752 = 'CalHFA Addendum'!AB$18)*(Application!$AC$728:$AC$752 = 'CalHFA Addendum'!$B26),Application!$G$728:$G$752)</f>
        <v>0</v>
      </c>
      <c r="AC26" s="3038"/>
      <c r="AD26" s="3038"/>
      <c r="AE26" s="3038"/>
      <c r="AF26" s="3038"/>
      <c r="AG26" s="3039"/>
      <c r="AH26" s="3037" cm="1">
        <f t="array" ref="AH26">SUMPRODUCT((Application!$B$728:$B$752 = 'CalHFA Addendum'!AH$18)*(Application!$AC$728:$AC$752 = 'CalHFA Addendum'!$B26),Application!$G$728:$G$752)</f>
        <v>0</v>
      </c>
      <c r="AI26" s="3038"/>
      <c r="AJ26" s="3038"/>
      <c r="AK26" s="3038"/>
      <c r="AL26" s="3038"/>
      <c r="AM26" s="3039"/>
      <c r="AN26" s="3037" cm="1">
        <f t="array" ref="AN26">SUMPRODUCT((Application!$B$728:$B$752 = 'CalHFA Addendum'!AN$18)*(Application!$AC$728:$AC$752 = 'CalHFA Addendum'!$B26),Application!$G$728:$G$752)</f>
        <v>0</v>
      </c>
      <c r="AO26" s="3038"/>
      <c r="AP26" s="3038"/>
      <c r="AQ26" s="3038"/>
      <c r="AR26" s="3038"/>
      <c r="AS26" s="3039"/>
      <c r="AT26" s="3040">
        <f t="shared" si="0"/>
        <v>0</v>
      </c>
      <c r="AU26" s="3041"/>
      <c r="AV26" s="3041"/>
      <c r="AW26" s="3041"/>
      <c r="AX26" s="3041"/>
      <c r="AY26" s="3042"/>
      <c r="AZ26" s="1706"/>
      <c r="BA26" s="1706"/>
      <c r="BB26" s="1706"/>
      <c r="BC26" s="1706"/>
      <c r="BD26" s="1706"/>
      <c r="BE26" s="1712"/>
    </row>
    <row r="27" spans="1:58" ht="15">
      <c r="A27" s="1706"/>
      <c r="B27" s="3046">
        <v>1</v>
      </c>
      <c r="C27" s="3047"/>
      <c r="D27" s="3047"/>
      <c r="E27" s="3047"/>
      <c r="F27" s="3047"/>
      <c r="G27" s="3047"/>
      <c r="H27" s="3047"/>
      <c r="I27" s="3047"/>
      <c r="J27" s="3037">
        <f t="shared" si="1"/>
        <v>0</v>
      </c>
      <c r="K27" s="3038"/>
      <c r="L27" s="3038"/>
      <c r="M27" s="3038"/>
      <c r="N27" s="3038"/>
      <c r="O27" s="3039"/>
      <c r="P27" s="3037" cm="1">
        <f t="array" ref="P27">SUMPRODUCT((Application!$B$728:$B$752 = 'CalHFA Addendum'!P$18)*(Application!$AC$728:$AC$752 = 'CalHFA Addendum'!$B27),Application!$G$728:$G$752)</f>
        <v>0</v>
      </c>
      <c r="Q27" s="3038"/>
      <c r="R27" s="3038"/>
      <c r="S27" s="3038"/>
      <c r="T27" s="3038"/>
      <c r="U27" s="3039"/>
      <c r="V27" s="3037" cm="1">
        <f t="array" ref="V27">SUMPRODUCT((Application!$B$728:$B$752 = 'CalHFA Addendum'!V$18)*(Application!$AC$728:$AC$752 = 'CalHFA Addendum'!$B27),Application!$G$728:$G$752)</f>
        <v>0</v>
      </c>
      <c r="W27" s="3038"/>
      <c r="X27" s="3038"/>
      <c r="Y27" s="3038"/>
      <c r="Z27" s="3038"/>
      <c r="AA27" s="3039"/>
      <c r="AB27" s="3037" cm="1">
        <f t="array" ref="AB27">SUMPRODUCT((Application!$B$728:$B$752 = 'CalHFA Addendum'!AB$18)*(Application!$AC$728:$AC$752 = 'CalHFA Addendum'!$B27),Application!$G$728:$G$752)</f>
        <v>0</v>
      </c>
      <c r="AC27" s="3038"/>
      <c r="AD27" s="3038"/>
      <c r="AE27" s="3038"/>
      <c r="AF27" s="3038"/>
      <c r="AG27" s="3039"/>
      <c r="AH27" s="3037" cm="1">
        <f t="array" ref="AH27">SUMPRODUCT((Application!$B$728:$B$752 = 'CalHFA Addendum'!AH$18)*(Application!$AC$728:$AC$752 = 'CalHFA Addendum'!$B27),Application!$G$728:$G$752)</f>
        <v>0</v>
      </c>
      <c r="AI27" s="3038"/>
      <c r="AJ27" s="3038"/>
      <c r="AK27" s="3038"/>
      <c r="AL27" s="3038"/>
      <c r="AM27" s="3039"/>
      <c r="AN27" s="3037" cm="1">
        <f t="array" ref="AN27">SUMPRODUCT((Application!$B$728:$B$752 = 'CalHFA Addendum'!AN$18)*(Application!$AC$728:$AC$752 = 'CalHFA Addendum'!$B27),Application!$G$728:$G$752)</f>
        <v>0</v>
      </c>
      <c r="AO27" s="3038"/>
      <c r="AP27" s="3038"/>
      <c r="AQ27" s="3038"/>
      <c r="AR27" s="3038"/>
      <c r="AS27" s="3039"/>
      <c r="AT27" s="3040">
        <f t="shared" si="0"/>
        <v>0</v>
      </c>
      <c r="AU27" s="3041"/>
      <c r="AV27" s="3041"/>
      <c r="AW27" s="3041"/>
      <c r="AX27" s="3041"/>
      <c r="AY27" s="3042"/>
      <c r="AZ27" s="1706"/>
      <c r="BA27" s="1706"/>
      <c r="BB27" s="1706"/>
      <c r="BC27" s="1706"/>
      <c r="BD27" s="1706"/>
      <c r="BE27" s="1712"/>
    </row>
    <row r="28" spans="1:58" thickBot="1">
      <c r="A28" s="1706"/>
      <c r="B28" s="3043" t="s">
        <v>1901</v>
      </c>
      <c r="C28" s="3044"/>
      <c r="D28" s="3044"/>
      <c r="E28" s="3044"/>
      <c r="F28" s="3044"/>
      <c r="G28" s="3044"/>
      <c r="H28" s="3044"/>
      <c r="I28" s="3045"/>
      <c r="J28" s="3037">
        <f t="shared" si="1"/>
        <v>1</v>
      </c>
      <c r="K28" s="3038"/>
      <c r="L28" s="3038"/>
      <c r="M28" s="3038"/>
      <c r="N28" s="3038"/>
      <c r="O28" s="3039"/>
      <c r="P28" s="3037">
        <f>_xlfn.IFNA(VLOOKUP(P$18,Application!$J$772:$S$775,6,FALSE), 0)</f>
        <v>0</v>
      </c>
      <c r="Q28" s="3038"/>
      <c r="R28" s="3038"/>
      <c r="S28" s="3038"/>
      <c r="T28" s="3038"/>
      <c r="U28" s="3039"/>
      <c r="V28" s="3037">
        <f>_xlfn.IFNA(VLOOKUP(V$18,Application!$J$772:$S$775,6,FALSE), 0)</f>
        <v>0</v>
      </c>
      <c r="W28" s="3038"/>
      <c r="X28" s="3038"/>
      <c r="Y28" s="3038"/>
      <c r="Z28" s="3038"/>
      <c r="AA28" s="3039"/>
      <c r="AB28" s="3037">
        <f>_xlfn.IFNA(VLOOKUP(AB$18,Application!$J$772:$S$775,6,FALSE), 0)</f>
        <v>1</v>
      </c>
      <c r="AC28" s="3038"/>
      <c r="AD28" s="3038"/>
      <c r="AE28" s="3038"/>
      <c r="AF28" s="3038"/>
      <c r="AG28" s="3039"/>
      <c r="AH28" s="3037">
        <f>_xlfn.IFNA(VLOOKUP(AH$18,Application!$J$772:$S$775,6,FALSE), 0)</f>
        <v>0</v>
      </c>
      <c r="AI28" s="3038"/>
      <c r="AJ28" s="3038"/>
      <c r="AK28" s="3038"/>
      <c r="AL28" s="3038"/>
      <c r="AM28" s="3039"/>
      <c r="AN28" s="3037">
        <f>_xlfn.IFNA(VLOOKUP(AN$18,Application!$J$772:$S$775,6,FALSE), 0)</f>
        <v>0</v>
      </c>
      <c r="AO28" s="3038"/>
      <c r="AP28" s="3038"/>
      <c r="AQ28" s="3038"/>
      <c r="AR28" s="3038"/>
      <c r="AS28" s="3039"/>
      <c r="AT28" s="3040">
        <f t="shared" si="0"/>
        <v>2.0833333333333332E-2</v>
      </c>
      <c r="AU28" s="3041"/>
      <c r="AV28" s="3041"/>
      <c r="AW28" s="3041"/>
      <c r="AX28" s="3041"/>
      <c r="AY28" s="3042"/>
      <c r="AZ28" s="1706"/>
      <c r="BA28" s="1706"/>
      <c r="BB28" s="1706"/>
      <c r="BC28" s="1706"/>
      <c r="BD28" s="1706"/>
      <c r="BE28" s="1712"/>
    </row>
    <row r="29" spans="1:58" thickBot="1">
      <c r="A29" s="1706"/>
      <c r="B29" s="3036" t="s">
        <v>1791</v>
      </c>
      <c r="C29" s="3012"/>
      <c r="D29" s="3012"/>
      <c r="E29" s="3012"/>
      <c r="F29" s="3012"/>
      <c r="G29" s="3012"/>
      <c r="H29" s="3012"/>
      <c r="I29" s="3013"/>
      <c r="J29" s="3011">
        <f>SUM(J19:O28)</f>
        <v>48</v>
      </c>
      <c r="K29" s="3012"/>
      <c r="L29" s="3012"/>
      <c r="M29" s="3012"/>
      <c r="N29" s="3012"/>
      <c r="O29" s="3013"/>
      <c r="P29" s="3011">
        <f>SUM(P19:U28)</f>
        <v>17</v>
      </c>
      <c r="Q29" s="3012"/>
      <c r="R29" s="3012"/>
      <c r="S29" s="3012"/>
      <c r="T29" s="3012"/>
      <c r="U29" s="3013"/>
      <c r="V29" s="3011">
        <f>SUM(V19:AA28)</f>
        <v>30</v>
      </c>
      <c r="W29" s="3012"/>
      <c r="X29" s="3012"/>
      <c r="Y29" s="3012"/>
      <c r="Z29" s="3012"/>
      <c r="AA29" s="3013"/>
      <c r="AB29" s="3011">
        <f>SUM(AB19:AG28)</f>
        <v>1</v>
      </c>
      <c r="AC29" s="3012"/>
      <c r="AD29" s="3012"/>
      <c r="AE29" s="3012"/>
      <c r="AF29" s="3012"/>
      <c r="AG29" s="3013"/>
      <c r="AH29" s="3011">
        <f>SUM(AH19:AM28)</f>
        <v>0</v>
      </c>
      <c r="AI29" s="3012"/>
      <c r="AJ29" s="3012"/>
      <c r="AK29" s="3012"/>
      <c r="AL29" s="3012"/>
      <c r="AM29" s="3013"/>
      <c r="AN29" s="3011">
        <f>SUM(AN19:AS28)</f>
        <v>0</v>
      </c>
      <c r="AO29" s="3012"/>
      <c r="AP29" s="3012"/>
      <c r="AQ29" s="3012"/>
      <c r="AR29" s="3012"/>
      <c r="AS29" s="3013"/>
      <c r="AT29" s="3014">
        <f>J29/$J$29</f>
        <v>1</v>
      </c>
      <c r="AU29" s="3015"/>
      <c r="AV29" s="3015"/>
      <c r="AW29" s="3015"/>
      <c r="AX29" s="3015"/>
      <c r="AY29" s="3016"/>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7" t="s">
        <v>1902</v>
      </c>
      <c r="C31" s="3018"/>
      <c r="D31" s="3018"/>
      <c r="E31" s="3018"/>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3018"/>
      <c r="AL31" s="3018"/>
      <c r="AM31" s="3018"/>
      <c r="AN31" s="3018"/>
      <c r="AO31" s="3018"/>
      <c r="AP31" s="3018"/>
      <c r="AQ31" s="3018"/>
      <c r="AR31" s="3018"/>
      <c r="AS31" s="3018"/>
      <c r="AT31" s="3018"/>
      <c r="AU31" s="3018"/>
      <c r="AV31" s="3018"/>
      <c r="AW31" s="3018"/>
      <c r="AX31" s="3018"/>
      <c r="AY31" s="3018"/>
      <c r="AZ31" s="3019"/>
      <c r="BA31" s="1706"/>
      <c r="BB31" s="1706"/>
      <c r="BC31" s="1706"/>
      <c r="BD31" s="1706"/>
      <c r="BE31" s="1712"/>
    </row>
    <row r="32" spans="1:58" thickBot="1">
      <c r="A32" s="1706"/>
      <c r="B32" s="3020" t="s">
        <v>1903</v>
      </c>
      <c r="C32" s="3021"/>
      <c r="D32" s="3021"/>
      <c r="E32" s="3021"/>
      <c r="F32" s="3021"/>
      <c r="G32" s="3021"/>
      <c r="H32" s="3021"/>
      <c r="I32" s="3022"/>
      <c r="J32" s="3024" t="s">
        <v>1904</v>
      </c>
      <c r="K32" s="3025"/>
      <c r="L32" s="3025"/>
      <c r="M32" s="3026"/>
      <c r="N32" s="3024" t="s">
        <v>1905</v>
      </c>
      <c r="O32" s="3025"/>
      <c r="P32" s="3025"/>
      <c r="Q32" s="3025"/>
      <c r="R32" s="3028" t="s">
        <v>1906</v>
      </c>
      <c r="S32" s="3029"/>
      <c r="T32" s="3029"/>
      <c r="U32" s="3029"/>
      <c r="V32" s="3029"/>
      <c r="W32" s="3029"/>
      <c r="X32" s="3029"/>
      <c r="Y32" s="3029"/>
      <c r="Z32" s="3029"/>
      <c r="AA32" s="3029"/>
      <c r="AB32" s="3029"/>
      <c r="AC32" s="3029"/>
      <c r="AD32" s="3029"/>
      <c r="AE32" s="3029"/>
      <c r="AF32" s="3029"/>
      <c r="AG32" s="3029"/>
      <c r="AH32" s="3029"/>
      <c r="AI32" s="3029"/>
      <c r="AJ32" s="3029"/>
      <c r="AK32" s="3029"/>
      <c r="AL32" s="3029"/>
      <c r="AM32" s="3029"/>
      <c r="AN32" s="3029"/>
      <c r="AO32" s="3029"/>
      <c r="AP32" s="3029"/>
      <c r="AQ32" s="3029"/>
      <c r="AR32" s="3029"/>
      <c r="AS32" s="3029"/>
      <c r="AT32" s="3029"/>
      <c r="AU32" s="3029"/>
      <c r="AV32" s="3029"/>
      <c r="AW32" s="3029"/>
      <c r="AX32" s="3029"/>
      <c r="AY32" s="3029"/>
      <c r="AZ32" s="3030"/>
      <c r="BA32" s="1706"/>
      <c r="BB32" s="1706"/>
      <c r="BC32" s="1706"/>
      <c r="BD32" s="1706"/>
      <c r="BE32" s="1712"/>
    </row>
    <row r="33" spans="1:58" ht="15" customHeight="1">
      <c r="A33" s="1706"/>
      <c r="B33" s="3023"/>
      <c r="C33" s="3021"/>
      <c r="D33" s="3021"/>
      <c r="E33" s="3021"/>
      <c r="F33" s="3021"/>
      <c r="G33" s="3021"/>
      <c r="H33" s="3021"/>
      <c r="I33" s="3022"/>
      <c r="J33" s="3027"/>
      <c r="K33" s="3025"/>
      <c r="L33" s="3025"/>
      <c r="M33" s="3026"/>
      <c r="N33" s="3027"/>
      <c r="O33" s="3025"/>
      <c r="P33" s="3025"/>
      <c r="Q33" s="3025"/>
      <c r="R33" s="2959" t="s">
        <v>1907</v>
      </c>
      <c r="S33" s="3031"/>
      <c r="T33" s="3031"/>
      <c r="U33" s="3031"/>
      <c r="V33" s="3031"/>
      <c r="W33" s="3031"/>
      <c r="X33" s="3031"/>
      <c r="Y33" s="3031"/>
      <c r="Z33" s="3031"/>
      <c r="AA33" s="3031"/>
      <c r="AB33" s="3031"/>
      <c r="AC33" s="3031"/>
      <c r="AD33" s="3031"/>
      <c r="AE33" s="3031"/>
      <c r="AF33" s="3031"/>
      <c r="AG33" s="3031"/>
      <c r="AH33" s="3031"/>
      <c r="AI33" s="3031"/>
      <c r="AJ33" s="3031"/>
      <c r="AK33" s="3031"/>
      <c r="AL33" s="3031"/>
      <c r="AM33" s="3031"/>
      <c r="AN33" s="3031"/>
      <c r="AO33" s="3031"/>
      <c r="AP33" s="3031"/>
      <c r="AQ33" s="3031"/>
      <c r="AR33" s="3031"/>
      <c r="AS33" s="3031"/>
      <c r="AT33" s="3031"/>
      <c r="AU33" s="3031"/>
      <c r="AV33" s="3031"/>
      <c r="AW33" s="3031"/>
      <c r="AX33" s="3031"/>
      <c r="AY33" s="3031"/>
      <c r="AZ33" s="3032"/>
      <c r="BA33" s="1713"/>
      <c r="BB33" s="1706"/>
      <c r="BC33" s="1706"/>
      <c r="BD33" s="1706"/>
      <c r="BE33" s="1712"/>
    </row>
    <row r="34" spans="1:58" ht="15.75" customHeight="1" thickBot="1">
      <c r="A34" s="1706"/>
      <c r="B34" s="3023"/>
      <c r="C34" s="3021"/>
      <c r="D34" s="3021"/>
      <c r="E34" s="3021"/>
      <c r="F34" s="3021"/>
      <c r="G34" s="3021"/>
      <c r="H34" s="3021"/>
      <c r="I34" s="3022"/>
      <c r="J34" s="3027"/>
      <c r="K34" s="3025"/>
      <c r="L34" s="3025"/>
      <c r="M34" s="3026"/>
      <c r="N34" s="3027"/>
      <c r="O34" s="3025"/>
      <c r="P34" s="3025"/>
      <c r="Q34" s="3025"/>
      <c r="R34" s="3033"/>
      <c r="S34" s="3034"/>
      <c r="T34" s="3034"/>
      <c r="U34" s="3034"/>
      <c r="V34" s="3034"/>
      <c r="W34" s="3034"/>
      <c r="X34" s="3034"/>
      <c r="Y34" s="3034"/>
      <c r="Z34" s="3034"/>
      <c r="AA34" s="3034"/>
      <c r="AB34" s="3034"/>
      <c r="AC34" s="3034"/>
      <c r="AD34" s="3034"/>
      <c r="AE34" s="3034"/>
      <c r="AF34" s="3034"/>
      <c r="AG34" s="3034"/>
      <c r="AH34" s="3034"/>
      <c r="AI34" s="3034"/>
      <c r="AJ34" s="3034"/>
      <c r="AK34" s="3034"/>
      <c r="AL34" s="3034"/>
      <c r="AM34" s="3034"/>
      <c r="AN34" s="3034"/>
      <c r="AO34" s="3034"/>
      <c r="AP34" s="3034"/>
      <c r="AQ34" s="3034"/>
      <c r="AR34" s="3034"/>
      <c r="AS34" s="3034"/>
      <c r="AT34" s="3034"/>
      <c r="AU34" s="3034"/>
      <c r="AV34" s="3034"/>
      <c r="AW34" s="3034"/>
      <c r="AX34" s="3034"/>
      <c r="AY34" s="3034"/>
      <c r="AZ34" s="3035"/>
      <c r="BA34" s="1713"/>
      <c r="BB34" s="1706"/>
      <c r="BC34" s="1706"/>
      <c r="BD34" s="1706"/>
      <c r="BE34" s="1712"/>
    </row>
    <row r="35" spans="1:58" ht="15.75" customHeight="1" thickBot="1">
      <c r="A35" s="1706"/>
      <c r="B35" s="3023"/>
      <c r="C35" s="3021"/>
      <c r="D35" s="3021"/>
      <c r="E35" s="3021"/>
      <c r="F35" s="3021"/>
      <c r="G35" s="3021"/>
      <c r="H35" s="3021"/>
      <c r="I35" s="3022"/>
      <c r="J35" s="3027"/>
      <c r="K35" s="3025"/>
      <c r="L35" s="3025"/>
      <c r="M35" s="3026"/>
      <c r="N35" s="3027"/>
      <c r="O35" s="3025"/>
      <c r="P35" s="3025"/>
      <c r="Q35" s="3025"/>
      <c r="R35" s="3005">
        <v>0.3</v>
      </c>
      <c r="S35" s="3006"/>
      <c r="T35" s="3006"/>
      <c r="U35" s="3007"/>
      <c r="V35" s="3005">
        <v>0.4</v>
      </c>
      <c r="W35" s="3006"/>
      <c r="X35" s="3006"/>
      <c r="Y35" s="3007"/>
      <c r="Z35" s="3005">
        <v>0.5</v>
      </c>
      <c r="AA35" s="3006"/>
      <c r="AB35" s="3006"/>
      <c r="AC35" s="3007"/>
      <c r="AD35" s="3005">
        <v>0.6</v>
      </c>
      <c r="AE35" s="3006"/>
      <c r="AF35" s="3006"/>
      <c r="AG35" s="3007"/>
      <c r="AH35" s="3005">
        <v>0.8</v>
      </c>
      <c r="AI35" s="3006"/>
      <c r="AJ35" s="3006"/>
      <c r="AK35" s="3007"/>
      <c r="AL35" s="3005" t="s">
        <v>2301</v>
      </c>
      <c r="AM35" s="3006"/>
      <c r="AN35" s="3007"/>
      <c r="AO35" s="3008" t="s">
        <v>1908</v>
      </c>
      <c r="AP35" s="3009"/>
      <c r="AQ35" s="3009"/>
      <c r="AR35" s="3009"/>
      <c r="AS35" s="3009"/>
      <c r="AT35" s="3010"/>
      <c r="AU35" s="3008" t="s">
        <v>1909</v>
      </c>
      <c r="AV35" s="3009"/>
      <c r="AW35" s="3009"/>
      <c r="AX35" s="3009"/>
      <c r="AY35" s="3009"/>
      <c r="AZ35" s="3010"/>
      <c r="BA35" s="1713"/>
      <c r="BB35" s="1706"/>
      <c r="BC35" s="1706"/>
      <c r="BD35" s="1706"/>
      <c r="BE35" s="1712"/>
      <c r="BF35" s="1704"/>
    </row>
    <row r="36" spans="1:58" ht="15.75" customHeight="1">
      <c r="A36" s="1706"/>
      <c r="B36" s="2996" t="s">
        <v>1910</v>
      </c>
      <c r="C36" s="2997"/>
      <c r="D36" s="2997"/>
      <c r="E36" s="2997"/>
      <c r="F36" s="2997"/>
      <c r="G36" s="2997"/>
      <c r="H36" s="2997"/>
      <c r="I36" s="2998"/>
      <c r="J36" s="2999" t="s">
        <v>1911</v>
      </c>
      <c r="K36" s="3000"/>
      <c r="L36" s="3000"/>
      <c r="M36" s="3001"/>
      <c r="N36" s="3002">
        <v>55</v>
      </c>
      <c r="O36" s="3003"/>
      <c r="P36" s="3003"/>
      <c r="Q36" s="3004"/>
      <c r="R36" s="2994">
        <v>10</v>
      </c>
      <c r="S36" s="2994"/>
      <c r="T36" s="2994"/>
      <c r="U36" s="2994"/>
      <c r="V36" s="2994">
        <v>30</v>
      </c>
      <c r="W36" s="2994"/>
      <c r="X36" s="2994"/>
      <c r="Y36" s="2994"/>
      <c r="Z36" s="2994"/>
      <c r="AA36" s="2994"/>
      <c r="AB36" s="2994"/>
      <c r="AC36" s="2994"/>
      <c r="AD36" s="2994"/>
      <c r="AE36" s="2994"/>
      <c r="AF36" s="2994"/>
      <c r="AG36" s="2994"/>
      <c r="AH36" s="2995"/>
      <c r="AI36" s="2995"/>
      <c r="AJ36" s="2995"/>
      <c r="AK36" s="2995"/>
      <c r="AL36" s="2995"/>
      <c r="AM36" s="2995"/>
      <c r="AN36" s="2995"/>
      <c r="AO36" s="2966">
        <f>SUM(R36:AN36)</f>
        <v>40</v>
      </c>
      <c r="AP36" s="2966"/>
      <c r="AQ36" s="2966"/>
      <c r="AR36" s="2966"/>
      <c r="AS36" s="2966"/>
      <c r="AT36" s="2966"/>
      <c r="AU36" s="2967">
        <f>AO36/$J$29</f>
        <v>0.83333333333333337</v>
      </c>
      <c r="AV36" s="2967"/>
      <c r="AW36" s="2967"/>
      <c r="AX36" s="2967"/>
      <c r="AY36" s="2967"/>
      <c r="AZ36" s="2967"/>
      <c r="BA36" s="1706"/>
      <c r="BB36" s="1706"/>
      <c r="BC36" s="1706"/>
      <c r="BD36" s="1706"/>
      <c r="BE36" s="1712"/>
      <c r="BF36" s="1704"/>
    </row>
    <row r="37" spans="1:58" ht="15.75" customHeight="1">
      <c r="A37" s="1706"/>
      <c r="B37" s="2989" t="s">
        <v>1912</v>
      </c>
      <c r="C37" s="2990"/>
      <c r="D37" s="2990"/>
      <c r="E37" s="2990"/>
      <c r="F37" s="2990"/>
      <c r="G37" s="2990"/>
      <c r="H37" s="2990"/>
      <c r="I37" s="2991"/>
      <c r="J37" s="2992" t="s">
        <v>1913</v>
      </c>
      <c r="K37" s="2980"/>
      <c r="L37" s="2980"/>
      <c r="M37" s="2993"/>
      <c r="N37" s="2979">
        <v>55</v>
      </c>
      <c r="O37" s="2980"/>
      <c r="P37" s="2980"/>
      <c r="Q37" s="2981"/>
      <c r="R37" s="2965"/>
      <c r="S37" s="2965"/>
      <c r="T37" s="2965"/>
      <c r="U37" s="2965"/>
      <c r="V37" s="2965"/>
      <c r="W37" s="2965"/>
      <c r="X37" s="2965"/>
      <c r="Y37" s="2965"/>
      <c r="Z37" s="2965"/>
      <c r="AA37" s="2965"/>
      <c r="AB37" s="2965"/>
      <c r="AC37" s="2965"/>
      <c r="AD37" s="2965"/>
      <c r="AE37" s="2965"/>
      <c r="AF37" s="2965"/>
      <c r="AG37" s="2965"/>
      <c r="AH37" s="2965"/>
      <c r="AI37" s="2965"/>
      <c r="AJ37" s="2965"/>
      <c r="AK37" s="2965"/>
      <c r="AL37" s="2965"/>
      <c r="AM37" s="2965"/>
      <c r="AN37" s="2965"/>
      <c r="AO37" s="2966">
        <f t="shared" ref="AO37:AO47" si="2">SUM(R37:AN37)</f>
        <v>0</v>
      </c>
      <c r="AP37" s="2966"/>
      <c r="AQ37" s="2966"/>
      <c r="AR37" s="2966"/>
      <c r="AS37" s="2966"/>
      <c r="AT37" s="2966"/>
      <c r="AU37" s="2967">
        <f t="shared" ref="AU37:AU47" si="3">AO37/$J$29</f>
        <v>0</v>
      </c>
      <c r="AV37" s="2967"/>
      <c r="AW37" s="2967"/>
      <c r="AX37" s="2967"/>
      <c r="AY37" s="2967"/>
      <c r="AZ37" s="2967"/>
      <c r="BA37" s="1706"/>
      <c r="BB37" s="1706"/>
      <c r="BC37" s="1706"/>
      <c r="BD37" s="1706"/>
      <c r="BE37" s="1712"/>
      <c r="BF37" s="1704"/>
    </row>
    <row r="38" spans="1:58" ht="15.75" customHeight="1">
      <c r="A38" s="1706"/>
      <c r="B38" s="2989" t="s">
        <v>2598</v>
      </c>
      <c r="C38" s="2990"/>
      <c r="D38" s="2990"/>
      <c r="E38" s="2990"/>
      <c r="F38" s="2990"/>
      <c r="G38" s="2990"/>
      <c r="H38" s="2990"/>
      <c r="I38" s="2991"/>
      <c r="J38" s="2992" t="s">
        <v>1914</v>
      </c>
      <c r="K38" s="2980"/>
      <c r="L38" s="2980"/>
      <c r="M38" s="2993"/>
      <c r="N38" s="2979">
        <v>55</v>
      </c>
      <c r="O38" s="2980"/>
      <c r="P38" s="2980"/>
      <c r="Q38" s="2981"/>
      <c r="R38" s="2965"/>
      <c r="S38" s="2965"/>
      <c r="T38" s="2965"/>
      <c r="U38" s="2965"/>
      <c r="V38" s="2965"/>
      <c r="W38" s="2965"/>
      <c r="X38" s="2965"/>
      <c r="Y38" s="2965"/>
      <c r="Z38" s="2965"/>
      <c r="AA38" s="2965"/>
      <c r="AB38" s="2965"/>
      <c r="AC38" s="2965"/>
      <c r="AD38" s="2965"/>
      <c r="AE38" s="2965"/>
      <c r="AF38" s="2965"/>
      <c r="AG38" s="2965"/>
      <c r="AH38" s="2965"/>
      <c r="AI38" s="2965"/>
      <c r="AJ38" s="2965"/>
      <c r="AK38" s="2965"/>
      <c r="AL38" s="2965"/>
      <c r="AM38" s="2965"/>
      <c r="AN38" s="2965"/>
      <c r="AO38" s="2966">
        <f t="shared" si="2"/>
        <v>0</v>
      </c>
      <c r="AP38" s="2966"/>
      <c r="AQ38" s="2966"/>
      <c r="AR38" s="2966"/>
      <c r="AS38" s="2966"/>
      <c r="AT38" s="2966"/>
      <c r="AU38" s="2967">
        <f t="shared" si="3"/>
        <v>0</v>
      </c>
      <c r="AV38" s="2967"/>
      <c r="AW38" s="2967"/>
      <c r="AX38" s="2967"/>
      <c r="AY38" s="2967"/>
      <c r="AZ38" s="2967"/>
      <c r="BA38" s="1706"/>
      <c r="BB38" s="1706"/>
      <c r="BC38" s="1706"/>
      <c r="BD38" s="1706"/>
      <c r="BE38" s="1712"/>
      <c r="BF38" s="1704"/>
    </row>
    <row r="39" spans="1:58" ht="15.75" customHeight="1">
      <c r="A39" s="1706"/>
      <c r="B39" s="2989" t="s">
        <v>1915</v>
      </c>
      <c r="C39" s="2990"/>
      <c r="D39" s="2990"/>
      <c r="E39" s="2990"/>
      <c r="F39" s="2990"/>
      <c r="G39" s="2990"/>
      <c r="H39" s="2990"/>
      <c r="I39" s="2991"/>
      <c r="J39" s="2977"/>
      <c r="K39" s="2740"/>
      <c r="L39" s="2740"/>
      <c r="M39" s="2978"/>
      <c r="N39" s="2911"/>
      <c r="O39" s="2740"/>
      <c r="P39" s="2740"/>
      <c r="Q39" s="2982"/>
      <c r="R39" s="2965"/>
      <c r="S39" s="2965"/>
      <c r="T39" s="2965"/>
      <c r="U39" s="2965"/>
      <c r="V39" s="2965"/>
      <c r="W39" s="2965"/>
      <c r="X39" s="2965"/>
      <c r="Y39" s="2965"/>
      <c r="Z39" s="2965"/>
      <c r="AA39" s="2965"/>
      <c r="AB39" s="2965"/>
      <c r="AC39" s="2965"/>
      <c r="AD39" s="2965"/>
      <c r="AE39" s="2965"/>
      <c r="AF39" s="2965"/>
      <c r="AG39" s="2965"/>
      <c r="AH39" s="2965"/>
      <c r="AI39" s="2965"/>
      <c r="AJ39" s="2965"/>
      <c r="AK39" s="2965"/>
      <c r="AL39" s="2965"/>
      <c r="AM39" s="2965"/>
      <c r="AN39" s="2965"/>
      <c r="AO39" s="2966">
        <f t="shared" si="2"/>
        <v>0</v>
      </c>
      <c r="AP39" s="2966"/>
      <c r="AQ39" s="2966"/>
      <c r="AR39" s="2966"/>
      <c r="AS39" s="2966"/>
      <c r="AT39" s="2966"/>
      <c r="AU39" s="2967">
        <f t="shared" si="3"/>
        <v>0</v>
      </c>
      <c r="AV39" s="2967"/>
      <c r="AW39" s="2967"/>
      <c r="AX39" s="2967"/>
      <c r="AY39" s="2967"/>
      <c r="AZ39" s="2967"/>
      <c r="BA39" s="1706"/>
      <c r="BB39" s="1706"/>
      <c r="BC39" s="1706"/>
      <c r="BD39" s="1706"/>
      <c r="BE39" s="1712"/>
    </row>
    <row r="40" spans="1:58" ht="15.75" customHeight="1">
      <c r="A40" s="1706"/>
      <c r="B40" s="2989" t="s">
        <v>1915</v>
      </c>
      <c r="C40" s="2990"/>
      <c r="D40" s="2990"/>
      <c r="E40" s="2990"/>
      <c r="F40" s="2990"/>
      <c r="G40" s="2990"/>
      <c r="H40" s="2990"/>
      <c r="I40" s="2991"/>
      <c r="J40" s="2977"/>
      <c r="K40" s="2740"/>
      <c r="L40" s="2740"/>
      <c r="M40" s="2978"/>
      <c r="N40" s="2911"/>
      <c r="O40" s="2740"/>
      <c r="P40" s="2740"/>
      <c r="Q40" s="2982"/>
      <c r="R40" s="2965"/>
      <c r="S40" s="2965"/>
      <c r="T40" s="2965"/>
      <c r="U40" s="2965"/>
      <c r="V40" s="2965"/>
      <c r="W40" s="2965"/>
      <c r="X40" s="2965"/>
      <c r="Y40" s="2965"/>
      <c r="Z40" s="2965"/>
      <c r="AA40" s="2965"/>
      <c r="AB40" s="2965"/>
      <c r="AC40" s="2965"/>
      <c r="AD40" s="2965"/>
      <c r="AE40" s="2965"/>
      <c r="AF40" s="2965"/>
      <c r="AG40" s="2965"/>
      <c r="AH40" s="2965"/>
      <c r="AI40" s="2965"/>
      <c r="AJ40" s="2965"/>
      <c r="AK40" s="2965"/>
      <c r="AL40" s="2965"/>
      <c r="AM40" s="2965"/>
      <c r="AN40" s="2965"/>
      <c r="AO40" s="2966">
        <f t="shared" si="2"/>
        <v>0</v>
      </c>
      <c r="AP40" s="2966"/>
      <c r="AQ40" s="2966"/>
      <c r="AR40" s="2966"/>
      <c r="AS40" s="2966"/>
      <c r="AT40" s="2966"/>
      <c r="AU40" s="2967">
        <f t="shared" si="3"/>
        <v>0</v>
      </c>
      <c r="AV40" s="2967"/>
      <c r="AW40" s="2967"/>
      <c r="AX40" s="2967"/>
      <c r="AY40" s="2967"/>
      <c r="AZ40" s="2967"/>
      <c r="BA40" s="1706"/>
      <c r="BB40" s="1706"/>
      <c r="BC40" s="1706"/>
      <c r="BD40" s="1706"/>
      <c r="BE40" s="1712"/>
    </row>
    <row r="41" spans="1:58" ht="15.75" customHeight="1">
      <c r="A41" s="1706"/>
      <c r="B41" s="2986" t="s">
        <v>1916</v>
      </c>
      <c r="C41" s="2987"/>
      <c r="D41" s="2987"/>
      <c r="E41" s="2987"/>
      <c r="F41" s="2987"/>
      <c r="G41" s="2987"/>
      <c r="H41" s="2987"/>
      <c r="I41" s="2988"/>
      <c r="J41" s="2977"/>
      <c r="K41" s="2740"/>
      <c r="L41" s="2740"/>
      <c r="M41" s="2978"/>
      <c r="N41" s="2911"/>
      <c r="O41" s="2740"/>
      <c r="P41" s="2740"/>
      <c r="Q41" s="2982"/>
      <c r="R41" s="2965"/>
      <c r="S41" s="2965"/>
      <c r="T41" s="2965"/>
      <c r="U41" s="2965"/>
      <c r="V41" s="2965"/>
      <c r="W41" s="2965"/>
      <c r="X41" s="2965"/>
      <c r="Y41" s="2965"/>
      <c r="Z41" s="2965"/>
      <c r="AA41" s="2965"/>
      <c r="AB41" s="2965"/>
      <c r="AC41" s="2965"/>
      <c r="AD41" s="2965"/>
      <c r="AE41" s="2965"/>
      <c r="AF41" s="2965"/>
      <c r="AG41" s="2965"/>
      <c r="AH41" s="2965"/>
      <c r="AI41" s="2965"/>
      <c r="AJ41" s="2965"/>
      <c r="AK41" s="2965"/>
      <c r="AL41" s="2965"/>
      <c r="AM41" s="2965"/>
      <c r="AN41" s="2965"/>
      <c r="AO41" s="2966">
        <f t="shared" si="2"/>
        <v>0</v>
      </c>
      <c r="AP41" s="2966"/>
      <c r="AQ41" s="2966"/>
      <c r="AR41" s="2966"/>
      <c r="AS41" s="2966"/>
      <c r="AT41" s="2966"/>
      <c r="AU41" s="2967">
        <f t="shared" si="3"/>
        <v>0</v>
      </c>
      <c r="AV41" s="2967"/>
      <c r="AW41" s="2967"/>
      <c r="AX41" s="2967"/>
      <c r="AY41" s="2967"/>
      <c r="AZ41" s="2967"/>
      <c r="BA41" s="1706"/>
      <c r="BB41" s="1706"/>
      <c r="BC41" s="1706"/>
      <c r="BD41" s="1706"/>
      <c r="BE41" s="1712"/>
    </row>
    <row r="42" spans="1:58" ht="15.75" customHeight="1">
      <c r="A42" s="1706"/>
      <c r="B42" s="2986" t="s">
        <v>1916</v>
      </c>
      <c r="C42" s="2987"/>
      <c r="D42" s="2987"/>
      <c r="E42" s="2987"/>
      <c r="F42" s="2987"/>
      <c r="G42" s="2987"/>
      <c r="H42" s="2987"/>
      <c r="I42" s="2988"/>
      <c r="J42" s="2977"/>
      <c r="K42" s="2740"/>
      <c r="L42" s="2740"/>
      <c r="M42" s="2978"/>
      <c r="N42" s="2911"/>
      <c r="O42" s="2740"/>
      <c r="P42" s="2740"/>
      <c r="Q42" s="2982"/>
      <c r="R42" s="2965"/>
      <c r="S42" s="2965"/>
      <c r="T42" s="2965"/>
      <c r="U42" s="2965"/>
      <c r="V42" s="2965"/>
      <c r="W42" s="2965"/>
      <c r="X42" s="2965"/>
      <c r="Y42" s="2965"/>
      <c r="Z42" s="2965"/>
      <c r="AA42" s="2965"/>
      <c r="AB42" s="2965"/>
      <c r="AC42" s="2965"/>
      <c r="AD42" s="2965"/>
      <c r="AE42" s="2965"/>
      <c r="AF42" s="2965"/>
      <c r="AG42" s="2965"/>
      <c r="AH42" s="2965"/>
      <c r="AI42" s="2965"/>
      <c r="AJ42" s="2965"/>
      <c r="AK42" s="2965"/>
      <c r="AL42" s="2965"/>
      <c r="AM42" s="2965"/>
      <c r="AN42" s="2965"/>
      <c r="AO42" s="2966">
        <f t="shared" si="2"/>
        <v>0</v>
      </c>
      <c r="AP42" s="2966"/>
      <c r="AQ42" s="2966"/>
      <c r="AR42" s="2966"/>
      <c r="AS42" s="2966"/>
      <c r="AT42" s="2966"/>
      <c r="AU42" s="2967">
        <f t="shared" si="3"/>
        <v>0</v>
      </c>
      <c r="AV42" s="2967"/>
      <c r="AW42" s="2967"/>
      <c r="AX42" s="2967"/>
      <c r="AY42" s="2967"/>
      <c r="AZ42" s="2967"/>
      <c r="BA42" s="1706"/>
      <c r="BB42" s="1706"/>
      <c r="BC42" s="1706"/>
      <c r="BD42" s="1706"/>
      <c r="BE42" s="1712"/>
    </row>
    <row r="43" spans="1:58" ht="15.75" customHeight="1">
      <c r="A43" s="1706"/>
      <c r="B43" s="2983" t="s">
        <v>1917</v>
      </c>
      <c r="C43" s="2984"/>
      <c r="D43" s="2984"/>
      <c r="E43" s="2984"/>
      <c r="F43" s="2984"/>
      <c r="G43" s="2984"/>
      <c r="H43" s="2984"/>
      <c r="I43" s="2985"/>
      <c r="J43" s="2977"/>
      <c r="K43" s="2740"/>
      <c r="L43" s="2740"/>
      <c r="M43" s="2978"/>
      <c r="N43" s="2911"/>
      <c r="O43" s="2740"/>
      <c r="P43" s="2740"/>
      <c r="Q43" s="2982"/>
      <c r="R43" s="2965"/>
      <c r="S43" s="2965"/>
      <c r="T43" s="2965"/>
      <c r="U43" s="2965"/>
      <c r="V43" s="2965"/>
      <c r="W43" s="2965"/>
      <c r="X43" s="2965"/>
      <c r="Y43" s="2965"/>
      <c r="Z43" s="2965"/>
      <c r="AA43" s="2965"/>
      <c r="AB43" s="2965"/>
      <c r="AC43" s="2965"/>
      <c r="AD43" s="2965"/>
      <c r="AE43" s="2965"/>
      <c r="AF43" s="2965"/>
      <c r="AG43" s="2965"/>
      <c r="AH43" s="2965"/>
      <c r="AI43" s="2965"/>
      <c r="AJ43" s="2965"/>
      <c r="AK43" s="2965"/>
      <c r="AL43" s="2965"/>
      <c r="AM43" s="2965"/>
      <c r="AN43" s="2965"/>
      <c r="AO43" s="2966">
        <f t="shared" si="2"/>
        <v>0</v>
      </c>
      <c r="AP43" s="2966"/>
      <c r="AQ43" s="2966"/>
      <c r="AR43" s="2966"/>
      <c r="AS43" s="2966"/>
      <c r="AT43" s="2966"/>
      <c r="AU43" s="2967">
        <f t="shared" si="3"/>
        <v>0</v>
      </c>
      <c r="AV43" s="2967"/>
      <c r="AW43" s="2967"/>
      <c r="AX43" s="2967"/>
      <c r="AY43" s="2967"/>
      <c r="AZ43" s="2967"/>
      <c r="BA43" s="1706"/>
      <c r="BB43" s="1706"/>
      <c r="BC43" s="1706"/>
      <c r="BD43" s="1706"/>
      <c r="BE43" s="1712"/>
    </row>
    <row r="44" spans="1:58" ht="15.75" customHeight="1">
      <c r="A44" s="1706"/>
      <c r="B44" s="2983" t="s">
        <v>1918</v>
      </c>
      <c r="C44" s="2984"/>
      <c r="D44" s="2984"/>
      <c r="E44" s="2984"/>
      <c r="F44" s="2984"/>
      <c r="G44" s="2984"/>
      <c r="H44" s="2984"/>
      <c r="I44" s="2985"/>
      <c r="J44" s="2977"/>
      <c r="K44" s="2740"/>
      <c r="L44" s="2740"/>
      <c r="M44" s="2978"/>
      <c r="N44" s="2911"/>
      <c r="O44" s="2740"/>
      <c r="P44" s="2740"/>
      <c r="Q44" s="2982"/>
      <c r="R44" s="2965"/>
      <c r="S44" s="2965"/>
      <c r="T44" s="2965"/>
      <c r="U44" s="2965"/>
      <c r="V44" s="2965"/>
      <c r="W44" s="2965"/>
      <c r="X44" s="2965"/>
      <c r="Y44" s="2965"/>
      <c r="Z44" s="2965"/>
      <c r="AA44" s="2965"/>
      <c r="AB44" s="2965"/>
      <c r="AC44" s="2965"/>
      <c r="AD44" s="2965"/>
      <c r="AE44" s="2965"/>
      <c r="AF44" s="2965"/>
      <c r="AG44" s="2965"/>
      <c r="AH44" s="2965"/>
      <c r="AI44" s="2965"/>
      <c r="AJ44" s="2965"/>
      <c r="AK44" s="2965"/>
      <c r="AL44" s="2965"/>
      <c r="AM44" s="2965"/>
      <c r="AN44" s="2965"/>
      <c r="AO44" s="2966">
        <f t="shared" si="2"/>
        <v>0</v>
      </c>
      <c r="AP44" s="2966"/>
      <c r="AQ44" s="2966"/>
      <c r="AR44" s="2966"/>
      <c r="AS44" s="2966"/>
      <c r="AT44" s="2966"/>
      <c r="AU44" s="2967">
        <f t="shared" si="3"/>
        <v>0</v>
      </c>
      <c r="AV44" s="2967"/>
      <c r="AW44" s="2967"/>
      <c r="AX44" s="2967"/>
      <c r="AY44" s="2967"/>
      <c r="AZ44" s="2967"/>
      <c r="BA44" s="1706"/>
      <c r="BB44" s="1706"/>
      <c r="BC44" s="1706"/>
      <c r="BD44" s="1706"/>
      <c r="BE44" s="1712"/>
    </row>
    <row r="45" spans="1:58" ht="15.75" customHeight="1">
      <c r="A45" s="1706"/>
      <c r="B45" s="2974" t="s">
        <v>1919</v>
      </c>
      <c r="C45" s="2975"/>
      <c r="D45" s="2975"/>
      <c r="E45" s="2975"/>
      <c r="F45" s="2975"/>
      <c r="G45" s="2975"/>
      <c r="H45" s="2975"/>
      <c r="I45" s="2976"/>
      <c r="J45" s="2977"/>
      <c r="K45" s="2740"/>
      <c r="L45" s="2740"/>
      <c r="M45" s="2978"/>
      <c r="N45" s="2911"/>
      <c r="O45" s="2740"/>
      <c r="P45" s="2740"/>
      <c r="Q45" s="2982"/>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6">
        <f t="shared" si="2"/>
        <v>0</v>
      </c>
      <c r="AP45" s="2966"/>
      <c r="AQ45" s="2966"/>
      <c r="AR45" s="2966"/>
      <c r="AS45" s="2966"/>
      <c r="AT45" s="2966"/>
      <c r="AU45" s="2967">
        <f t="shared" si="3"/>
        <v>0</v>
      </c>
      <c r="AV45" s="2967"/>
      <c r="AW45" s="2967"/>
      <c r="AX45" s="2967"/>
      <c r="AY45" s="2967"/>
      <c r="AZ45" s="2967"/>
      <c r="BA45" s="1706"/>
      <c r="BB45" s="1706"/>
      <c r="BC45" s="1706"/>
      <c r="BD45" s="1706"/>
      <c r="BE45" s="1712"/>
    </row>
    <row r="46" spans="1:58" ht="15.75" customHeight="1">
      <c r="A46" s="1706"/>
      <c r="B46" s="2974" t="s">
        <v>1920</v>
      </c>
      <c r="C46" s="2975"/>
      <c r="D46" s="2975"/>
      <c r="E46" s="2975"/>
      <c r="F46" s="2975"/>
      <c r="G46" s="2975"/>
      <c r="H46" s="2975"/>
      <c r="I46" s="2976"/>
      <c r="J46" s="2977"/>
      <c r="K46" s="2740"/>
      <c r="L46" s="2740"/>
      <c r="M46" s="2978"/>
      <c r="N46" s="2979">
        <v>99</v>
      </c>
      <c r="O46" s="2980"/>
      <c r="P46" s="2980"/>
      <c r="Q46" s="2981"/>
      <c r="R46" s="2965"/>
      <c r="S46" s="2965"/>
      <c r="T46" s="2965"/>
      <c r="U46" s="2965"/>
      <c r="V46" s="2965"/>
      <c r="W46" s="2965"/>
      <c r="X46" s="2965"/>
      <c r="Y46" s="2965"/>
      <c r="Z46" s="2965"/>
      <c r="AA46" s="2965"/>
      <c r="AB46" s="2965"/>
      <c r="AC46" s="2965"/>
      <c r="AD46" s="2965"/>
      <c r="AE46" s="2965"/>
      <c r="AF46" s="2965"/>
      <c r="AG46" s="2965"/>
      <c r="AH46" s="2965"/>
      <c r="AI46" s="2965"/>
      <c r="AJ46" s="2965"/>
      <c r="AK46" s="2965"/>
      <c r="AL46" s="2965"/>
      <c r="AM46" s="2965"/>
      <c r="AN46" s="2965"/>
      <c r="AO46" s="2966">
        <f t="shared" si="2"/>
        <v>0</v>
      </c>
      <c r="AP46" s="2966"/>
      <c r="AQ46" s="2966"/>
      <c r="AR46" s="2966"/>
      <c r="AS46" s="2966"/>
      <c r="AT46" s="2966"/>
      <c r="AU46" s="2967">
        <f t="shared" si="3"/>
        <v>0</v>
      </c>
      <c r="AV46" s="2967"/>
      <c r="AW46" s="2967"/>
      <c r="AX46" s="2967"/>
      <c r="AY46" s="2967"/>
      <c r="AZ46" s="2967"/>
      <c r="BA46" s="1706"/>
      <c r="BB46" s="1706"/>
      <c r="BC46" s="1706"/>
      <c r="BD46" s="1706"/>
      <c r="BE46" s="1712"/>
    </row>
    <row r="47" spans="1:58" ht="15.75" customHeight="1" thickBot="1">
      <c r="A47" s="1706"/>
      <c r="B47" s="2968" t="s">
        <v>305</v>
      </c>
      <c r="C47" s="2969"/>
      <c r="D47" s="2969"/>
      <c r="E47" s="2969"/>
      <c r="F47" s="2969"/>
      <c r="G47" s="2969"/>
      <c r="H47" s="2969"/>
      <c r="I47" s="2970"/>
      <c r="J47" s="2971"/>
      <c r="K47" s="2877"/>
      <c r="L47" s="2877"/>
      <c r="M47" s="2878"/>
      <c r="N47" s="2972"/>
      <c r="O47" s="2877"/>
      <c r="P47" s="2877"/>
      <c r="Q47" s="2973"/>
      <c r="R47" s="2965"/>
      <c r="S47" s="2965"/>
      <c r="T47" s="2965"/>
      <c r="U47" s="2965"/>
      <c r="V47" s="2965"/>
      <c r="W47" s="2965"/>
      <c r="X47" s="2965"/>
      <c r="Y47" s="2965"/>
      <c r="Z47" s="2965"/>
      <c r="AA47" s="2965"/>
      <c r="AB47" s="2965"/>
      <c r="AC47" s="2965"/>
      <c r="AD47" s="2965"/>
      <c r="AE47" s="2965"/>
      <c r="AF47" s="2965"/>
      <c r="AG47" s="2965"/>
      <c r="AH47" s="2965"/>
      <c r="AI47" s="2965"/>
      <c r="AJ47" s="2965"/>
      <c r="AK47" s="2965"/>
      <c r="AL47" s="2965"/>
      <c r="AM47" s="2965"/>
      <c r="AN47" s="2965"/>
      <c r="AO47" s="2966">
        <f t="shared" si="2"/>
        <v>0</v>
      </c>
      <c r="AP47" s="2966"/>
      <c r="AQ47" s="2966"/>
      <c r="AR47" s="2966"/>
      <c r="AS47" s="2966"/>
      <c r="AT47" s="2966"/>
      <c r="AU47" s="2967">
        <f t="shared" si="3"/>
        <v>0</v>
      </c>
      <c r="AV47" s="2967"/>
      <c r="AW47" s="2967"/>
      <c r="AX47" s="2967"/>
      <c r="AY47" s="2967"/>
      <c r="AZ47" s="2967"/>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3" t="s">
        <v>1922</v>
      </c>
      <c r="C50" s="2824"/>
      <c r="D50" s="2824"/>
      <c r="E50" s="2824"/>
      <c r="F50" s="2824"/>
      <c r="G50" s="2824"/>
      <c r="H50" s="2824"/>
      <c r="I50" s="2824"/>
      <c r="J50" s="2824"/>
      <c r="K50" s="2824"/>
      <c r="L50" s="2824"/>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955"/>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6" t="s">
        <v>1923</v>
      </c>
      <c r="C51" s="2957"/>
      <c r="D51" s="2957"/>
      <c r="E51" s="2957"/>
      <c r="F51" s="2957"/>
      <c r="G51" s="2957"/>
      <c r="H51" s="2957"/>
      <c r="I51" s="2958"/>
      <c r="J51" s="2956" t="s">
        <v>1924</v>
      </c>
      <c r="K51" s="2957"/>
      <c r="L51" s="2957"/>
      <c r="M51" s="2957"/>
      <c r="N51" s="2957"/>
      <c r="O51" s="2957"/>
      <c r="P51" s="2957"/>
      <c r="Q51" s="2958"/>
      <c r="R51" s="2959" t="s">
        <v>1925</v>
      </c>
      <c r="S51" s="2960"/>
      <c r="T51" s="2960"/>
      <c r="U51" s="2960"/>
      <c r="V51" s="2960"/>
      <c r="W51" s="2960"/>
      <c r="X51" s="2960"/>
      <c r="Y51" s="2961"/>
      <c r="Z51" s="2962" t="s">
        <v>1926</v>
      </c>
      <c r="AA51" s="2963"/>
      <c r="AB51" s="2963"/>
      <c r="AC51" s="2963"/>
      <c r="AD51" s="2963"/>
      <c r="AE51" s="2963"/>
      <c r="AF51" s="2963"/>
      <c r="AG51" s="2964"/>
      <c r="AH51" s="2962" t="s">
        <v>1927</v>
      </c>
      <c r="AI51" s="2963"/>
      <c r="AJ51" s="2963"/>
      <c r="AK51" s="2963"/>
      <c r="AL51" s="2963"/>
      <c r="AM51" s="2963"/>
      <c r="AN51" s="2963"/>
      <c r="AO51" s="296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1" t="s">
        <v>2320</v>
      </c>
      <c r="C52" s="2932"/>
      <c r="D52" s="2932"/>
      <c r="E52" s="2932"/>
      <c r="F52" s="2932"/>
      <c r="G52" s="2932"/>
      <c r="H52" s="2932"/>
      <c r="I52" s="2932"/>
      <c r="J52" s="2932">
        <v>0</v>
      </c>
      <c r="K52" s="2932"/>
      <c r="L52" s="2932"/>
      <c r="M52" s="2932"/>
      <c r="N52" s="2932"/>
      <c r="O52" s="2932"/>
      <c r="P52" s="2932"/>
      <c r="Q52" s="2932"/>
      <c r="R52" s="2951">
        <v>0</v>
      </c>
      <c r="S52" s="2951"/>
      <c r="T52" s="2951"/>
      <c r="U52" s="2951"/>
      <c r="V52" s="2951"/>
      <c r="W52" s="2951"/>
      <c r="X52" s="2951"/>
      <c r="Y52" s="2951"/>
      <c r="Z52" s="2952"/>
      <c r="AA52" s="2952"/>
      <c r="AB52" s="2952"/>
      <c r="AC52" s="2952"/>
      <c r="AD52" s="2952"/>
      <c r="AE52" s="2952"/>
      <c r="AF52" s="2952"/>
      <c r="AG52" s="2952"/>
      <c r="AH52" s="2953">
        <v>0</v>
      </c>
      <c r="AI52" s="2953"/>
      <c r="AJ52" s="2953"/>
      <c r="AK52" s="2953"/>
      <c r="AL52" s="2953"/>
      <c r="AM52" s="2953"/>
      <c r="AN52" s="2953"/>
      <c r="AO52" s="295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1" t="s">
        <v>2321</v>
      </c>
      <c r="C53" s="2932"/>
      <c r="D53" s="2932"/>
      <c r="E53" s="2932"/>
      <c r="F53" s="2932"/>
      <c r="G53" s="2932"/>
      <c r="H53" s="2932"/>
      <c r="I53" s="2932"/>
      <c r="J53" s="2932"/>
      <c r="K53" s="2932"/>
      <c r="L53" s="2932"/>
      <c r="M53" s="2932"/>
      <c r="N53" s="2932"/>
      <c r="O53" s="2932"/>
      <c r="P53" s="2932"/>
      <c r="Q53" s="2932"/>
      <c r="R53" s="2951">
        <v>0</v>
      </c>
      <c r="S53" s="2951"/>
      <c r="T53" s="2951"/>
      <c r="U53" s="2951"/>
      <c r="V53" s="2951"/>
      <c r="W53" s="2951"/>
      <c r="X53" s="2951"/>
      <c r="Y53" s="2951"/>
      <c r="Z53" s="2952"/>
      <c r="AA53" s="2952"/>
      <c r="AB53" s="2952"/>
      <c r="AC53" s="2952"/>
      <c r="AD53" s="2952"/>
      <c r="AE53" s="2952"/>
      <c r="AF53" s="2952"/>
      <c r="AG53" s="2952"/>
      <c r="AH53" s="2953">
        <v>0</v>
      </c>
      <c r="AI53" s="2953"/>
      <c r="AJ53" s="2953"/>
      <c r="AK53" s="2953"/>
      <c r="AL53" s="2953"/>
      <c r="AM53" s="2953"/>
      <c r="AN53" s="2953"/>
      <c r="AO53" s="295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31"/>
      <c r="C54" s="2932"/>
      <c r="D54" s="2932"/>
      <c r="E54" s="2932"/>
      <c r="F54" s="2932"/>
      <c r="G54" s="2932"/>
      <c r="H54" s="2932"/>
      <c r="I54" s="2932"/>
      <c r="J54" s="2932"/>
      <c r="K54" s="2932"/>
      <c r="L54" s="2932"/>
      <c r="M54" s="2932"/>
      <c r="N54" s="2932"/>
      <c r="O54" s="2932"/>
      <c r="P54" s="2932"/>
      <c r="Q54" s="2932"/>
      <c r="R54" s="2951">
        <v>0</v>
      </c>
      <c r="S54" s="2951"/>
      <c r="T54" s="2951"/>
      <c r="U54" s="2951"/>
      <c r="V54" s="2951"/>
      <c r="W54" s="2951"/>
      <c r="X54" s="2951"/>
      <c r="Y54" s="2951"/>
      <c r="Z54" s="2952"/>
      <c r="AA54" s="2952"/>
      <c r="AB54" s="2952"/>
      <c r="AC54" s="2952"/>
      <c r="AD54" s="2952"/>
      <c r="AE54" s="2952"/>
      <c r="AF54" s="2952"/>
      <c r="AG54" s="2952"/>
      <c r="AH54" s="2953">
        <v>0</v>
      </c>
      <c r="AI54" s="2953"/>
      <c r="AJ54" s="2953"/>
      <c r="AK54" s="2953"/>
      <c r="AL54" s="2953"/>
      <c r="AM54" s="2953"/>
      <c r="AN54" s="2953"/>
      <c r="AO54" s="295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31"/>
      <c r="C55" s="2932"/>
      <c r="D55" s="2932"/>
      <c r="E55" s="2932"/>
      <c r="F55" s="2932"/>
      <c r="G55" s="2932"/>
      <c r="H55" s="2932"/>
      <c r="I55" s="2932"/>
      <c r="J55" s="2932"/>
      <c r="K55" s="2932"/>
      <c r="L55" s="2932"/>
      <c r="M55" s="2932"/>
      <c r="N55" s="2932"/>
      <c r="O55" s="2932"/>
      <c r="P55" s="2932"/>
      <c r="Q55" s="2932"/>
      <c r="R55" s="2951">
        <v>0</v>
      </c>
      <c r="S55" s="2951"/>
      <c r="T55" s="2951"/>
      <c r="U55" s="2951"/>
      <c r="V55" s="2951"/>
      <c r="W55" s="2951"/>
      <c r="X55" s="2951"/>
      <c r="Y55" s="2951"/>
      <c r="Z55" s="2952"/>
      <c r="AA55" s="2952"/>
      <c r="AB55" s="2952"/>
      <c r="AC55" s="2952"/>
      <c r="AD55" s="2952"/>
      <c r="AE55" s="2952"/>
      <c r="AF55" s="2952"/>
      <c r="AG55" s="2952"/>
      <c r="AH55" s="2953">
        <v>0</v>
      </c>
      <c r="AI55" s="2953"/>
      <c r="AJ55" s="2953"/>
      <c r="AK55" s="2953"/>
      <c r="AL55" s="2953"/>
      <c r="AM55" s="2953"/>
      <c r="AN55" s="2953"/>
      <c r="AO55" s="2954"/>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935"/>
      <c r="C56" s="2936"/>
      <c r="D56" s="2936"/>
      <c r="E56" s="2936"/>
      <c r="F56" s="2936"/>
      <c r="G56" s="2936"/>
      <c r="H56" s="2936"/>
      <c r="I56" s="2936"/>
      <c r="J56" s="2936"/>
      <c r="K56" s="2936"/>
      <c r="L56" s="2936"/>
      <c r="M56" s="2936"/>
      <c r="N56" s="2936"/>
      <c r="O56" s="2936"/>
      <c r="P56" s="2936"/>
      <c r="Q56" s="2936"/>
      <c r="R56" s="2942">
        <v>0</v>
      </c>
      <c r="S56" s="2942"/>
      <c r="T56" s="2942"/>
      <c r="U56" s="2942"/>
      <c r="V56" s="2942"/>
      <c r="W56" s="2942"/>
      <c r="X56" s="2942"/>
      <c r="Y56" s="2942"/>
      <c r="Z56" s="2943"/>
      <c r="AA56" s="2943"/>
      <c r="AB56" s="2943"/>
      <c r="AC56" s="2943"/>
      <c r="AD56" s="2943"/>
      <c r="AE56" s="2943"/>
      <c r="AF56" s="2943"/>
      <c r="AG56" s="2943"/>
      <c r="AH56" s="2944"/>
      <c r="AI56" s="2944"/>
      <c r="AJ56" s="2944"/>
      <c r="AK56" s="2944"/>
      <c r="AL56" s="2944"/>
      <c r="AM56" s="2944"/>
      <c r="AN56" s="2944"/>
      <c r="AO56" s="294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6" t="s">
        <v>1791</v>
      </c>
      <c r="C57" s="2947"/>
      <c r="D57" s="2947"/>
      <c r="E57" s="2947"/>
      <c r="F57" s="2947"/>
      <c r="G57" s="2947"/>
      <c r="H57" s="2947"/>
      <c r="I57" s="2947"/>
      <c r="J57" s="2947"/>
      <c r="K57" s="2947"/>
      <c r="L57" s="2947"/>
      <c r="M57" s="2947"/>
      <c r="N57" s="2947"/>
      <c r="O57" s="2947"/>
      <c r="P57" s="2947"/>
      <c r="Q57" s="2947"/>
      <c r="R57" s="2948">
        <f>SUM(R52:Y56)</f>
        <v>0</v>
      </c>
      <c r="S57" s="2948"/>
      <c r="T57" s="2948"/>
      <c r="U57" s="2948"/>
      <c r="V57" s="2948"/>
      <c r="W57" s="2948"/>
      <c r="X57" s="2948"/>
      <c r="Y57" s="2948"/>
      <c r="Z57" s="2949">
        <f t="shared" ref="Z57" si="4">SUM(Z52:AG56)</f>
        <v>0</v>
      </c>
      <c r="AA57" s="2949"/>
      <c r="AB57" s="2949"/>
      <c r="AC57" s="2949"/>
      <c r="AD57" s="2949"/>
      <c r="AE57" s="2949"/>
      <c r="AF57" s="2949"/>
      <c r="AG57" s="2949"/>
      <c r="AH57" s="2950">
        <f>SUM(AH52:AO56)</f>
        <v>0</v>
      </c>
      <c r="AI57" s="2950"/>
      <c r="AJ57" s="2950"/>
      <c r="AK57" s="2950"/>
      <c r="AL57" s="2950"/>
      <c r="AM57" s="2950"/>
      <c r="AN57" s="2950"/>
      <c r="AO57" s="295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9" t="s">
        <v>1923</v>
      </c>
      <c r="C59" s="2940"/>
      <c r="D59" s="2940"/>
      <c r="E59" s="2940"/>
      <c r="F59" s="2940"/>
      <c r="G59" s="2940"/>
      <c r="H59" s="2940"/>
      <c r="I59" s="2941"/>
      <c r="J59" s="2748" t="s">
        <v>1928</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706"/>
      <c r="AY59" s="1706"/>
      <c r="AZ59" s="1706"/>
      <c r="BA59" s="1706"/>
      <c r="BB59" s="1706"/>
      <c r="BC59" s="1706"/>
      <c r="BD59" s="1706"/>
      <c r="BE59" s="1712"/>
    </row>
    <row r="60" spans="1:58" ht="15.75" customHeight="1">
      <c r="A60" s="1706"/>
      <c r="B60" s="2931" t="str">
        <f>IF(B52="", "", B52)</f>
        <v>Services Company 1</v>
      </c>
      <c r="C60" s="2932"/>
      <c r="D60" s="2932"/>
      <c r="E60" s="2932"/>
      <c r="F60" s="2932"/>
      <c r="G60" s="2932"/>
      <c r="H60" s="2932"/>
      <c r="I60" s="2933"/>
      <c r="J60" s="2934"/>
      <c r="K60" s="2932"/>
      <c r="L60" s="2932"/>
      <c r="M60" s="2932"/>
      <c r="N60" s="2932"/>
      <c r="O60" s="2932"/>
      <c r="P60" s="2932"/>
      <c r="Q60" s="2932"/>
      <c r="R60" s="2932"/>
      <c r="S60" s="2932"/>
      <c r="T60" s="2932"/>
      <c r="U60" s="2932"/>
      <c r="V60" s="2932"/>
      <c r="W60" s="2932"/>
      <c r="X60" s="2932"/>
      <c r="Y60" s="2932"/>
      <c r="Z60" s="2932"/>
      <c r="AA60" s="2932"/>
      <c r="AB60" s="2932"/>
      <c r="AC60" s="2932"/>
      <c r="AD60" s="2932"/>
      <c r="AE60" s="2932"/>
      <c r="AF60" s="2932"/>
      <c r="AG60" s="2932"/>
      <c r="AH60" s="2932"/>
      <c r="AI60" s="2932"/>
      <c r="AJ60" s="2932"/>
      <c r="AK60" s="2932"/>
      <c r="AL60" s="2932"/>
      <c r="AM60" s="2932"/>
      <c r="AN60" s="2932"/>
      <c r="AO60" s="2932"/>
      <c r="AP60" s="2932"/>
      <c r="AQ60" s="2932"/>
      <c r="AR60" s="2932"/>
      <c r="AS60" s="2932"/>
      <c r="AT60" s="2932"/>
      <c r="AU60" s="2932"/>
      <c r="AV60" s="2932"/>
      <c r="AW60" s="2933"/>
      <c r="AX60" s="1706"/>
      <c r="AY60" s="1706"/>
      <c r="AZ60" s="1706"/>
      <c r="BA60" s="1706"/>
      <c r="BB60" s="1706"/>
      <c r="BC60" s="1706"/>
      <c r="BD60" s="1706"/>
      <c r="BE60" s="1712"/>
    </row>
    <row r="61" spans="1:58" ht="15.75" customHeight="1">
      <c r="A61" s="1706"/>
      <c r="B61" s="2931" t="str">
        <f t="shared" ref="B61:B64" si="5">IF(B53="", "", B53)</f>
        <v>Services Company 2</v>
      </c>
      <c r="C61" s="2932"/>
      <c r="D61" s="2932"/>
      <c r="E61" s="2932"/>
      <c r="F61" s="2932"/>
      <c r="G61" s="2932"/>
      <c r="H61" s="2932"/>
      <c r="I61" s="2933"/>
      <c r="J61" s="2934"/>
      <c r="K61" s="2932"/>
      <c r="L61" s="2932"/>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3"/>
      <c r="AX61" s="1706"/>
      <c r="AY61" s="1706"/>
      <c r="AZ61" s="1706"/>
      <c r="BA61" s="1706"/>
      <c r="BB61" s="1706"/>
      <c r="BC61" s="1706"/>
      <c r="BD61" s="1706"/>
      <c r="BE61" s="1712"/>
    </row>
    <row r="62" spans="1:58" ht="15.75" customHeight="1">
      <c r="A62" s="1706"/>
      <c r="B62" s="2931" t="str">
        <f t="shared" si="5"/>
        <v/>
      </c>
      <c r="C62" s="2932"/>
      <c r="D62" s="2932"/>
      <c r="E62" s="2932"/>
      <c r="F62" s="2932"/>
      <c r="G62" s="2932"/>
      <c r="H62" s="2932"/>
      <c r="I62" s="2933"/>
      <c r="J62" s="2934"/>
      <c r="K62" s="2932"/>
      <c r="L62" s="2932"/>
      <c r="M62" s="2932"/>
      <c r="N62" s="2932"/>
      <c r="O62" s="2932"/>
      <c r="P62" s="2932"/>
      <c r="Q62" s="2932"/>
      <c r="R62" s="2932"/>
      <c r="S62" s="2932"/>
      <c r="T62" s="2932"/>
      <c r="U62" s="2932"/>
      <c r="V62" s="2932"/>
      <c r="W62" s="2932"/>
      <c r="X62" s="2932"/>
      <c r="Y62" s="2932"/>
      <c r="Z62" s="2932"/>
      <c r="AA62" s="2932"/>
      <c r="AB62" s="2932"/>
      <c r="AC62" s="2932"/>
      <c r="AD62" s="2932"/>
      <c r="AE62" s="2932"/>
      <c r="AF62" s="2932"/>
      <c r="AG62" s="2932"/>
      <c r="AH62" s="2932"/>
      <c r="AI62" s="2932"/>
      <c r="AJ62" s="2932"/>
      <c r="AK62" s="2932"/>
      <c r="AL62" s="2932"/>
      <c r="AM62" s="2932"/>
      <c r="AN62" s="2932"/>
      <c r="AO62" s="2932"/>
      <c r="AP62" s="2932"/>
      <c r="AQ62" s="2932"/>
      <c r="AR62" s="2932"/>
      <c r="AS62" s="2932"/>
      <c r="AT62" s="2932"/>
      <c r="AU62" s="2932"/>
      <c r="AV62" s="2932"/>
      <c r="AW62" s="2933"/>
      <c r="AX62" s="1706"/>
      <c r="AY62" s="1706"/>
      <c r="AZ62" s="1706"/>
      <c r="BA62" s="1706"/>
      <c r="BB62" s="1706"/>
      <c r="BC62" s="1706"/>
      <c r="BD62" s="1706"/>
      <c r="BE62" s="1712"/>
    </row>
    <row r="63" spans="1:58" ht="15.75" customHeight="1">
      <c r="A63" s="1706"/>
      <c r="B63" s="2931" t="str">
        <f t="shared" si="5"/>
        <v/>
      </c>
      <c r="C63" s="2932"/>
      <c r="D63" s="2932"/>
      <c r="E63" s="2932"/>
      <c r="F63" s="2932"/>
      <c r="G63" s="2932"/>
      <c r="H63" s="2932"/>
      <c r="I63" s="2933"/>
      <c r="J63" s="2934"/>
      <c r="K63" s="2932"/>
      <c r="L63" s="2932"/>
      <c r="M63" s="2932"/>
      <c r="N63" s="2932"/>
      <c r="O63" s="2932"/>
      <c r="P63" s="2932"/>
      <c r="Q63" s="2932"/>
      <c r="R63" s="2932"/>
      <c r="S63" s="2932"/>
      <c r="T63" s="2932"/>
      <c r="U63" s="2932"/>
      <c r="V63" s="2932"/>
      <c r="W63" s="2932"/>
      <c r="X63" s="2932"/>
      <c r="Y63" s="2932"/>
      <c r="Z63" s="2932"/>
      <c r="AA63" s="2932"/>
      <c r="AB63" s="2932"/>
      <c r="AC63" s="2932"/>
      <c r="AD63" s="2932"/>
      <c r="AE63" s="2932"/>
      <c r="AF63" s="2932"/>
      <c r="AG63" s="2932"/>
      <c r="AH63" s="2932"/>
      <c r="AI63" s="2932"/>
      <c r="AJ63" s="2932"/>
      <c r="AK63" s="2932"/>
      <c r="AL63" s="2932"/>
      <c r="AM63" s="2932"/>
      <c r="AN63" s="2932"/>
      <c r="AO63" s="2932"/>
      <c r="AP63" s="2932"/>
      <c r="AQ63" s="2932"/>
      <c r="AR63" s="2932"/>
      <c r="AS63" s="2932"/>
      <c r="AT63" s="2932"/>
      <c r="AU63" s="2932"/>
      <c r="AV63" s="2932"/>
      <c r="AW63" s="2933"/>
      <c r="AX63" s="1706"/>
      <c r="AY63" s="1706"/>
      <c r="AZ63" s="1706"/>
      <c r="BA63" s="1706"/>
      <c r="BB63" s="1706"/>
      <c r="BC63" s="1706"/>
      <c r="BD63" s="1706"/>
      <c r="BE63" s="1712"/>
    </row>
    <row r="64" spans="1:58" ht="15.75" customHeight="1" thickBot="1">
      <c r="A64" s="1706"/>
      <c r="B64" s="2935" t="str">
        <f t="shared" si="5"/>
        <v/>
      </c>
      <c r="C64" s="2936"/>
      <c r="D64" s="2936"/>
      <c r="E64" s="2936"/>
      <c r="F64" s="2936"/>
      <c r="G64" s="2936"/>
      <c r="H64" s="2936"/>
      <c r="I64" s="2937"/>
      <c r="J64" s="2938"/>
      <c r="K64" s="2936"/>
      <c r="L64" s="2936"/>
      <c r="M64" s="2936"/>
      <c r="N64" s="2936"/>
      <c r="O64" s="2936"/>
      <c r="P64" s="2936"/>
      <c r="Q64" s="2936"/>
      <c r="R64" s="2936"/>
      <c r="S64" s="2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N64" s="2936"/>
      <c r="AO64" s="2936"/>
      <c r="AP64" s="2936"/>
      <c r="AQ64" s="2936"/>
      <c r="AR64" s="2936"/>
      <c r="AS64" s="2936"/>
      <c r="AT64" s="2936"/>
      <c r="AU64" s="2936"/>
      <c r="AV64" s="2936"/>
      <c r="AW64" s="293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4" t="s">
        <v>1930</v>
      </c>
      <c r="C68" s="2795"/>
      <c r="D68" s="2795"/>
      <c r="E68" s="2795"/>
      <c r="F68" s="2795"/>
      <c r="G68" s="2795"/>
      <c r="H68" s="2795"/>
      <c r="I68" s="2795"/>
      <c r="J68" s="2795"/>
      <c r="K68" s="2795"/>
      <c r="L68" s="2795"/>
      <c r="M68" s="2795"/>
      <c r="N68" s="2795"/>
      <c r="O68" s="2795"/>
      <c r="P68" s="2795"/>
      <c r="Q68" s="2795"/>
      <c r="R68" s="2795"/>
      <c r="S68" s="2795"/>
      <c r="T68" s="2795"/>
      <c r="U68" s="2795"/>
      <c r="V68" s="2795"/>
      <c r="W68" s="2795"/>
      <c r="X68" s="2795"/>
      <c r="Y68" s="2795"/>
      <c r="Z68" s="2795"/>
      <c r="AA68" s="2796"/>
      <c r="AB68" s="1706"/>
      <c r="AC68" s="2893" t="s">
        <v>1931</v>
      </c>
      <c r="AD68" s="2894"/>
      <c r="AE68" s="2894"/>
      <c r="AF68" s="2894"/>
      <c r="AG68" s="2894"/>
      <c r="AH68" s="2894"/>
      <c r="AI68" s="2894"/>
      <c r="AJ68" s="2894"/>
      <c r="AK68" s="2894"/>
      <c r="AL68" s="2894"/>
      <c r="AM68" s="2894"/>
      <c r="AN68" s="2894"/>
      <c r="AO68" s="2894"/>
      <c r="AP68" s="2894"/>
      <c r="AQ68" s="2894"/>
      <c r="AR68" s="2894"/>
      <c r="AS68" s="2894"/>
      <c r="AT68" s="2894"/>
      <c r="AU68" s="2894"/>
      <c r="AV68" s="2926" t="s">
        <v>1890</v>
      </c>
      <c r="AW68" s="2926"/>
      <c r="AX68" s="2926"/>
      <c r="AY68" s="2926"/>
      <c r="AZ68" s="2926"/>
      <c r="BA68" s="2926"/>
      <c r="BB68" s="2926"/>
      <c r="BC68" s="2927"/>
      <c r="BD68" s="1706"/>
      <c r="BE68" s="1712"/>
    </row>
    <row r="69" spans="1:57" ht="15.75" customHeight="1" thickBot="1">
      <c r="A69" s="1706"/>
      <c r="B69" s="2928" t="s">
        <v>1932</v>
      </c>
      <c r="C69" s="2901"/>
      <c r="D69" s="2901"/>
      <c r="E69" s="2901"/>
      <c r="F69" s="2901"/>
      <c r="G69" s="2901"/>
      <c r="H69" s="2901"/>
      <c r="I69" s="2901"/>
      <c r="J69" s="2901"/>
      <c r="K69" s="2901"/>
      <c r="L69" s="2901"/>
      <c r="M69" s="2901"/>
      <c r="N69" s="2901"/>
      <c r="O69" s="2929" t="s">
        <v>1933</v>
      </c>
      <c r="P69" s="2726"/>
      <c r="Q69" s="2726"/>
      <c r="R69" s="2726"/>
      <c r="S69" s="2726"/>
      <c r="T69" s="2726"/>
      <c r="U69" s="2726"/>
      <c r="V69" s="2726"/>
      <c r="W69" s="2726"/>
      <c r="X69" s="2726"/>
      <c r="Y69" s="2726"/>
      <c r="Z69" s="2726"/>
      <c r="AA69" s="2727"/>
      <c r="AB69" s="1706"/>
      <c r="AC69" s="2668" t="s">
        <v>1934</v>
      </c>
      <c r="AD69" s="2669"/>
      <c r="AE69" s="2669"/>
      <c r="AF69" s="2669"/>
      <c r="AG69" s="2669"/>
      <c r="AH69" s="2669"/>
      <c r="AI69" s="2669"/>
      <c r="AJ69" s="2669"/>
      <c r="AK69" s="2669"/>
      <c r="AL69" s="2669"/>
      <c r="AM69" s="2669"/>
      <c r="AN69" s="2669"/>
      <c r="AO69" s="2669"/>
      <c r="AP69" s="2669"/>
      <c r="AQ69" s="2669"/>
      <c r="AR69" s="2669"/>
      <c r="AS69" s="2669"/>
      <c r="AT69" s="2669"/>
      <c r="AU69" s="2669"/>
      <c r="AV69" s="2773">
        <v>44563</v>
      </c>
      <c r="AW69" s="2772"/>
      <c r="AX69" s="2772"/>
      <c r="AY69" s="2772"/>
      <c r="AZ69" s="2772"/>
      <c r="BA69" s="2772"/>
      <c r="BB69" s="2772"/>
      <c r="BC69" s="2930"/>
      <c r="BD69" s="1706"/>
      <c r="BE69" s="1712"/>
    </row>
    <row r="70" spans="1:57" ht="15.75" customHeight="1">
      <c r="A70" s="1706"/>
      <c r="B70" s="2922"/>
      <c r="C70" s="2923"/>
      <c r="D70" s="2923"/>
      <c r="E70" s="2923"/>
      <c r="F70" s="2923"/>
      <c r="G70" s="2923"/>
      <c r="H70" s="2923"/>
      <c r="I70" s="2923"/>
      <c r="J70" s="2923"/>
      <c r="K70" s="2923"/>
      <c r="L70" s="2923"/>
      <c r="M70" s="2923"/>
      <c r="N70" s="2923"/>
      <c r="O70" s="2912">
        <v>1</v>
      </c>
      <c r="P70" s="2912"/>
      <c r="Q70" s="2912"/>
      <c r="R70" s="2912"/>
      <c r="S70" s="2912"/>
      <c r="T70" s="2912"/>
      <c r="U70" s="2912"/>
      <c r="V70" s="2912"/>
      <c r="W70" s="2912"/>
      <c r="X70" s="2912"/>
      <c r="Y70" s="2912"/>
      <c r="Z70" s="2912"/>
      <c r="AA70" s="2913"/>
      <c r="AB70" s="1706"/>
      <c r="AC70" s="2924" t="s">
        <v>1935</v>
      </c>
      <c r="AD70" s="2925"/>
      <c r="AE70" s="2925"/>
      <c r="AF70" s="2880"/>
      <c r="AG70" s="2880"/>
      <c r="AH70" s="2880"/>
      <c r="AI70" s="2880"/>
      <c r="AJ70" s="2880"/>
      <c r="AK70" s="2880"/>
      <c r="AL70" s="2880"/>
      <c r="AM70" s="2880"/>
      <c r="AN70" s="2880"/>
      <c r="AO70" s="2880"/>
      <c r="AP70" s="2880"/>
      <c r="AQ70" s="2880"/>
      <c r="AR70" s="2880"/>
      <c r="AS70" s="2880"/>
      <c r="AT70" s="2880"/>
      <c r="AU70" s="2881"/>
      <c r="AV70" s="1706"/>
      <c r="AW70" s="1706"/>
      <c r="AX70" s="1706"/>
      <c r="AY70" s="1706"/>
      <c r="AZ70" s="1706"/>
      <c r="BA70" s="1706"/>
      <c r="BB70" s="1706"/>
      <c r="BC70" s="1706"/>
      <c r="BD70" s="1706"/>
      <c r="BE70" s="1712"/>
    </row>
    <row r="71" spans="1:57" ht="15.75" customHeight="1" thickBot="1">
      <c r="A71" s="1706"/>
      <c r="B71" s="2911"/>
      <c r="C71" s="2740"/>
      <c r="D71" s="2740"/>
      <c r="E71" s="2740"/>
      <c r="F71" s="2740"/>
      <c r="G71" s="2740"/>
      <c r="H71" s="2740"/>
      <c r="I71" s="2740"/>
      <c r="J71" s="2740"/>
      <c r="K71" s="2740"/>
      <c r="L71" s="2740"/>
      <c r="M71" s="2740"/>
      <c r="N71" s="2740"/>
      <c r="O71" s="2912"/>
      <c r="P71" s="2912"/>
      <c r="Q71" s="2912"/>
      <c r="R71" s="2912"/>
      <c r="S71" s="2912"/>
      <c r="T71" s="2912"/>
      <c r="U71" s="2912"/>
      <c r="V71" s="2912"/>
      <c r="W71" s="2912"/>
      <c r="X71" s="2912"/>
      <c r="Y71" s="2912"/>
      <c r="Z71" s="2912"/>
      <c r="AA71" s="2913"/>
      <c r="AB71" s="1706"/>
      <c r="AC71" s="2676" t="s">
        <v>1936</v>
      </c>
      <c r="AD71" s="2677"/>
      <c r="AE71" s="2677"/>
      <c r="AF71" s="2877"/>
      <c r="AG71" s="2877"/>
      <c r="AH71" s="2877"/>
      <c r="AI71" s="2877"/>
      <c r="AJ71" s="2877"/>
      <c r="AK71" s="2877"/>
      <c r="AL71" s="2877"/>
      <c r="AM71" s="2877"/>
      <c r="AN71" s="2877"/>
      <c r="AO71" s="2877"/>
      <c r="AP71" s="2877"/>
      <c r="AQ71" s="2877"/>
      <c r="AR71" s="2877"/>
      <c r="AS71" s="2877"/>
      <c r="AT71" s="2877"/>
      <c r="AU71" s="2878"/>
      <c r="AV71" s="1706"/>
      <c r="AW71" s="1706"/>
      <c r="AX71" s="1706"/>
      <c r="AY71" s="1706"/>
      <c r="AZ71" s="1706"/>
      <c r="BA71" s="1706"/>
      <c r="BB71" s="1706"/>
      <c r="BC71" s="1706"/>
      <c r="BD71" s="1706"/>
      <c r="BE71" s="1712"/>
    </row>
    <row r="72" spans="1:57" ht="15.75" customHeight="1">
      <c r="A72" s="1706"/>
      <c r="B72" s="2911"/>
      <c r="C72" s="2740"/>
      <c r="D72" s="2740"/>
      <c r="E72" s="2740"/>
      <c r="F72" s="2740"/>
      <c r="G72" s="2740"/>
      <c r="H72" s="2740"/>
      <c r="I72" s="2740"/>
      <c r="J72" s="2740"/>
      <c r="K72" s="2740"/>
      <c r="L72" s="2740"/>
      <c r="M72" s="2740"/>
      <c r="N72" s="2740"/>
      <c r="O72" s="2912"/>
      <c r="P72" s="2912"/>
      <c r="Q72" s="2912"/>
      <c r="R72" s="2912"/>
      <c r="S72" s="2912"/>
      <c r="T72" s="2912"/>
      <c r="U72" s="2912"/>
      <c r="V72" s="2912"/>
      <c r="W72" s="2912"/>
      <c r="X72" s="2912"/>
      <c r="Y72" s="2912"/>
      <c r="Z72" s="2912"/>
      <c r="AA72" s="2913"/>
      <c r="AB72" s="1706"/>
      <c r="AC72" s="2914" t="s">
        <v>1937</v>
      </c>
      <c r="AD72" s="2899"/>
      <c r="AE72" s="2899"/>
      <c r="AF72" s="2899"/>
      <c r="AG72" s="2899"/>
      <c r="AH72" s="2899"/>
      <c r="AI72" s="2899"/>
      <c r="AJ72" s="2899"/>
      <c r="AK72" s="2899"/>
      <c r="AL72" s="2899"/>
      <c r="AM72" s="2899"/>
      <c r="AN72" s="2899"/>
      <c r="AO72" s="2899"/>
      <c r="AP72" s="2899"/>
      <c r="AQ72" s="2899"/>
      <c r="AR72" s="2899"/>
      <c r="AS72" s="2899"/>
      <c r="AT72" s="2899"/>
      <c r="AU72" s="2899"/>
      <c r="AV72" s="2899"/>
      <c r="AW72" s="2899"/>
      <c r="AX72" s="2899"/>
      <c r="AY72" s="2899"/>
      <c r="AZ72" s="2899"/>
      <c r="BA72" s="2899"/>
      <c r="BB72" s="2899"/>
      <c r="BC72" s="2900"/>
      <c r="BD72" s="1706"/>
      <c r="BE72" s="1712"/>
    </row>
    <row r="73" spans="1:57" ht="15.75" customHeight="1">
      <c r="A73" s="1706"/>
      <c r="B73" s="2911"/>
      <c r="C73" s="2740"/>
      <c r="D73" s="2740"/>
      <c r="E73" s="2740"/>
      <c r="F73" s="2740"/>
      <c r="G73" s="2740"/>
      <c r="H73" s="2740"/>
      <c r="I73" s="2740"/>
      <c r="J73" s="2740"/>
      <c r="K73" s="2740"/>
      <c r="L73" s="2740"/>
      <c r="M73" s="2740"/>
      <c r="N73" s="2740"/>
      <c r="O73" s="2912"/>
      <c r="P73" s="2912"/>
      <c r="Q73" s="2912"/>
      <c r="R73" s="2912"/>
      <c r="S73" s="2912"/>
      <c r="T73" s="2912"/>
      <c r="U73" s="2912"/>
      <c r="V73" s="2912"/>
      <c r="W73" s="2912"/>
      <c r="X73" s="2912"/>
      <c r="Y73" s="2912"/>
      <c r="Z73" s="2912"/>
      <c r="AA73" s="2913"/>
      <c r="AB73" s="1706"/>
      <c r="AC73" s="2857" t="s">
        <v>2322</v>
      </c>
      <c r="AD73" s="2858"/>
      <c r="AE73" s="2858"/>
      <c r="AF73" s="2858"/>
      <c r="AG73" s="2858"/>
      <c r="AH73" s="2858"/>
      <c r="AI73" s="2858"/>
      <c r="AJ73" s="2858"/>
      <c r="AK73" s="2858"/>
      <c r="AL73" s="2858"/>
      <c r="AM73" s="2858"/>
      <c r="AN73" s="2858"/>
      <c r="AO73" s="2858"/>
      <c r="AP73" s="2858"/>
      <c r="AQ73" s="2858"/>
      <c r="AR73" s="2858"/>
      <c r="AS73" s="2858"/>
      <c r="AT73" s="2858"/>
      <c r="AU73" s="2858"/>
      <c r="AV73" s="2858"/>
      <c r="AW73" s="2858"/>
      <c r="AX73" s="2858"/>
      <c r="AY73" s="2858"/>
      <c r="AZ73" s="2858"/>
      <c r="BA73" s="2858"/>
      <c r="BB73" s="2858"/>
      <c r="BC73" s="2859"/>
      <c r="BD73" s="1706"/>
      <c r="BE73" s="1712"/>
    </row>
    <row r="74" spans="1:57" ht="15.75" customHeight="1" thickBot="1">
      <c r="A74" s="1706"/>
      <c r="B74" s="2911"/>
      <c r="C74" s="2740"/>
      <c r="D74" s="2740"/>
      <c r="E74" s="2740"/>
      <c r="F74" s="2740"/>
      <c r="G74" s="2740"/>
      <c r="H74" s="2740"/>
      <c r="I74" s="2740"/>
      <c r="J74" s="2740"/>
      <c r="K74" s="2740"/>
      <c r="L74" s="2740"/>
      <c r="M74" s="2740"/>
      <c r="N74" s="2740"/>
      <c r="O74" s="2915"/>
      <c r="P74" s="2915"/>
      <c r="Q74" s="2915"/>
      <c r="R74" s="2915"/>
      <c r="S74" s="2915"/>
      <c r="T74" s="2915"/>
      <c r="U74" s="2915"/>
      <c r="V74" s="2915"/>
      <c r="W74" s="2915"/>
      <c r="X74" s="2915"/>
      <c r="Y74" s="2915"/>
      <c r="Z74" s="2915"/>
      <c r="AA74" s="2916"/>
      <c r="AB74" s="1706"/>
      <c r="AC74" s="2857"/>
      <c r="AD74" s="2858"/>
      <c r="AE74" s="2858"/>
      <c r="AF74" s="2858"/>
      <c r="AG74" s="2858"/>
      <c r="AH74" s="2858"/>
      <c r="AI74" s="2858"/>
      <c r="AJ74" s="2858"/>
      <c r="AK74" s="2858"/>
      <c r="AL74" s="2858"/>
      <c r="AM74" s="2858"/>
      <c r="AN74" s="2858"/>
      <c r="AO74" s="2858"/>
      <c r="AP74" s="2858"/>
      <c r="AQ74" s="2858"/>
      <c r="AR74" s="2858"/>
      <c r="AS74" s="2858"/>
      <c r="AT74" s="2858"/>
      <c r="AU74" s="2858"/>
      <c r="AV74" s="2858"/>
      <c r="AW74" s="2858"/>
      <c r="AX74" s="2858"/>
      <c r="AY74" s="2858"/>
      <c r="AZ74" s="2858"/>
      <c r="BA74" s="2858"/>
      <c r="BB74" s="2858"/>
      <c r="BC74" s="2859"/>
      <c r="BD74" s="1706"/>
      <c r="BE74" s="1712"/>
    </row>
    <row r="75" spans="1:57" ht="15.75" customHeight="1" thickTop="1" thickBot="1">
      <c r="A75" s="1706"/>
      <c r="B75" s="2917" t="s">
        <v>129</v>
      </c>
      <c r="C75" s="2918"/>
      <c r="D75" s="2918"/>
      <c r="E75" s="2918"/>
      <c r="F75" s="2918"/>
      <c r="G75" s="2918"/>
      <c r="H75" s="2918"/>
      <c r="I75" s="2918"/>
      <c r="J75" s="2918"/>
      <c r="K75" s="2918"/>
      <c r="L75" s="2918"/>
      <c r="M75" s="2918"/>
      <c r="N75" s="2918"/>
      <c r="O75" s="2919">
        <f>SUM(O70:AA74)</f>
        <v>1</v>
      </c>
      <c r="P75" s="2920"/>
      <c r="Q75" s="2920"/>
      <c r="R75" s="2920"/>
      <c r="S75" s="2920"/>
      <c r="T75" s="2920"/>
      <c r="U75" s="2920"/>
      <c r="V75" s="2920"/>
      <c r="W75" s="2920"/>
      <c r="X75" s="2920"/>
      <c r="Y75" s="2920"/>
      <c r="Z75" s="2920"/>
      <c r="AA75" s="2921"/>
      <c r="AB75" s="1706"/>
      <c r="AC75" s="2857"/>
      <c r="AD75" s="2858"/>
      <c r="AE75" s="2858"/>
      <c r="AF75" s="2858"/>
      <c r="AG75" s="2858"/>
      <c r="AH75" s="2858"/>
      <c r="AI75" s="2858"/>
      <c r="AJ75" s="2858"/>
      <c r="AK75" s="2858"/>
      <c r="AL75" s="2858"/>
      <c r="AM75" s="2858"/>
      <c r="AN75" s="2858"/>
      <c r="AO75" s="2858"/>
      <c r="AP75" s="2858"/>
      <c r="AQ75" s="2858"/>
      <c r="AR75" s="2858"/>
      <c r="AS75" s="2858"/>
      <c r="AT75" s="2858"/>
      <c r="AU75" s="2858"/>
      <c r="AV75" s="2858"/>
      <c r="AW75" s="2858"/>
      <c r="AX75" s="2858"/>
      <c r="AY75" s="2858"/>
      <c r="AZ75" s="2858"/>
      <c r="BA75" s="2858"/>
      <c r="BB75" s="2858"/>
      <c r="BC75" s="2859"/>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7"/>
      <c r="AD76" s="2858"/>
      <c r="AE76" s="2858"/>
      <c r="AF76" s="2858"/>
      <c r="AG76" s="2858"/>
      <c r="AH76" s="2858"/>
      <c r="AI76" s="2858"/>
      <c r="AJ76" s="2858"/>
      <c r="AK76" s="2858"/>
      <c r="AL76" s="2858"/>
      <c r="AM76" s="2858"/>
      <c r="AN76" s="2858"/>
      <c r="AO76" s="2858"/>
      <c r="AP76" s="2858"/>
      <c r="AQ76" s="2858"/>
      <c r="AR76" s="2858"/>
      <c r="AS76" s="2858"/>
      <c r="AT76" s="2858"/>
      <c r="AU76" s="2858"/>
      <c r="AV76" s="2858"/>
      <c r="AW76" s="2858"/>
      <c r="AX76" s="2858"/>
      <c r="AY76" s="2858"/>
      <c r="AZ76" s="2858"/>
      <c r="BA76" s="2858"/>
      <c r="BB76" s="2858"/>
      <c r="BC76" s="2859"/>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60"/>
      <c r="AD77" s="2861"/>
      <c r="AE77" s="2861"/>
      <c r="AF77" s="2861"/>
      <c r="AG77" s="2861"/>
      <c r="AH77" s="2861"/>
      <c r="AI77" s="2861"/>
      <c r="AJ77" s="2861"/>
      <c r="AK77" s="2861"/>
      <c r="AL77" s="2861"/>
      <c r="AM77" s="2861"/>
      <c r="AN77" s="2861"/>
      <c r="AO77" s="2861"/>
      <c r="AP77" s="2861"/>
      <c r="AQ77" s="2861"/>
      <c r="AR77" s="2861"/>
      <c r="AS77" s="2861"/>
      <c r="AT77" s="2861"/>
      <c r="AU77" s="2861"/>
      <c r="AV77" s="2861"/>
      <c r="AW77" s="2861"/>
      <c r="AX77" s="2861"/>
      <c r="AY77" s="2861"/>
      <c r="AZ77" s="2861"/>
      <c r="BA77" s="2861"/>
      <c r="BB77" s="2861"/>
      <c r="BC77" s="2862"/>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7" t="s">
        <v>2302</v>
      </c>
      <c r="C79" s="2908"/>
      <c r="D79" s="2908"/>
      <c r="E79" s="2908"/>
      <c r="F79" s="2908"/>
      <c r="G79" s="2908"/>
      <c r="H79" s="2908"/>
      <c r="I79" s="2908"/>
      <c r="J79" s="2908"/>
      <c r="K79" s="2908"/>
      <c r="L79" s="2908"/>
      <c r="M79" s="2908"/>
      <c r="N79" s="2908"/>
      <c r="O79" s="2908"/>
      <c r="P79" s="2908"/>
      <c r="Q79" s="2908"/>
      <c r="R79" s="2908"/>
      <c r="S79" s="2908"/>
      <c r="T79" s="2908"/>
      <c r="U79" s="2908"/>
      <c r="V79" s="2908"/>
      <c r="W79" s="2908"/>
      <c r="X79" s="2908"/>
      <c r="Y79" s="2908"/>
      <c r="Z79" s="2908"/>
      <c r="AA79" s="2908"/>
      <c r="AB79" s="2908"/>
      <c r="AC79" s="2908"/>
      <c r="AD79" s="2908"/>
      <c r="AE79" s="2908"/>
      <c r="AF79" s="2908"/>
      <c r="AG79" s="2908"/>
      <c r="AH79" s="2909"/>
      <c r="AI79" s="1706"/>
      <c r="AJ79" s="2883" t="s">
        <v>2323</v>
      </c>
      <c r="AK79" s="2884"/>
      <c r="AL79" s="2884"/>
      <c r="AM79" s="2884"/>
      <c r="AN79" s="2884"/>
      <c r="AO79" s="2884"/>
      <c r="AP79" s="2884"/>
      <c r="AQ79" s="2884"/>
      <c r="AR79" s="2884"/>
      <c r="AS79" s="2884"/>
      <c r="AT79" s="2884"/>
      <c r="AU79" s="2884"/>
      <c r="AV79" s="2884"/>
      <c r="AW79" s="2884"/>
      <c r="AX79" s="2884"/>
      <c r="AY79" s="2826" t="s">
        <v>1890</v>
      </c>
      <c r="AZ79" s="2826"/>
      <c r="BA79" s="2826"/>
      <c r="BB79" s="2827"/>
      <c r="BC79" s="1706"/>
      <c r="BD79" s="1706"/>
      <c r="BE79" s="1712"/>
    </row>
    <row r="80" spans="1:57" ht="15.75" customHeight="1">
      <c r="A80" s="1706"/>
      <c r="B80" s="2756"/>
      <c r="C80" s="2757"/>
      <c r="D80" s="2757"/>
      <c r="E80" s="2757"/>
      <c r="F80" s="2757"/>
      <c r="G80" s="2757"/>
      <c r="H80" s="2758"/>
      <c r="I80" s="2893" t="s">
        <v>1939</v>
      </c>
      <c r="J80" s="2894"/>
      <c r="K80" s="2894"/>
      <c r="L80" s="2894"/>
      <c r="M80" s="2894"/>
      <c r="N80" s="2894"/>
      <c r="O80" s="2894" t="s">
        <v>1940</v>
      </c>
      <c r="P80" s="2894"/>
      <c r="Q80" s="2894"/>
      <c r="R80" s="2894"/>
      <c r="S80" s="2894"/>
      <c r="T80" s="2894"/>
      <c r="U80" s="2894"/>
      <c r="V80" s="2897" t="s">
        <v>2324</v>
      </c>
      <c r="W80" s="2897"/>
      <c r="X80" s="2897"/>
      <c r="Y80" s="2897"/>
      <c r="Z80" s="2897"/>
      <c r="AA80" s="2897"/>
      <c r="AB80" s="2899" t="s">
        <v>1941</v>
      </c>
      <c r="AC80" s="2899"/>
      <c r="AD80" s="2899"/>
      <c r="AE80" s="2899"/>
      <c r="AF80" s="2899"/>
      <c r="AG80" s="2899"/>
      <c r="AH80" s="2900"/>
      <c r="AI80" s="1706"/>
      <c r="AJ80" s="2885"/>
      <c r="AK80" s="2886"/>
      <c r="AL80" s="2886"/>
      <c r="AM80" s="2886"/>
      <c r="AN80" s="2886"/>
      <c r="AO80" s="2886"/>
      <c r="AP80" s="2886"/>
      <c r="AQ80" s="2886"/>
      <c r="AR80" s="2886"/>
      <c r="AS80" s="2886"/>
      <c r="AT80" s="2886"/>
      <c r="AU80" s="2886"/>
      <c r="AV80" s="2886"/>
      <c r="AW80" s="2886"/>
      <c r="AX80" s="2886"/>
      <c r="AY80" s="2889"/>
      <c r="AZ80" s="2889"/>
      <c r="BA80" s="2889"/>
      <c r="BB80" s="2890"/>
      <c r="BC80" s="1706"/>
      <c r="BD80" s="1706"/>
      <c r="BE80" s="1712"/>
    </row>
    <row r="81" spans="1:57" ht="15.75" customHeight="1" thickBot="1">
      <c r="A81" s="1706"/>
      <c r="B81" s="2808"/>
      <c r="C81" s="2809"/>
      <c r="D81" s="2809"/>
      <c r="E81" s="2809"/>
      <c r="F81" s="2809"/>
      <c r="G81" s="2809"/>
      <c r="H81" s="2910"/>
      <c r="I81" s="2895"/>
      <c r="J81" s="2896"/>
      <c r="K81" s="2896"/>
      <c r="L81" s="2896"/>
      <c r="M81" s="2896"/>
      <c r="N81" s="2896"/>
      <c r="O81" s="2896"/>
      <c r="P81" s="2896"/>
      <c r="Q81" s="2896"/>
      <c r="R81" s="2896"/>
      <c r="S81" s="2896"/>
      <c r="T81" s="2896"/>
      <c r="U81" s="2896"/>
      <c r="V81" s="2898"/>
      <c r="W81" s="2898"/>
      <c r="X81" s="2898"/>
      <c r="Y81" s="2898"/>
      <c r="Z81" s="2898"/>
      <c r="AA81" s="2898"/>
      <c r="AB81" s="2901"/>
      <c r="AC81" s="2901"/>
      <c r="AD81" s="2901"/>
      <c r="AE81" s="2901"/>
      <c r="AF81" s="2901"/>
      <c r="AG81" s="2901"/>
      <c r="AH81" s="2902"/>
      <c r="AI81" s="1706"/>
      <c r="AJ81" s="2885"/>
      <c r="AK81" s="2886"/>
      <c r="AL81" s="2886"/>
      <c r="AM81" s="2886"/>
      <c r="AN81" s="2886"/>
      <c r="AO81" s="2886"/>
      <c r="AP81" s="2886"/>
      <c r="AQ81" s="2886"/>
      <c r="AR81" s="2886"/>
      <c r="AS81" s="2886"/>
      <c r="AT81" s="2886"/>
      <c r="AU81" s="2886"/>
      <c r="AV81" s="2886"/>
      <c r="AW81" s="2886"/>
      <c r="AX81" s="2886"/>
      <c r="AY81" s="2889"/>
      <c r="AZ81" s="2889"/>
      <c r="BA81" s="2889"/>
      <c r="BB81" s="2890"/>
      <c r="BC81" s="1706"/>
      <c r="BD81" s="1706"/>
      <c r="BE81" s="1712"/>
    </row>
    <row r="82" spans="1:57" ht="15.75" customHeight="1" thickBot="1">
      <c r="A82" s="1706"/>
      <c r="B82" s="2750" t="s">
        <v>2303</v>
      </c>
      <c r="C82" s="2751"/>
      <c r="D82" s="2751"/>
      <c r="E82" s="2751"/>
      <c r="F82" s="2751"/>
      <c r="G82" s="2751"/>
      <c r="H82" s="2752"/>
      <c r="I82" s="2882"/>
      <c r="J82" s="2864"/>
      <c r="K82" s="2864"/>
      <c r="L82" s="2864"/>
      <c r="M82" s="2864"/>
      <c r="N82" s="2864"/>
      <c r="O82" s="2864"/>
      <c r="P82" s="2864"/>
      <c r="Q82" s="2864"/>
      <c r="R82" s="2864"/>
      <c r="S82" s="2864"/>
      <c r="T82" s="2864"/>
      <c r="U82" s="2864"/>
      <c r="V82" s="2864"/>
      <c r="W82" s="2864"/>
      <c r="X82" s="2864"/>
      <c r="Y82" s="2864"/>
      <c r="Z82" s="2864"/>
      <c r="AA82" s="2879"/>
      <c r="AB82" s="2905"/>
      <c r="AC82" s="2905"/>
      <c r="AD82" s="2905"/>
      <c r="AE82" s="2905"/>
      <c r="AF82" s="2905"/>
      <c r="AG82" s="2905"/>
      <c r="AH82" s="2906"/>
      <c r="AI82" s="1706"/>
      <c r="AJ82" s="2887"/>
      <c r="AK82" s="2888"/>
      <c r="AL82" s="2888"/>
      <c r="AM82" s="2888"/>
      <c r="AN82" s="2888"/>
      <c r="AO82" s="2888"/>
      <c r="AP82" s="2888"/>
      <c r="AQ82" s="2888"/>
      <c r="AR82" s="2888"/>
      <c r="AS82" s="2888"/>
      <c r="AT82" s="2888"/>
      <c r="AU82" s="2888"/>
      <c r="AV82" s="2888"/>
      <c r="AW82" s="2888"/>
      <c r="AX82" s="2888"/>
      <c r="AY82" s="2891"/>
      <c r="AZ82" s="2891"/>
      <c r="BA82" s="2891"/>
      <c r="BB82" s="2892"/>
      <c r="BC82" s="1706"/>
      <c r="BD82" s="1706"/>
      <c r="BE82" s="1712"/>
    </row>
    <row r="83" spans="1:57" ht="15.75" customHeight="1" thickBot="1">
      <c r="A83" s="1706"/>
      <c r="B83" s="2750" t="s">
        <v>2304</v>
      </c>
      <c r="C83" s="2751"/>
      <c r="D83" s="2751"/>
      <c r="E83" s="2751"/>
      <c r="F83" s="2751"/>
      <c r="G83" s="2751"/>
      <c r="H83" s="2752"/>
      <c r="I83" s="2882"/>
      <c r="J83" s="2864"/>
      <c r="K83" s="2864"/>
      <c r="L83" s="2864"/>
      <c r="M83" s="2864"/>
      <c r="N83" s="2864"/>
      <c r="O83" s="2864"/>
      <c r="P83" s="2864"/>
      <c r="Q83" s="2864"/>
      <c r="R83" s="2864"/>
      <c r="S83" s="2864"/>
      <c r="T83" s="2864"/>
      <c r="U83" s="2864"/>
      <c r="V83" s="2864"/>
      <c r="W83" s="2864"/>
      <c r="X83" s="2864"/>
      <c r="Y83" s="2864"/>
      <c r="Z83" s="2864"/>
      <c r="AA83" s="2879"/>
      <c r="AB83" s="2905"/>
      <c r="AC83" s="2905"/>
      <c r="AD83" s="2905"/>
      <c r="AE83" s="2905"/>
      <c r="AF83" s="2905"/>
      <c r="AG83" s="2905"/>
      <c r="AH83" s="2906"/>
      <c r="AI83" s="1706"/>
      <c r="AJ83" s="2866" t="s">
        <v>2325</v>
      </c>
      <c r="AK83" s="2867"/>
      <c r="AL83" s="2867"/>
      <c r="AM83" s="2867"/>
      <c r="AN83" s="2867"/>
      <c r="AO83" s="2867"/>
      <c r="AP83" s="2867"/>
      <c r="AQ83" s="2867"/>
      <c r="AR83" s="2867"/>
      <c r="AS83" s="2867"/>
      <c r="AT83" s="2867"/>
      <c r="AU83" s="2867"/>
      <c r="AV83" s="2867"/>
      <c r="AW83" s="2867"/>
      <c r="AX83" s="2867"/>
      <c r="AY83" s="2867"/>
      <c r="AZ83" s="2867"/>
      <c r="BA83" s="2867"/>
      <c r="BB83" s="2868"/>
      <c r="BC83" s="1706"/>
      <c r="BD83" s="1706"/>
      <c r="BE83" s="1712"/>
    </row>
    <row r="84" spans="1:57" ht="15.75" customHeight="1" thickBot="1">
      <c r="A84" s="1706"/>
      <c r="B84" s="2872" t="s">
        <v>1942</v>
      </c>
      <c r="C84" s="2873"/>
      <c r="D84" s="2873"/>
      <c r="E84" s="2873"/>
      <c r="F84" s="2873"/>
      <c r="G84" s="2873"/>
      <c r="H84" s="2903"/>
      <c r="I84" s="2875"/>
      <c r="J84" s="2845"/>
      <c r="K84" s="2845"/>
      <c r="L84" s="2845"/>
      <c r="M84" s="2845"/>
      <c r="N84" s="2845"/>
      <c r="O84" s="2845"/>
      <c r="P84" s="2845"/>
      <c r="Q84" s="2845"/>
      <c r="R84" s="2845"/>
      <c r="S84" s="2845"/>
      <c r="T84" s="2845"/>
      <c r="U84" s="2845"/>
      <c r="V84" s="2845"/>
      <c r="W84" s="2845"/>
      <c r="X84" s="2845"/>
      <c r="Y84" s="2845"/>
      <c r="Z84" s="2845"/>
      <c r="AA84" s="2876"/>
      <c r="AB84" s="2845"/>
      <c r="AC84" s="2845"/>
      <c r="AD84" s="2845"/>
      <c r="AE84" s="2845"/>
      <c r="AF84" s="2845"/>
      <c r="AG84" s="2845"/>
      <c r="AH84" s="2904"/>
      <c r="AI84" s="1706"/>
      <c r="AJ84" s="2869"/>
      <c r="AK84" s="2870"/>
      <c r="AL84" s="2870"/>
      <c r="AM84" s="2870"/>
      <c r="AN84" s="2870"/>
      <c r="AO84" s="2870"/>
      <c r="AP84" s="2870"/>
      <c r="AQ84" s="2870"/>
      <c r="AR84" s="2870"/>
      <c r="AS84" s="2870"/>
      <c r="AT84" s="2870"/>
      <c r="AU84" s="2870"/>
      <c r="AV84" s="2870"/>
      <c r="AW84" s="2870"/>
      <c r="AX84" s="2870"/>
      <c r="AY84" s="2870"/>
      <c r="AZ84" s="2870"/>
      <c r="BA84" s="2870"/>
      <c r="BB84" s="287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6" t="s">
        <v>1944</v>
      </c>
      <c r="C88" s="2757"/>
      <c r="D88" s="2757"/>
      <c r="E88" s="2757"/>
      <c r="F88" s="2757"/>
      <c r="G88" s="2757"/>
      <c r="H88" s="2757"/>
      <c r="I88" s="2757"/>
      <c r="J88" s="2757"/>
      <c r="K88" s="2757"/>
      <c r="L88" s="2757"/>
      <c r="M88" s="2757"/>
      <c r="N88" s="2757"/>
      <c r="O88" s="2757"/>
      <c r="P88" s="2757"/>
      <c r="Q88" s="2757"/>
      <c r="R88" s="2757"/>
      <c r="S88" s="2757"/>
      <c r="T88" s="2757"/>
      <c r="U88" s="2757"/>
      <c r="V88" s="2757"/>
      <c r="W88" s="2757"/>
      <c r="X88" s="2757"/>
      <c r="Y88" s="2757"/>
      <c r="Z88" s="2757"/>
      <c r="AA88" s="2757"/>
      <c r="AB88" s="2757"/>
      <c r="AC88" s="2757"/>
      <c r="AD88" s="2757"/>
      <c r="AE88" s="2757"/>
      <c r="AF88" s="2757"/>
      <c r="AG88" s="2757"/>
      <c r="AH88" s="2758"/>
      <c r="AI88" s="1706"/>
      <c r="AJ88" s="2883" t="s">
        <v>2326</v>
      </c>
      <c r="AK88" s="2884"/>
      <c r="AL88" s="2884"/>
      <c r="AM88" s="2884"/>
      <c r="AN88" s="2884"/>
      <c r="AO88" s="2884"/>
      <c r="AP88" s="2884"/>
      <c r="AQ88" s="2884"/>
      <c r="AR88" s="2884"/>
      <c r="AS88" s="2884"/>
      <c r="AT88" s="2884"/>
      <c r="AU88" s="2884"/>
      <c r="AV88" s="2884"/>
      <c r="AW88" s="2884"/>
      <c r="AX88" s="2884"/>
      <c r="AY88" s="2826" t="s">
        <v>1890</v>
      </c>
      <c r="AZ88" s="2826"/>
      <c r="BA88" s="2826"/>
      <c r="BB88" s="2827"/>
      <c r="BC88" s="1706"/>
      <c r="BD88" s="1706"/>
      <c r="BE88" s="1712"/>
    </row>
    <row r="89" spans="1:57" ht="16.5" customHeight="1">
      <c r="A89" s="1706"/>
      <c r="B89" s="2756"/>
      <c r="C89" s="2757"/>
      <c r="D89" s="2757"/>
      <c r="E89" s="2757"/>
      <c r="F89" s="2757"/>
      <c r="G89" s="2757"/>
      <c r="H89" s="2757"/>
      <c r="I89" s="2893" t="s">
        <v>1939</v>
      </c>
      <c r="J89" s="2894"/>
      <c r="K89" s="2894"/>
      <c r="L89" s="2894"/>
      <c r="M89" s="2894"/>
      <c r="N89" s="2894"/>
      <c r="O89" s="2894" t="s">
        <v>1940</v>
      </c>
      <c r="P89" s="2894"/>
      <c r="Q89" s="2894"/>
      <c r="R89" s="2894"/>
      <c r="S89" s="2894"/>
      <c r="T89" s="2894"/>
      <c r="U89" s="2894"/>
      <c r="V89" s="2897" t="s">
        <v>2324</v>
      </c>
      <c r="W89" s="2897"/>
      <c r="X89" s="2897"/>
      <c r="Y89" s="2897"/>
      <c r="Z89" s="2897"/>
      <c r="AA89" s="2897"/>
      <c r="AB89" s="2899" t="s">
        <v>1941</v>
      </c>
      <c r="AC89" s="2899"/>
      <c r="AD89" s="2899"/>
      <c r="AE89" s="2899"/>
      <c r="AF89" s="2899"/>
      <c r="AG89" s="2899"/>
      <c r="AH89" s="2900"/>
      <c r="AI89" s="1706"/>
      <c r="AJ89" s="2885"/>
      <c r="AK89" s="2886"/>
      <c r="AL89" s="2886"/>
      <c r="AM89" s="2886"/>
      <c r="AN89" s="2886"/>
      <c r="AO89" s="2886"/>
      <c r="AP89" s="2886"/>
      <c r="AQ89" s="2886"/>
      <c r="AR89" s="2886"/>
      <c r="AS89" s="2886"/>
      <c r="AT89" s="2886"/>
      <c r="AU89" s="2886"/>
      <c r="AV89" s="2886"/>
      <c r="AW89" s="2886"/>
      <c r="AX89" s="2886"/>
      <c r="AY89" s="2889"/>
      <c r="AZ89" s="2889"/>
      <c r="BA89" s="2889"/>
      <c r="BB89" s="2890"/>
      <c r="BC89" s="1706"/>
      <c r="BD89" s="1706"/>
      <c r="BE89" s="1712"/>
    </row>
    <row r="90" spans="1:57" ht="16.5" customHeight="1" thickBot="1">
      <c r="A90" s="1706"/>
      <c r="B90" s="2808"/>
      <c r="C90" s="2809"/>
      <c r="D90" s="2809"/>
      <c r="E90" s="2809"/>
      <c r="F90" s="2809"/>
      <c r="G90" s="2809"/>
      <c r="H90" s="2809"/>
      <c r="I90" s="2895"/>
      <c r="J90" s="2896"/>
      <c r="K90" s="2896"/>
      <c r="L90" s="2896"/>
      <c r="M90" s="2896"/>
      <c r="N90" s="2896"/>
      <c r="O90" s="2896"/>
      <c r="P90" s="2896"/>
      <c r="Q90" s="2896"/>
      <c r="R90" s="2896"/>
      <c r="S90" s="2896"/>
      <c r="T90" s="2896"/>
      <c r="U90" s="2896"/>
      <c r="V90" s="2898"/>
      <c r="W90" s="2898"/>
      <c r="X90" s="2898"/>
      <c r="Y90" s="2898"/>
      <c r="Z90" s="2898"/>
      <c r="AA90" s="2898"/>
      <c r="AB90" s="2901"/>
      <c r="AC90" s="2901"/>
      <c r="AD90" s="2901"/>
      <c r="AE90" s="2901"/>
      <c r="AF90" s="2901"/>
      <c r="AG90" s="2901"/>
      <c r="AH90" s="2902"/>
      <c r="AI90" s="1706"/>
      <c r="AJ90" s="2885"/>
      <c r="AK90" s="2886"/>
      <c r="AL90" s="2886"/>
      <c r="AM90" s="2886"/>
      <c r="AN90" s="2886"/>
      <c r="AO90" s="2886"/>
      <c r="AP90" s="2886"/>
      <c r="AQ90" s="2886"/>
      <c r="AR90" s="2886"/>
      <c r="AS90" s="2886"/>
      <c r="AT90" s="2886"/>
      <c r="AU90" s="2886"/>
      <c r="AV90" s="2886"/>
      <c r="AW90" s="2886"/>
      <c r="AX90" s="2886"/>
      <c r="AY90" s="2889"/>
      <c r="AZ90" s="2889"/>
      <c r="BA90" s="2889"/>
      <c r="BB90" s="2890"/>
      <c r="BC90" s="1706"/>
      <c r="BD90" s="1706"/>
      <c r="BE90" s="1712"/>
    </row>
    <row r="91" spans="1:57" ht="15.75" customHeight="1" thickBot="1">
      <c r="A91" s="1706"/>
      <c r="B91" s="2750" t="s">
        <v>2303</v>
      </c>
      <c r="C91" s="2751"/>
      <c r="D91" s="2751"/>
      <c r="E91" s="2751"/>
      <c r="F91" s="2751"/>
      <c r="G91" s="2751"/>
      <c r="H91" s="2751"/>
      <c r="I91" s="2882"/>
      <c r="J91" s="2864"/>
      <c r="K91" s="2864"/>
      <c r="L91" s="2864"/>
      <c r="M91" s="2864"/>
      <c r="N91" s="2864"/>
      <c r="O91" s="2864"/>
      <c r="P91" s="2864"/>
      <c r="Q91" s="2864"/>
      <c r="R91" s="2864"/>
      <c r="S91" s="2864"/>
      <c r="T91" s="2864"/>
      <c r="U91" s="2864"/>
      <c r="V91" s="2864"/>
      <c r="W91" s="2864"/>
      <c r="X91" s="2864"/>
      <c r="Y91" s="2864"/>
      <c r="Z91" s="2864"/>
      <c r="AA91" s="2879"/>
      <c r="AB91" s="2880"/>
      <c r="AC91" s="2880"/>
      <c r="AD91" s="2880"/>
      <c r="AE91" s="2880"/>
      <c r="AF91" s="2880"/>
      <c r="AG91" s="2880"/>
      <c r="AH91" s="2881"/>
      <c r="AI91" s="1706"/>
      <c r="AJ91" s="2887"/>
      <c r="AK91" s="2888"/>
      <c r="AL91" s="2888"/>
      <c r="AM91" s="2888"/>
      <c r="AN91" s="2888"/>
      <c r="AO91" s="2888"/>
      <c r="AP91" s="2888"/>
      <c r="AQ91" s="2888"/>
      <c r="AR91" s="2888"/>
      <c r="AS91" s="2888"/>
      <c r="AT91" s="2888"/>
      <c r="AU91" s="2888"/>
      <c r="AV91" s="2888"/>
      <c r="AW91" s="2888"/>
      <c r="AX91" s="2888"/>
      <c r="AY91" s="2891"/>
      <c r="AZ91" s="2891"/>
      <c r="BA91" s="2891"/>
      <c r="BB91" s="2892"/>
      <c r="BC91" s="1706"/>
      <c r="BD91" s="1706"/>
      <c r="BE91" s="1712"/>
    </row>
    <row r="92" spans="1:57" ht="15.75" customHeight="1" thickBot="1">
      <c r="A92" s="1706"/>
      <c r="B92" s="2750" t="s">
        <v>2304</v>
      </c>
      <c r="C92" s="2751"/>
      <c r="D92" s="2751"/>
      <c r="E92" s="2751"/>
      <c r="F92" s="2751"/>
      <c r="G92" s="2751"/>
      <c r="H92" s="2751"/>
      <c r="I92" s="2882"/>
      <c r="J92" s="2864"/>
      <c r="K92" s="2864"/>
      <c r="L92" s="2864"/>
      <c r="M92" s="2864"/>
      <c r="N92" s="2864"/>
      <c r="O92" s="2864"/>
      <c r="P92" s="2864"/>
      <c r="Q92" s="2864"/>
      <c r="R92" s="2864"/>
      <c r="S92" s="2864"/>
      <c r="T92" s="2864"/>
      <c r="U92" s="2864"/>
      <c r="V92" s="2864"/>
      <c r="W92" s="2864"/>
      <c r="X92" s="2864"/>
      <c r="Y92" s="2864"/>
      <c r="Z92" s="2864"/>
      <c r="AA92" s="2879"/>
      <c r="AB92" s="2880"/>
      <c r="AC92" s="2880"/>
      <c r="AD92" s="2880"/>
      <c r="AE92" s="2880"/>
      <c r="AF92" s="2880"/>
      <c r="AG92" s="2880"/>
      <c r="AH92" s="2881"/>
      <c r="AI92" s="1706"/>
      <c r="AJ92" s="2866" t="s">
        <v>2325</v>
      </c>
      <c r="AK92" s="2867"/>
      <c r="AL92" s="2867"/>
      <c r="AM92" s="2867"/>
      <c r="AN92" s="2867"/>
      <c r="AO92" s="2867"/>
      <c r="AP92" s="2867"/>
      <c r="AQ92" s="2867"/>
      <c r="AR92" s="2867"/>
      <c r="AS92" s="2867"/>
      <c r="AT92" s="2867"/>
      <c r="AU92" s="2867"/>
      <c r="AV92" s="2867"/>
      <c r="AW92" s="2867"/>
      <c r="AX92" s="2867"/>
      <c r="AY92" s="2867"/>
      <c r="AZ92" s="2867"/>
      <c r="BA92" s="2867"/>
      <c r="BB92" s="2868"/>
      <c r="BC92" s="1706"/>
      <c r="BD92" s="1706"/>
      <c r="BE92" s="1712"/>
    </row>
    <row r="93" spans="1:57" ht="15.75" customHeight="1" thickBot="1">
      <c r="A93" s="1706"/>
      <c r="B93" s="2872" t="s">
        <v>1942</v>
      </c>
      <c r="C93" s="2873"/>
      <c r="D93" s="2873"/>
      <c r="E93" s="2873"/>
      <c r="F93" s="2873"/>
      <c r="G93" s="2873"/>
      <c r="H93" s="2874"/>
      <c r="I93" s="2875"/>
      <c r="J93" s="2845"/>
      <c r="K93" s="2845"/>
      <c r="L93" s="2845"/>
      <c r="M93" s="2845"/>
      <c r="N93" s="2845"/>
      <c r="O93" s="2845"/>
      <c r="P93" s="2845"/>
      <c r="Q93" s="2845"/>
      <c r="R93" s="2845"/>
      <c r="S93" s="2845"/>
      <c r="T93" s="2845"/>
      <c r="U93" s="2845"/>
      <c r="V93" s="2845"/>
      <c r="W93" s="2845"/>
      <c r="X93" s="2845"/>
      <c r="Y93" s="2845"/>
      <c r="Z93" s="2845"/>
      <c r="AA93" s="2876"/>
      <c r="AB93" s="2877"/>
      <c r="AC93" s="2877"/>
      <c r="AD93" s="2877"/>
      <c r="AE93" s="2877"/>
      <c r="AF93" s="2877"/>
      <c r="AG93" s="2877"/>
      <c r="AH93" s="2878"/>
      <c r="AI93" s="1706"/>
      <c r="AJ93" s="2869"/>
      <c r="AK93" s="2870"/>
      <c r="AL93" s="2870"/>
      <c r="AM93" s="2870"/>
      <c r="AN93" s="2870"/>
      <c r="AO93" s="2870"/>
      <c r="AP93" s="2870"/>
      <c r="AQ93" s="2870"/>
      <c r="AR93" s="2870"/>
      <c r="AS93" s="2870"/>
      <c r="AT93" s="2870"/>
      <c r="AU93" s="2870"/>
      <c r="AV93" s="2870"/>
      <c r="AW93" s="2870"/>
      <c r="AX93" s="2870"/>
      <c r="AY93" s="2870"/>
      <c r="AZ93" s="2870"/>
      <c r="BA93" s="2870"/>
      <c r="BB93" s="287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8" t="s">
        <v>2305</v>
      </c>
      <c r="Y96" s="2849"/>
      <c r="Z96" s="2849"/>
      <c r="AA96" s="2849"/>
      <c r="AB96" s="2849"/>
      <c r="AC96" s="2849"/>
      <c r="AD96" s="2849"/>
      <c r="AE96" s="2849"/>
      <c r="AF96" s="2849"/>
      <c r="AG96" s="2849"/>
      <c r="AH96" s="2849"/>
      <c r="AI96" s="2849"/>
      <c r="AJ96" s="2849"/>
      <c r="AK96" s="2849"/>
      <c r="AL96" s="2849"/>
      <c r="AM96" s="2849"/>
      <c r="AN96" s="2849"/>
      <c r="AO96" s="2849"/>
      <c r="AP96" s="2849"/>
      <c r="AQ96" s="2849"/>
      <c r="AR96" s="2849"/>
      <c r="AS96" s="2849"/>
      <c r="AT96" s="2849"/>
      <c r="AU96" s="2849"/>
      <c r="AV96" s="2849"/>
      <c r="AW96" s="2849"/>
      <c r="AX96" s="2849"/>
      <c r="AY96" s="2849"/>
      <c r="AZ96" s="2849"/>
      <c r="BA96" s="2849"/>
      <c r="BB96" s="2849"/>
      <c r="BC96" s="2849"/>
      <c r="BD96" s="2850"/>
      <c r="BE96" s="1712"/>
    </row>
    <row r="97" spans="1:57" ht="15.75" customHeight="1" thickBot="1">
      <c r="A97" s="1706"/>
      <c r="B97" s="2750" t="s">
        <v>1781</v>
      </c>
      <c r="C97" s="2751"/>
      <c r="D97" s="2751"/>
      <c r="E97" s="2751"/>
      <c r="F97" s="2751"/>
      <c r="G97" s="2751"/>
      <c r="H97" s="2751"/>
      <c r="I97" s="2751"/>
      <c r="J97" s="2751"/>
      <c r="K97" s="2751"/>
      <c r="L97" s="2751"/>
      <c r="M97" s="2751"/>
      <c r="N97" s="2751"/>
      <c r="O97" s="2751"/>
      <c r="P97" s="2751"/>
      <c r="Q97" s="2751"/>
      <c r="R97" s="2751"/>
      <c r="S97" s="2751"/>
      <c r="T97" s="2751"/>
      <c r="U97" s="2752"/>
      <c r="V97" s="1706"/>
      <c r="W97" s="1706"/>
      <c r="X97" s="2851"/>
      <c r="Y97" s="2852"/>
      <c r="Z97" s="2852"/>
      <c r="AA97" s="2852"/>
      <c r="AB97" s="2852"/>
      <c r="AC97" s="2852"/>
      <c r="AD97" s="2852"/>
      <c r="AE97" s="2852"/>
      <c r="AF97" s="2852"/>
      <c r="AG97" s="2852"/>
      <c r="AH97" s="2852"/>
      <c r="AI97" s="2852"/>
      <c r="AJ97" s="2852"/>
      <c r="AK97" s="2852"/>
      <c r="AL97" s="2852"/>
      <c r="AM97" s="2852"/>
      <c r="AN97" s="2852"/>
      <c r="AO97" s="2852"/>
      <c r="AP97" s="2852"/>
      <c r="AQ97" s="2852"/>
      <c r="AR97" s="2852"/>
      <c r="AS97" s="2852"/>
      <c r="AT97" s="2852"/>
      <c r="AU97" s="2852"/>
      <c r="AV97" s="2852"/>
      <c r="AW97" s="2852"/>
      <c r="AX97" s="2852"/>
      <c r="AY97" s="2852"/>
      <c r="AZ97" s="2852"/>
      <c r="BA97" s="2852"/>
      <c r="BB97" s="2852"/>
      <c r="BC97" s="2852"/>
      <c r="BD97" s="2853"/>
      <c r="BE97" s="1712"/>
    </row>
    <row r="98" spans="1:57" ht="15.75" customHeight="1" thickBot="1">
      <c r="A98" s="1706"/>
      <c r="B98" s="2750"/>
      <c r="C98" s="2751"/>
      <c r="D98" s="2751"/>
      <c r="E98" s="2751"/>
      <c r="F98" s="2751"/>
      <c r="G98" s="2751"/>
      <c r="H98" s="2752"/>
      <c r="I98" s="2750" t="s">
        <v>2306</v>
      </c>
      <c r="J98" s="2751"/>
      <c r="K98" s="2751"/>
      <c r="L98" s="2751"/>
      <c r="M98" s="2751"/>
      <c r="N98" s="2752"/>
      <c r="O98" s="2854" t="s">
        <v>2307</v>
      </c>
      <c r="P98" s="2855"/>
      <c r="Q98" s="2855"/>
      <c r="R98" s="2855"/>
      <c r="S98" s="2855"/>
      <c r="T98" s="2855"/>
      <c r="U98" s="2856"/>
      <c r="V98" s="1706"/>
      <c r="W98" s="1706"/>
      <c r="X98" s="2857" t="s">
        <v>2322</v>
      </c>
      <c r="Y98" s="2858"/>
      <c r="Z98" s="2858"/>
      <c r="AA98" s="2858"/>
      <c r="AB98" s="2858"/>
      <c r="AC98" s="2858"/>
      <c r="AD98" s="2858"/>
      <c r="AE98" s="2858"/>
      <c r="AF98" s="2858"/>
      <c r="AG98" s="2858"/>
      <c r="AH98" s="2858"/>
      <c r="AI98" s="2858"/>
      <c r="AJ98" s="2858"/>
      <c r="AK98" s="2858"/>
      <c r="AL98" s="2858"/>
      <c r="AM98" s="2858"/>
      <c r="AN98" s="2858"/>
      <c r="AO98" s="2858"/>
      <c r="AP98" s="2858"/>
      <c r="AQ98" s="2858"/>
      <c r="AR98" s="2858"/>
      <c r="AS98" s="2858"/>
      <c r="AT98" s="2858"/>
      <c r="AU98" s="2858"/>
      <c r="AV98" s="2858"/>
      <c r="AW98" s="2858"/>
      <c r="AX98" s="2858"/>
      <c r="AY98" s="2858"/>
      <c r="AZ98" s="2858"/>
      <c r="BA98" s="2858"/>
      <c r="BB98" s="2858"/>
      <c r="BC98" s="2858"/>
      <c r="BD98" s="2859"/>
      <c r="BE98" s="1712"/>
    </row>
    <row r="99" spans="1:57" ht="15.75" customHeight="1" thickBot="1">
      <c r="A99" s="1706"/>
      <c r="B99" s="2788" t="s">
        <v>2308</v>
      </c>
      <c r="C99" s="2789"/>
      <c r="D99" s="2789"/>
      <c r="E99" s="2789"/>
      <c r="F99" s="2789"/>
      <c r="G99" s="2789"/>
      <c r="H99" s="2790"/>
      <c r="I99" s="2863"/>
      <c r="J99" s="2864"/>
      <c r="K99" s="2864"/>
      <c r="L99" s="2864"/>
      <c r="M99" s="2864"/>
      <c r="N99" s="2864"/>
      <c r="O99" s="2864"/>
      <c r="P99" s="2864"/>
      <c r="Q99" s="2864"/>
      <c r="R99" s="2864"/>
      <c r="S99" s="2864"/>
      <c r="T99" s="2864"/>
      <c r="U99" s="2865"/>
      <c r="V99" s="1706"/>
      <c r="W99" s="1706"/>
      <c r="X99" s="2857"/>
      <c r="Y99" s="2858"/>
      <c r="Z99" s="2858"/>
      <c r="AA99" s="2858"/>
      <c r="AB99" s="2858"/>
      <c r="AC99" s="2858"/>
      <c r="AD99" s="2858"/>
      <c r="AE99" s="2858"/>
      <c r="AF99" s="2858"/>
      <c r="AG99" s="2858"/>
      <c r="AH99" s="2858"/>
      <c r="AI99" s="2858"/>
      <c r="AJ99" s="2858"/>
      <c r="AK99" s="2858"/>
      <c r="AL99" s="2858"/>
      <c r="AM99" s="2858"/>
      <c r="AN99" s="2858"/>
      <c r="AO99" s="2858"/>
      <c r="AP99" s="2858"/>
      <c r="AQ99" s="2858"/>
      <c r="AR99" s="2858"/>
      <c r="AS99" s="2858"/>
      <c r="AT99" s="2858"/>
      <c r="AU99" s="2858"/>
      <c r="AV99" s="2858"/>
      <c r="AW99" s="2858"/>
      <c r="AX99" s="2858"/>
      <c r="AY99" s="2858"/>
      <c r="AZ99" s="2858"/>
      <c r="BA99" s="2858"/>
      <c r="BB99" s="2858"/>
      <c r="BC99" s="2858"/>
      <c r="BD99" s="2859"/>
      <c r="BE99" s="1712"/>
    </row>
    <row r="100" spans="1:57" ht="15.75" customHeight="1" thickBot="1">
      <c r="A100" s="1706"/>
      <c r="B100" s="2788" t="s">
        <v>2309</v>
      </c>
      <c r="C100" s="2789"/>
      <c r="D100" s="2789"/>
      <c r="E100" s="2789"/>
      <c r="F100" s="2789"/>
      <c r="G100" s="2789"/>
      <c r="H100" s="2790"/>
      <c r="I100" s="2844"/>
      <c r="J100" s="2845"/>
      <c r="K100" s="2845"/>
      <c r="L100" s="2845"/>
      <c r="M100" s="2845"/>
      <c r="N100" s="2845"/>
      <c r="O100" s="2846"/>
      <c r="P100" s="2846"/>
      <c r="Q100" s="2846"/>
      <c r="R100" s="2846"/>
      <c r="S100" s="2846"/>
      <c r="T100" s="2846"/>
      <c r="U100" s="2847"/>
      <c r="V100" s="1706"/>
      <c r="W100" s="1706"/>
      <c r="X100" s="2857"/>
      <c r="Y100" s="2858"/>
      <c r="Z100" s="2858"/>
      <c r="AA100" s="2858"/>
      <c r="AB100" s="2858"/>
      <c r="AC100" s="2858"/>
      <c r="AD100" s="2858"/>
      <c r="AE100" s="2858"/>
      <c r="AF100" s="2858"/>
      <c r="AG100" s="2858"/>
      <c r="AH100" s="2858"/>
      <c r="AI100" s="2858"/>
      <c r="AJ100" s="2858"/>
      <c r="AK100" s="2858"/>
      <c r="AL100" s="2858"/>
      <c r="AM100" s="2858"/>
      <c r="AN100" s="2858"/>
      <c r="AO100" s="2858"/>
      <c r="AP100" s="2858"/>
      <c r="AQ100" s="2858"/>
      <c r="AR100" s="2858"/>
      <c r="AS100" s="2858"/>
      <c r="AT100" s="2858"/>
      <c r="AU100" s="2858"/>
      <c r="AV100" s="2858"/>
      <c r="AW100" s="2858"/>
      <c r="AX100" s="2858"/>
      <c r="AY100" s="2858"/>
      <c r="AZ100" s="2858"/>
      <c r="BA100" s="2858"/>
      <c r="BB100" s="2858"/>
      <c r="BC100" s="2858"/>
      <c r="BD100" s="2859"/>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7"/>
      <c r="Y101" s="2858"/>
      <c r="Z101" s="2858"/>
      <c r="AA101" s="2858"/>
      <c r="AB101" s="2858"/>
      <c r="AC101" s="2858"/>
      <c r="AD101" s="2858"/>
      <c r="AE101" s="2858"/>
      <c r="AF101" s="2858"/>
      <c r="AG101" s="2858"/>
      <c r="AH101" s="2858"/>
      <c r="AI101" s="2858"/>
      <c r="AJ101" s="2858"/>
      <c r="AK101" s="2858"/>
      <c r="AL101" s="2858"/>
      <c r="AM101" s="2858"/>
      <c r="AN101" s="2858"/>
      <c r="AO101" s="2858"/>
      <c r="AP101" s="2858"/>
      <c r="AQ101" s="2858"/>
      <c r="AR101" s="2858"/>
      <c r="AS101" s="2858"/>
      <c r="AT101" s="2858"/>
      <c r="AU101" s="2858"/>
      <c r="AV101" s="2858"/>
      <c r="AW101" s="2858"/>
      <c r="AX101" s="2858"/>
      <c r="AY101" s="2858"/>
      <c r="AZ101" s="2858"/>
      <c r="BA101" s="2858"/>
      <c r="BB101" s="2858"/>
      <c r="BC101" s="2858"/>
      <c r="BD101" s="2859"/>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57"/>
      <c r="Y102" s="2858"/>
      <c r="Z102" s="2858"/>
      <c r="AA102" s="2858"/>
      <c r="AB102" s="2858"/>
      <c r="AC102" s="2858"/>
      <c r="AD102" s="2858"/>
      <c r="AE102" s="2858"/>
      <c r="AF102" s="2858"/>
      <c r="AG102" s="2858"/>
      <c r="AH102" s="2858"/>
      <c r="AI102" s="2858"/>
      <c r="AJ102" s="2858"/>
      <c r="AK102" s="2858"/>
      <c r="AL102" s="2858"/>
      <c r="AM102" s="2858"/>
      <c r="AN102" s="2858"/>
      <c r="AO102" s="2858"/>
      <c r="AP102" s="2858"/>
      <c r="AQ102" s="2858"/>
      <c r="AR102" s="2858"/>
      <c r="AS102" s="2858"/>
      <c r="AT102" s="2858"/>
      <c r="AU102" s="2858"/>
      <c r="AV102" s="2858"/>
      <c r="AW102" s="2858"/>
      <c r="AX102" s="2858"/>
      <c r="AY102" s="2858"/>
      <c r="AZ102" s="2858"/>
      <c r="BA102" s="2858"/>
      <c r="BB102" s="2858"/>
      <c r="BC102" s="2858"/>
      <c r="BD102" s="2859"/>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7"/>
      <c r="Y103" s="2858"/>
      <c r="Z103" s="2858"/>
      <c r="AA103" s="2858"/>
      <c r="AB103" s="2858"/>
      <c r="AC103" s="2858"/>
      <c r="AD103" s="2858"/>
      <c r="AE103" s="2858"/>
      <c r="AF103" s="2858"/>
      <c r="AG103" s="2858"/>
      <c r="AH103" s="2858"/>
      <c r="AI103" s="2858"/>
      <c r="AJ103" s="2858"/>
      <c r="AK103" s="2858"/>
      <c r="AL103" s="2858"/>
      <c r="AM103" s="2858"/>
      <c r="AN103" s="2858"/>
      <c r="AO103" s="2858"/>
      <c r="AP103" s="2858"/>
      <c r="AQ103" s="2858"/>
      <c r="AR103" s="2858"/>
      <c r="AS103" s="2858"/>
      <c r="AT103" s="2858"/>
      <c r="AU103" s="2858"/>
      <c r="AV103" s="2858"/>
      <c r="AW103" s="2858"/>
      <c r="AX103" s="2858"/>
      <c r="AY103" s="2858"/>
      <c r="AZ103" s="2858"/>
      <c r="BA103" s="2858"/>
      <c r="BB103" s="2858"/>
      <c r="BC103" s="2858"/>
      <c r="BD103" s="2859"/>
      <c r="BE103" s="1712"/>
    </row>
    <row r="104" spans="1:57" ht="15.75" customHeight="1">
      <c r="A104" s="1706"/>
      <c r="B104" s="2794" t="s">
        <v>1947</v>
      </c>
      <c r="C104" s="2795"/>
      <c r="D104" s="2795"/>
      <c r="E104" s="2795"/>
      <c r="F104" s="2795"/>
      <c r="G104" s="2795"/>
      <c r="H104" s="2795"/>
      <c r="I104" s="2795"/>
      <c r="J104" s="2795"/>
      <c r="K104" s="2795"/>
      <c r="L104" s="2795"/>
      <c r="M104" s="2795"/>
      <c r="N104" s="2795"/>
      <c r="O104" s="2795"/>
      <c r="P104" s="2795"/>
      <c r="Q104" s="2795"/>
      <c r="R104" s="2795"/>
      <c r="S104" s="2795"/>
      <c r="T104" s="2795"/>
      <c r="U104" s="2843"/>
      <c r="V104" s="1706"/>
      <c r="W104" s="1706"/>
      <c r="X104" s="2857"/>
      <c r="Y104" s="2858"/>
      <c r="Z104" s="2858"/>
      <c r="AA104" s="2858"/>
      <c r="AB104" s="2858"/>
      <c r="AC104" s="2858"/>
      <c r="AD104" s="2858"/>
      <c r="AE104" s="2858"/>
      <c r="AF104" s="2858"/>
      <c r="AG104" s="2858"/>
      <c r="AH104" s="2858"/>
      <c r="AI104" s="2858"/>
      <c r="AJ104" s="2858"/>
      <c r="AK104" s="2858"/>
      <c r="AL104" s="2858"/>
      <c r="AM104" s="2858"/>
      <c r="AN104" s="2858"/>
      <c r="AO104" s="2858"/>
      <c r="AP104" s="2858"/>
      <c r="AQ104" s="2858"/>
      <c r="AR104" s="2858"/>
      <c r="AS104" s="2858"/>
      <c r="AT104" s="2858"/>
      <c r="AU104" s="2858"/>
      <c r="AV104" s="2858"/>
      <c r="AW104" s="2858"/>
      <c r="AX104" s="2858"/>
      <c r="AY104" s="2858"/>
      <c r="AZ104" s="2858"/>
      <c r="BA104" s="2858"/>
      <c r="BB104" s="2858"/>
      <c r="BC104" s="2858"/>
      <c r="BD104" s="2859"/>
      <c r="BE104" s="1712"/>
    </row>
    <row r="105" spans="1:57" ht="15.75" customHeight="1">
      <c r="A105" s="1706"/>
      <c r="B105" s="2805"/>
      <c r="C105" s="2806"/>
      <c r="D105" s="2806"/>
      <c r="E105" s="2806"/>
      <c r="F105" s="2806"/>
      <c r="G105" s="2806"/>
      <c r="H105" s="2807"/>
      <c r="I105" s="2811" t="s">
        <v>1940</v>
      </c>
      <c r="J105" s="2812"/>
      <c r="K105" s="2812"/>
      <c r="L105" s="2812"/>
      <c r="M105" s="2812"/>
      <c r="N105" s="2812"/>
      <c r="O105" s="2813"/>
      <c r="P105" s="2817" t="s">
        <v>2324</v>
      </c>
      <c r="Q105" s="2818"/>
      <c r="R105" s="2818"/>
      <c r="S105" s="2818"/>
      <c r="T105" s="2818"/>
      <c r="U105" s="2819"/>
      <c r="V105" s="1706"/>
      <c r="W105" s="1706"/>
      <c r="X105" s="2857"/>
      <c r="Y105" s="2858"/>
      <c r="Z105" s="2858"/>
      <c r="AA105" s="2858"/>
      <c r="AB105" s="2858"/>
      <c r="AC105" s="2858"/>
      <c r="AD105" s="2858"/>
      <c r="AE105" s="2858"/>
      <c r="AF105" s="2858"/>
      <c r="AG105" s="2858"/>
      <c r="AH105" s="2858"/>
      <c r="AI105" s="2858"/>
      <c r="AJ105" s="2858"/>
      <c r="AK105" s="2858"/>
      <c r="AL105" s="2858"/>
      <c r="AM105" s="2858"/>
      <c r="AN105" s="2858"/>
      <c r="AO105" s="2858"/>
      <c r="AP105" s="2858"/>
      <c r="AQ105" s="2858"/>
      <c r="AR105" s="2858"/>
      <c r="AS105" s="2858"/>
      <c r="AT105" s="2858"/>
      <c r="AU105" s="2858"/>
      <c r="AV105" s="2858"/>
      <c r="AW105" s="2858"/>
      <c r="AX105" s="2858"/>
      <c r="AY105" s="2858"/>
      <c r="AZ105" s="2858"/>
      <c r="BA105" s="2858"/>
      <c r="BB105" s="2858"/>
      <c r="BC105" s="2858"/>
      <c r="BD105" s="2859"/>
      <c r="BE105" s="1712"/>
    </row>
    <row r="106" spans="1:57" ht="15.75" customHeight="1" thickBot="1">
      <c r="A106" s="1706"/>
      <c r="B106" s="2808"/>
      <c r="C106" s="2809"/>
      <c r="D106" s="2809"/>
      <c r="E106" s="2809"/>
      <c r="F106" s="2809"/>
      <c r="G106" s="2809"/>
      <c r="H106" s="2810"/>
      <c r="I106" s="2814"/>
      <c r="J106" s="2815"/>
      <c r="K106" s="2815"/>
      <c r="L106" s="2815"/>
      <c r="M106" s="2815"/>
      <c r="N106" s="2815"/>
      <c r="O106" s="2816"/>
      <c r="P106" s="2820"/>
      <c r="Q106" s="2821"/>
      <c r="R106" s="2821"/>
      <c r="S106" s="2821"/>
      <c r="T106" s="2821"/>
      <c r="U106" s="2822"/>
      <c r="V106" s="1706"/>
      <c r="W106" s="1706"/>
      <c r="X106" s="2857"/>
      <c r="Y106" s="2858"/>
      <c r="Z106" s="2858"/>
      <c r="AA106" s="2858"/>
      <c r="AB106" s="2858"/>
      <c r="AC106" s="2858"/>
      <c r="AD106" s="2858"/>
      <c r="AE106" s="2858"/>
      <c r="AF106" s="2858"/>
      <c r="AG106" s="2858"/>
      <c r="AH106" s="2858"/>
      <c r="AI106" s="2858"/>
      <c r="AJ106" s="2858"/>
      <c r="AK106" s="2858"/>
      <c r="AL106" s="2858"/>
      <c r="AM106" s="2858"/>
      <c r="AN106" s="2858"/>
      <c r="AO106" s="2858"/>
      <c r="AP106" s="2858"/>
      <c r="AQ106" s="2858"/>
      <c r="AR106" s="2858"/>
      <c r="AS106" s="2858"/>
      <c r="AT106" s="2858"/>
      <c r="AU106" s="2858"/>
      <c r="AV106" s="2858"/>
      <c r="AW106" s="2858"/>
      <c r="AX106" s="2858"/>
      <c r="AY106" s="2858"/>
      <c r="AZ106" s="2858"/>
      <c r="BA106" s="2858"/>
      <c r="BB106" s="2858"/>
      <c r="BC106" s="2858"/>
      <c r="BD106" s="2859"/>
      <c r="BE106" s="1712"/>
    </row>
    <row r="107" spans="1:57" ht="15.75" customHeight="1" thickBot="1">
      <c r="A107" s="1706"/>
      <c r="B107" s="2788" t="s">
        <v>2308</v>
      </c>
      <c r="C107" s="2789"/>
      <c r="D107" s="2789"/>
      <c r="E107" s="2789"/>
      <c r="F107" s="2789"/>
      <c r="G107" s="2789"/>
      <c r="H107" s="2790"/>
      <c r="I107" s="2791"/>
      <c r="J107" s="2792"/>
      <c r="K107" s="2792"/>
      <c r="L107" s="2792"/>
      <c r="M107" s="2792"/>
      <c r="N107" s="2792"/>
      <c r="O107" s="2793"/>
      <c r="P107" s="2791"/>
      <c r="Q107" s="2792"/>
      <c r="R107" s="2792"/>
      <c r="S107" s="2792"/>
      <c r="T107" s="2792"/>
      <c r="U107" s="2793"/>
      <c r="V107" s="1706"/>
      <c r="W107" s="1706"/>
      <c r="X107" s="2857"/>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8"/>
      <c r="AY107" s="2858"/>
      <c r="AZ107" s="2858"/>
      <c r="BA107" s="2858"/>
      <c r="BB107" s="2858"/>
      <c r="BC107" s="2858"/>
      <c r="BD107" s="2859"/>
      <c r="BE107" s="1712"/>
    </row>
    <row r="108" spans="1:57" ht="15.75" customHeight="1" thickBot="1">
      <c r="A108" s="1706"/>
      <c r="B108" s="2788" t="s">
        <v>2309</v>
      </c>
      <c r="C108" s="2789"/>
      <c r="D108" s="2789"/>
      <c r="E108" s="2789"/>
      <c r="F108" s="2789"/>
      <c r="G108" s="2789"/>
      <c r="H108" s="2790"/>
      <c r="I108" s="2791"/>
      <c r="J108" s="2792"/>
      <c r="K108" s="2792"/>
      <c r="L108" s="2792"/>
      <c r="M108" s="2792"/>
      <c r="N108" s="2792"/>
      <c r="O108" s="2793"/>
      <c r="P108" s="2791"/>
      <c r="Q108" s="2792"/>
      <c r="R108" s="2792"/>
      <c r="S108" s="2792"/>
      <c r="T108" s="2792"/>
      <c r="U108" s="2793"/>
      <c r="V108" s="1706"/>
      <c r="W108" s="1706"/>
      <c r="X108" s="2860"/>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1"/>
      <c r="AY108" s="2861"/>
      <c r="AZ108" s="2861"/>
      <c r="BA108" s="2861"/>
      <c r="BB108" s="2861"/>
      <c r="BC108" s="2861"/>
      <c r="BD108" s="2862"/>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3" t="s">
        <v>1948</v>
      </c>
      <c r="C110" s="2824"/>
      <c r="D110" s="2824"/>
      <c r="E110" s="2824"/>
      <c r="F110" s="2824"/>
      <c r="G110" s="2824"/>
      <c r="H110" s="2824"/>
      <c r="I110" s="2824"/>
      <c r="J110" s="2824"/>
      <c r="K110" s="2824"/>
      <c r="L110" s="2824"/>
      <c r="M110" s="2824"/>
      <c r="N110" s="2824"/>
      <c r="O110" s="2824"/>
      <c r="P110" s="2824"/>
      <c r="Q110" s="2824"/>
      <c r="R110" s="2825"/>
      <c r="S110" s="2825"/>
      <c r="T110" s="2825"/>
      <c r="U110" s="2825"/>
      <c r="V110" s="2825"/>
      <c r="W110" s="2825"/>
      <c r="X110" s="2825"/>
      <c r="Y110" s="2825"/>
      <c r="Z110" s="2825"/>
      <c r="AA110" s="2825"/>
      <c r="AB110" s="2825"/>
      <c r="AC110" s="2825"/>
      <c r="AD110" s="2825"/>
      <c r="AE110" s="2825"/>
      <c r="AF110" s="2825"/>
      <c r="AG110" s="2826" t="s">
        <v>1890</v>
      </c>
      <c r="AH110" s="2826"/>
      <c r="AI110" s="2826"/>
      <c r="AJ110" s="282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8" t="s">
        <v>1949</v>
      </c>
      <c r="C111" s="2829"/>
      <c r="D111" s="2829"/>
      <c r="E111" s="2829"/>
      <c r="F111" s="2829"/>
      <c r="G111" s="2829"/>
      <c r="H111" s="2829"/>
      <c r="I111" s="2829"/>
      <c r="J111" s="2829"/>
      <c r="K111" s="2829"/>
      <c r="L111" s="2829"/>
      <c r="M111" s="2829"/>
      <c r="N111" s="2829"/>
      <c r="O111" s="2829"/>
      <c r="P111" s="2829"/>
      <c r="Q111" s="2830"/>
      <c r="R111" s="2831" t="s">
        <v>2327</v>
      </c>
      <c r="S111" s="2832"/>
      <c r="T111" s="2832"/>
      <c r="U111" s="2832"/>
      <c r="V111" s="2832"/>
      <c r="W111" s="2832"/>
      <c r="X111" s="2832"/>
      <c r="Y111" s="2832"/>
      <c r="Z111" s="2832"/>
      <c r="AA111" s="2832"/>
      <c r="AB111" s="2832"/>
      <c r="AC111" s="2832"/>
      <c r="AD111" s="2832"/>
      <c r="AE111" s="2832"/>
      <c r="AF111" s="2832"/>
      <c r="AG111" s="2832"/>
      <c r="AH111" s="2832"/>
      <c r="AI111" s="2832"/>
      <c r="AJ111" s="2832"/>
      <c r="AK111" s="2832"/>
      <c r="AL111" s="2832"/>
      <c r="AM111" s="2832"/>
      <c r="AN111" s="2832"/>
      <c r="AO111" s="2832"/>
      <c r="AP111" s="2832"/>
      <c r="AQ111" s="2832"/>
      <c r="AR111" s="2832"/>
      <c r="AS111" s="2832"/>
      <c r="AT111" s="2832"/>
      <c r="AU111" s="2832"/>
      <c r="AV111" s="2832"/>
      <c r="AW111" s="2832"/>
      <c r="AX111" s="2833"/>
      <c r="AY111" s="1706"/>
      <c r="AZ111" s="1706"/>
      <c r="BA111" s="1706"/>
      <c r="BB111" s="1706"/>
      <c r="BC111" s="1706" t="s">
        <v>255</v>
      </c>
      <c r="BD111" s="1706"/>
      <c r="BE111" s="1712"/>
    </row>
    <row r="112" spans="1:57" ht="15.75" customHeight="1">
      <c r="A112" s="1706"/>
      <c r="B112" s="2834" t="s">
        <v>2328</v>
      </c>
      <c r="C112" s="2835"/>
      <c r="D112" s="2835"/>
      <c r="E112" s="2835"/>
      <c r="F112" s="2835"/>
      <c r="G112" s="2835"/>
      <c r="H112" s="2835"/>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35"/>
      <c r="AD112" s="2835"/>
      <c r="AE112" s="2835"/>
      <c r="AF112" s="2835"/>
      <c r="AG112" s="2835"/>
      <c r="AH112" s="2835"/>
      <c r="AI112" s="2835"/>
      <c r="AJ112" s="2835"/>
      <c r="AK112" s="2835"/>
      <c r="AL112" s="2835"/>
      <c r="AM112" s="2835"/>
      <c r="AN112" s="2835"/>
      <c r="AO112" s="2835"/>
      <c r="AP112" s="2835"/>
      <c r="AQ112" s="2835"/>
      <c r="AR112" s="2835"/>
      <c r="AS112" s="2835"/>
      <c r="AT112" s="2835"/>
      <c r="AU112" s="2835"/>
      <c r="AV112" s="2835"/>
      <c r="AW112" s="2835"/>
      <c r="AX112" s="2836"/>
      <c r="AY112" s="1706"/>
      <c r="AZ112" s="1706"/>
      <c r="BA112" s="1706"/>
      <c r="BB112" s="1706"/>
      <c r="BC112" s="1706"/>
      <c r="BD112" s="1706"/>
      <c r="BE112" s="1712"/>
    </row>
    <row r="113" spans="1:57" ht="15.75" customHeight="1">
      <c r="A113" s="1706"/>
      <c r="B113" s="2837"/>
      <c r="C113" s="2838"/>
      <c r="D113" s="2838"/>
      <c r="E113" s="2838"/>
      <c r="F113" s="2838"/>
      <c r="G113" s="2838"/>
      <c r="H113" s="2838"/>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38"/>
      <c r="AD113" s="2838"/>
      <c r="AE113" s="2838"/>
      <c r="AF113" s="2838"/>
      <c r="AG113" s="2838"/>
      <c r="AH113" s="2838"/>
      <c r="AI113" s="2838"/>
      <c r="AJ113" s="2838"/>
      <c r="AK113" s="2838"/>
      <c r="AL113" s="2838"/>
      <c r="AM113" s="2838"/>
      <c r="AN113" s="2838"/>
      <c r="AO113" s="2838"/>
      <c r="AP113" s="2838"/>
      <c r="AQ113" s="2838"/>
      <c r="AR113" s="2838"/>
      <c r="AS113" s="2838"/>
      <c r="AT113" s="2838"/>
      <c r="AU113" s="2838"/>
      <c r="AV113" s="2838"/>
      <c r="AW113" s="2838"/>
      <c r="AX113" s="2839"/>
      <c r="AY113" s="1706"/>
      <c r="AZ113" s="1706"/>
      <c r="BA113" s="1706"/>
      <c r="BB113" s="1706"/>
      <c r="BC113" s="1706"/>
      <c r="BD113" s="1706"/>
      <c r="BE113" s="1712"/>
    </row>
    <row r="114" spans="1:57" ht="15.75" customHeight="1">
      <c r="A114" s="1706"/>
      <c r="B114" s="2837"/>
      <c r="C114" s="2838"/>
      <c r="D114" s="2838"/>
      <c r="E114" s="2838"/>
      <c r="F114" s="2838"/>
      <c r="G114" s="2838"/>
      <c r="H114" s="2838"/>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38"/>
      <c r="AD114" s="2838"/>
      <c r="AE114" s="2838"/>
      <c r="AF114" s="2838"/>
      <c r="AG114" s="2838"/>
      <c r="AH114" s="2838"/>
      <c r="AI114" s="2838"/>
      <c r="AJ114" s="2838"/>
      <c r="AK114" s="2838"/>
      <c r="AL114" s="2838"/>
      <c r="AM114" s="2838"/>
      <c r="AN114" s="2838"/>
      <c r="AO114" s="2838"/>
      <c r="AP114" s="2838"/>
      <c r="AQ114" s="2838"/>
      <c r="AR114" s="2838"/>
      <c r="AS114" s="2838"/>
      <c r="AT114" s="2838"/>
      <c r="AU114" s="2838"/>
      <c r="AV114" s="2838"/>
      <c r="AW114" s="2838"/>
      <c r="AX114" s="2839"/>
      <c r="AY114" s="1706"/>
      <c r="AZ114" s="1706"/>
      <c r="BA114" s="1706"/>
      <c r="BB114" s="1706"/>
      <c r="BC114" s="1706"/>
      <c r="BD114" s="1706"/>
      <c r="BE114" s="1712"/>
    </row>
    <row r="115" spans="1:57" ht="15.75" customHeight="1">
      <c r="A115" s="1706"/>
      <c r="B115" s="2837"/>
      <c r="C115" s="2838"/>
      <c r="D115" s="2838"/>
      <c r="E115" s="2838"/>
      <c r="F115" s="2838"/>
      <c r="G115" s="2838"/>
      <c r="H115" s="2838"/>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38"/>
      <c r="AD115" s="2838"/>
      <c r="AE115" s="2838"/>
      <c r="AF115" s="2838"/>
      <c r="AG115" s="2838"/>
      <c r="AH115" s="2838"/>
      <c r="AI115" s="2838"/>
      <c r="AJ115" s="2838"/>
      <c r="AK115" s="2838"/>
      <c r="AL115" s="2838"/>
      <c r="AM115" s="2838"/>
      <c r="AN115" s="2838"/>
      <c r="AO115" s="2838"/>
      <c r="AP115" s="2838"/>
      <c r="AQ115" s="2838"/>
      <c r="AR115" s="2838"/>
      <c r="AS115" s="2838"/>
      <c r="AT115" s="2838"/>
      <c r="AU115" s="2838"/>
      <c r="AV115" s="2838"/>
      <c r="AW115" s="2838"/>
      <c r="AX115" s="2839"/>
      <c r="AY115" s="1706"/>
      <c r="AZ115" s="1706"/>
      <c r="BA115" s="1706"/>
      <c r="BB115" s="1706"/>
      <c r="BC115" s="1706"/>
      <c r="BD115" s="1706"/>
      <c r="BE115" s="1712"/>
    </row>
    <row r="116" spans="1:57" ht="15.75" customHeight="1">
      <c r="A116" s="1706"/>
      <c r="B116" s="2837"/>
      <c r="C116" s="2838"/>
      <c r="D116" s="2838"/>
      <c r="E116" s="2838"/>
      <c r="F116" s="2838"/>
      <c r="G116" s="2838"/>
      <c r="H116" s="2838"/>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38"/>
      <c r="AD116" s="2838"/>
      <c r="AE116" s="2838"/>
      <c r="AF116" s="2838"/>
      <c r="AG116" s="2838"/>
      <c r="AH116" s="2838"/>
      <c r="AI116" s="2838"/>
      <c r="AJ116" s="2838"/>
      <c r="AK116" s="2838"/>
      <c r="AL116" s="2838"/>
      <c r="AM116" s="2838"/>
      <c r="AN116" s="2838"/>
      <c r="AO116" s="2838"/>
      <c r="AP116" s="2838"/>
      <c r="AQ116" s="2838"/>
      <c r="AR116" s="2838"/>
      <c r="AS116" s="2838"/>
      <c r="AT116" s="2838"/>
      <c r="AU116" s="2838"/>
      <c r="AV116" s="2838"/>
      <c r="AW116" s="2838"/>
      <c r="AX116" s="2839"/>
      <c r="AY116" s="1706"/>
      <c r="AZ116" s="1706"/>
      <c r="BA116" s="1706"/>
      <c r="BB116" s="1706"/>
      <c r="BC116" s="1706"/>
      <c r="BD116" s="1706"/>
      <c r="BE116" s="1712"/>
    </row>
    <row r="117" spans="1:57" ht="15.75" customHeight="1">
      <c r="A117" s="1706"/>
      <c r="B117" s="2837"/>
      <c r="C117" s="2838"/>
      <c r="D117" s="2838"/>
      <c r="E117" s="2838"/>
      <c r="F117" s="2838"/>
      <c r="G117" s="2838"/>
      <c r="H117" s="2838"/>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38"/>
      <c r="AD117" s="2838"/>
      <c r="AE117" s="2838"/>
      <c r="AF117" s="2838"/>
      <c r="AG117" s="2838"/>
      <c r="AH117" s="2838"/>
      <c r="AI117" s="2838"/>
      <c r="AJ117" s="2838"/>
      <c r="AK117" s="2838"/>
      <c r="AL117" s="2838"/>
      <c r="AM117" s="2838"/>
      <c r="AN117" s="2838"/>
      <c r="AO117" s="2838"/>
      <c r="AP117" s="2838"/>
      <c r="AQ117" s="2838"/>
      <c r="AR117" s="2838"/>
      <c r="AS117" s="2838"/>
      <c r="AT117" s="2838"/>
      <c r="AU117" s="2838"/>
      <c r="AV117" s="2838"/>
      <c r="AW117" s="2838"/>
      <c r="AX117" s="2839"/>
      <c r="AY117" s="1706"/>
      <c r="AZ117" s="1706"/>
      <c r="BA117" s="1706"/>
      <c r="BB117" s="1706"/>
      <c r="BC117" s="1706"/>
      <c r="BD117" s="1706"/>
      <c r="BE117" s="1712"/>
    </row>
    <row r="118" spans="1:57" ht="15.75" customHeight="1">
      <c r="A118" s="1706"/>
      <c r="B118" s="2837"/>
      <c r="C118" s="2838"/>
      <c r="D118" s="2838"/>
      <c r="E118" s="2838"/>
      <c r="F118" s="2838"/>
      <c r="G118" s="2838"/>
      <c r="H118" s="2838"/>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38"/>
      <c r="AD118" s="2838"/>
      <c r="AE118" s="2838"/>
      <c r="AF118" s="2838"/>
      <c r="AG118" s="2838"/>
      <c r="AH118" s="2838"/>
      <c r="AI118" s="2838"/>
      <c r="AJ118" s="2838"/>
      <c r="AK118" s="2838"/>
      <c r="AL118" s="2838"/>
      <c r="AM118" s="2838"/>
      <c r="AN118" s="2838"/>
      <c r="AO118" s="2838"/>
      <c r="AP118" s="2838"/>
      <c r="AQ118" s="2838"/>
      <c r="AR118" s="2838"/>
      <c r="AS118" s="2838"/>
      <c r="AT118" s="2838"/>
      <c r="AU118" s="2838"/>
      <c r="AV118" s="2838"/>
      <c r="AW118" s="2838"/>
      <c r="AX118" s="2839"/>
      <c r="AY118" s="1706"/>
      <c r="AZ118" s="1706"/>
      <c r="BA118" s="1706"/>
      <c r="BB118" s="1706"/>
      <c r="BC118" s="1706"/>
      <c r="BD118" s="1706"/>
      <c r="BE118" s="1712"/>
    </row>
    <row r="119" spans="1:57" ht="15.75" customHeight="1">
      <c r="A119" s="1706"/>
      <c r="B119" s="2837"/>
      <c r="C119" s="2838"/>
      <c r="D119" s="2838"/>
      <c r="E119" s="2838"/>
      <c r="F119" s="2838"/>
      <c r="G119" s="2838"/>
      <c r="H119" s="2838"/>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38"/>
      <c r="AD119" s="2838"/>
      <c r="AE119" s="2838"/>
      <c r="AF119" s="2838"/>
      <c r="AG119" s="2838"/>
      <c r="AH119" s="2838"/>
      <c r="AI119" s="2838"/>
      <c r="AJ119" s="2838"/>
      <c r="AK119" s="2838"/>
      <c r="AL119" s="2838"/>
      <c r="AM119" s="2838"/>
      <c r="AN119" s="2838"/>
      <c r="AO119" s="2838"/>
      <c r="AP119" s="2838"/>
      <c r="AQ119" s="2838"/>
      <c r="AR119" s="2838"/>
      <c r="AS119" s="2838"/>
      <c r="AT119" s="2838"/>
      <c r="AU119" s="2838"/>
      <c r="AV119" s="2838"/>
      <c r="AW119" s="2838"/>
      <c r="AX119" s="2839"/>
      <c r="AY119" s="1706"/>
      <c r="AZ119" s="1706"/>
      <c r="BA119" s="1706"/>
      <c r="BB119" s="1706"/>
      <c r="BC119" s="1706"/>
      <c r="BD119" s="1706"/>
      <c r="BE119" s="1712"/>
    </row>
    <row r="120" spans="1:57" ht="15.75" customHeight="1">
      <c r="A120" s="1706"/>
      <c r="B120" s="2837"/>
      <c r="C120" s="2838"/>
      <c r="D120" s="2838"/>
      <c r="E120" s="2838"/>
      <c r="F120" s="2838"/>
      <c r="G120" s="2838"/>
      <c r="H120" s="2838"/>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38"/>
      <c r="AD120" s="2838"/>
      <c r="AE120" s="2838"/>
      <c r="AF120" s="2838"/>
      <c r="AG120" s="2838"/>
      <c r="AH120" s="2838"/>
      <c r="AI120" s="2838"/>
      <c r="AJ120" s="2838"/>
      <c r="AK120" s="2838"/>
      <c r="AL120" s="2838"/>
      <c r="AM120" s="2838"/>
      <c r="AN120" s="2838"/>
      <c r="AO120" s="2838"/>
      <c r="AP120" s="2838"/>
      <c r="AQ120" s="2838"/>
      <c r="AR120" s="2838"/>
      <c r="AS120" s="2838"/>
      <c r="AT120" s="2838"/>
      <c r="AU120" s="2838"/>
      <c r="AV120" s="2838"/>
      <c r="AW120" s="2838"/>
      <c r="AX120" s="2839"/>
      <c r="AY120" s="1706"/>
      <c r="AZ120" s="1706"/>
      <c r="BA120" s="1706"/>
      <c r="BB120" s="1706"/>
      <c r="BC120" s="1706"/>
      <c r="BD120" s="1706"/>
      <c r="BE120" s="1712"/>
    </row>
    <row r="121" spans="1:57" ht="15.75" customHeight="1" thickBot="1">
      <c r="A121" s="1706"/>
      <c r="B121" s="2840"/>
      <c r="C121" s="2841"/>
      <c r="D121" s="2841"/>
      <c r="E121" s="2841"/>
      <c r="F121" s="2841"/>
      <c r="G121" s="2841"/>
      <c r="H121" s="2841"/>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41"/>
      <c r="AD121" s="2841"/>
      <c r="AE121" s="2841"/>
      <c r="AF121" s="2841"/>
      <c r="AG121" s="2841"/>
      <c r="AH121" s="2841"/>
      <c r="AI121" s="2841"/>
      <c r="AJ121" s="2841"/>
      <c r="AK121" s="2841"/>
      <c r="AL121" s="2841"/>
      <c r="AM121" s="2841"/>
      <c r="AN121" s="2841"/>
      <c r="AO121" s="2841"/>
      <c r="AP121" s="2841"/>
      <c r="AQ121" s="2841"/>
      <c r="AR121" s="2841"/>
      <c r="AS121" s="2841"/>
      <c r="AT121" s="2841"/>
      <c r="AU121" s="2841"/>
      <c r="AV121" s="2841"/>
      <c r="AW121" s="2841"/>
      <c r="AX121" s="284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4" t="s">
        <v>1951</v>
      </c>
      <c r="C125" s="2795"/>
      <c r="D125" s="2795"/>
      <c r="E125" s="2795"/>
      <c r="F125" s="2795"/>
      <c r="G125" s="2795"/>
      <c r="H125" s="2795"/>
      <c r="I125" s="2795"/>
      <c r="J125" s="2795"/>
      <c r="K125" s="2795"/>
      <c r="L125" s="2795"/>
      <c r="M125" s="2795"/>
      <c r="N125" s="2795"/>
      <c r="O125" s="2795"/>
      <c r="P125" s="2795"/>
      <c r="Q125" s="2795"/>
      <c r="R125" s="2795"/>
      <c r="S125" s="2795"/>
      <c r="T125" s="2795"/>
      <c r="U125" s="2843"/>
      <c r="V125" s="1706"/>
      <c r="W125" s="1708"/>
      <c r="X125" s="2794" t="s">
        <v>2330</v>
      </c>
      <c r="Y125" s="2795"/>
      <c r="Z125" s="2795"/>
      <c r="AA125" s="2795"/>
      <c r="AB125" s="2795"/>
      <c r="AC125" s="2795"/>
      <c r="AD125" s="2795"/>
      <c r="AE125" s="2795"/>
      <c r="AF125" s="2795"/>
      <c r="AG125" s="2795"/>
      <c r="AH125" s="2795"/>
      <c r="AI125" s="2795"/>
      <c r="AJ125" s="2795"/>
      <c r="AK125" s="2795"/>
      <c r="AL125" s="2795"/>
      <c r="AM125" s="2795"/>
      <c r="AN125" s="2795"/>
      <c r="AO125" s="2795"/>
      <c r="AP125" s="2795"/>
      <c r="AQ125" s="2843"/>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5"/>
      <c r="C126" s="2806"/>
      <c r="D126" s="2806"/>
      <c r="E126" s="2806"/>
      <c r="F126" s="2806"/>
      <c r="G126" s="2806"/>
      <c r="H126" s="2807"/>
      <c r="I126" s="2811" t="s">
        <v>1940</v>
      </c>
      <c r="J126" s="2812"/>
      <c r="K126" s="2812"/>
      <c r="L126" s="2812"/>
      <c r="M126" s="2812"/>
      <c r="N126" s="2812"/>
      <c r="O126" s="2813"/>
      <c r="P126" s="2817" t="s">
        <v>2331</v>
      </c>
      <c r="Q126" s="2818"/>
      <c r="R126" s="2818"/>
      <c r="S126" s="2818"/>
      <c r="T126" s="2818"/>
      <c r="U126" s="2819"/>
      <c r="V126" s="1706"/>
      <c r="W126" s="1706"/>
      <c r="X126" s="2805"/>
      <c r="Y126" s="2806"/>
      <c r="Z126" s="2806"/>
      <c r="AA126" s="2806"/>
      <c r="AB126" s="2806"/>
      <c r="AC126" s="2806"/>
      <c r="AD126" s="2807"/>
      <c r="AE126" s="2811" t="s">
        <v>1940</v>
      </c>
      <c r="AF126" s="2812"/>
      <c r="AG126" s="2812"/>
      <c r="AH126" s="2812"/>
      <c r="AI126" s="2812"/>
      <c r="AJ126" s="2812"/>
      <c r="AK126" s="2813"/>
      <c r="AL126" s="2817" t="s">
        <v>2324</v>
      </c>
      <c r="AM126" s="2818"/>
      <c r="AN126" s="2818"/>
      <c r="AO126" s="2818"/>
      <c r="AP126" s="2818"/>
      <c r="AQ126" s="281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8"/>
      <c r="C127" s="2809"/>
      <c r="D127" s="2809"/>
      <c r="E127" s="2809"/>
      <c r="F127" s="2809"/>
      <c r="G127" s="2809"/>
      <c r="H127" s="2810"/>
      <c r="I127" s="2814"/>
      <c r="J127" s="2815"/>
      <c r="K127" s="2815"/>
      <c r="L127" s="2815"/>
      <c r="M127" s="2815"/>
      <c r="N127" s="2815"/>
      <c r="O127" s="2816"/>
      <c r="P127" s="2820"/>
      <c r="Q127" s="2821"/>
      <c r="R127" s="2821"/>
      <c r="S127" s="2821"/>
      <c r="T127" s="2821"/>
      <c r="U127" s="2822"/>
      <c r="V127" s="1706"/>
      <c r="W127" s="1706"/>
      <c r="X127" s="2808"/>
      <c r="Y127" s="2809"/>
      <c r="Z127" s="2809"/>
      <c r="AA127" s="2809"/>
      <c r="AB127" s="2809"/>
      <c r="AC127" s="2809"/>
      <c r="AD127" s="2810"/>
      <c r="AE127" s="2814"/>
      <c r="AF127" s="2815"/>
      <c r="AG127" s="2815"/>
      <c r="AH127" s="2815"/>
      <c r="AI127" s="2815"/>
      <c r="AJ127" s="2815"/>
      <c r="AK127" s="2816"/>
      <c r="AL127" s="2820"/>
      <c r="AM127" s="2821"/>
      <c r="AN127" s="2821"/>
      <c r="AO127" s="2821"/>
      <c r="AP127" s="2821"/>
      <c r="AQ127" s="282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8" t="s">
        <v>2308</v>
      </c>
      <c r="C128" s="2789"/>
      <c r="D128" s="2789"/>
      <c r="E128" s="2789"/>
      <c r="F128" s="2789"/>
      <c r="G128" s="2789"/>
      <c r="H128" s="2790"/>
      <c r="I128" s="2791"/>
      <c r="J128" s="2792"/>
      <c r="K128" s="2792"/>
      <c r="L128" s="2792"/>
      <c r="M128" s="2792"/>
      <c r="N128" s="2792"/>
      <c r="O128" s="2793"/>
      <c r="P128" s="2791"/>
      <c r="Q128" s="2792"/>
      <c r="R128" s="2792"/>
      <c r="S128" s="2792"/>
      <c r="T128" s="2792"/>
      <c r="U128" s="2793"/>
      <c r="V128" s="1706"/>
      <c r="W128" s="1706"/>
      <c r="X128" s="2788" t="s">
        <v>2308</v>
      </c>
      <c r="Y128" s="2789"/>
      <c r="Z128" s="2789"/>
      <c r="AA128" s="2789"/>
      <c r="AB128" s="2789"/>
      <c r="AC128" s="2789"/>
      <c r="AD128" s="2790"/>
      <c r="AE128" s="2791"/>
      <c r="AF128" s="2792"/>
      <c r="AG128" s="2792"/>
      <c r="AH128" s="2792"/>
      <c r="AI128" s="2792"/>
      <c r="AJ128" s="2792"/>
      <c r="AK128" s="2793"/>
      <c r="AL128" s="2791"/>
      <c r="AM128" s="2792"/>
      <c r="AN128" s="2792"/>
      <c r="AO128" s="2792"/>
      <c r="AP128" s="2792"/>
      <c r="AQ128" s="2793"/>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8" t="s">
        <v>2309</v>
      </c>
      <c r="C129" s="2789"/>
      <c r="D129" s="2789"/>
      <c r="E129" s="2789"/>
      <c r="F129" s="2789"/>
      <c r="G129" s="2789"/>
      <c r="H129" s="2790"/>
      <c r="I129" s="2791"/>
      <c r="J129" s="2792"/>
      <c r="K129" s="2792"/>
      <c r="L129" s="2792"/>
      <c r="M129" s="2792"/>
      <c r="N129" s="2792"/>
      <c r="O129" s="2793"/>
      <c r="P129" s="2791"/>
      <c r="Q129" s="2792"/>
      <c r="R129" s="2792"/>
      <c r="S129" s="2792"/>
      <c r="T129" s="2792"/>
      <c r="U129" s="2793"/>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4" t="s">
        <v>2310</v>
      </c>
      <c r="D131" s="2795"/>
      <c r="E131" s="2795"/>
      <c r="F131" s="2795"/>
      <c r="G131" s="2795"/>
      <c r="H131" s="2795"/>
      <c r="I131" s="2795"/>
      <c r="J131" s="2795"/>
      <c r="K131" s="2795"/>
      <c r="L131" s="2795"/>
      <c r="M131" s="2795"/>
      <c r="N131" s="2795"/>
      <c r="O131" s="2795"/>
      <c r="P131" s="2795"/>
      <c r="Q131" s="2795"/>
      <c r="R131" s="2795"/>
      <c r="S131" s="2795"/>
      <c r="T131" s="2795"/>
      <c r="U131" s="2795"/>
      <c r="V131" s="2795"/>
      <c r="W131" s="2795"/>
      <c r="X131" s="2795"/>
      <c r="Y131" s="2795"/>
      <c r="Z131" s="2795"/>
      <c r="AA131" s="2795"/>
      <c r="AB131" s="2795"/>
      <c r="AC131" s="2795"/>
      <c r="AD131" s="2795"/>
      <c r="AE131" s="2795"/>
      <c r="AF131" s="2795"/>
      <c r="AG131" s="2796"/>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8" t="s">
        <v>1952</v>
      </c>
      <c r="D132" s="2719"/>
      <c r="E132" s="2719"/>
      <c r="F132" s="2719"/>
      <c r="G132" s="2719"/>
      <c r="H132" s="2719"/>
      <c r="I132" s="2719"/>
      <c r="J132" s="2719"/>
      <c r="K132" s="2719"/>
      <c r="L132" s="2719"/>
      <c r="M132" s="2719"/>
      <c r="N132" s="2719"/>
      <c r="O132" s="2719"/>
      <c r="P132" s="2797"/>
      <c r="Q132" s="2798" t="s">
        <v>1953</v>
      </c>
      <c r="R132" s="2719"/>
      <c r="S132" s="2797"/>
      <c r="T132" s="2799" t="s">
        <v>2311</v>
      </c>
      <c r="U132" s="2800"/>
      <c r="V132" s="2800"/>
      <c r="W132" s="2800"/>
      <c r="X132" s="2800"/>
      <c r="Y132" s="2800"/>
      <c r="Z132" s="2800"/>
      <c r="AA132" s="2801"/>
      <c r="AB132" s="2802" t="s">
        <v>1954</v>
      </c>
      <c r="AC132" s="2803"/>
      <c r="AD132" s="2803"/>
      <c r="AE132" s="2803"/>
      <c r="AF132" s="2803"/>
      <c r="AG132" s="280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6" t="s">
        <v>1955</v>
      </c>
      <c r="D133" s="2707"/>
      <c r="E133" s="2707"/>
      <c r="F133" s="2707"/>
      <c r="G133" s="2707"/>
      <c r="H133" s="2707"/>
      <c r="I133" s="2707"/>
      <c r="J133" s="2707"/>
      <c r="K133" s="2707"/>
      <c r="L133" s="2707"/>
      <c r="M133" s="2707"/>
      <c r="N133" s="2707"/>
      <c r="O133" s="2707"/>
      <c r="P133" s="2723"/>
      <c r="Q133" s="2780">
        <v>55</v>
      </c>
      <c r="R133" s="2781"/>
      <c r="S133" s="2782"/>
      <c r="T133" s="2783"/>
      <c r="U133" s="2784"/>
      <c r="V133" s="2784"/>
      <c r="W133" s="2784"/>
      <c r="X133" s="2784"/>
      <c r="Y133" s="2784"/>
      <c r="Z133" s="2784"/>
      <c r="AA133" s="2784"/>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6" t="s">
        <v>1956</v>
      </c>
      <c r="D134" s="2707"/>
      <c r="E134" s="2707"/>
      <c r="F134" s="2707"/>
      <c r="G134" s="2707"/>
      <c r="H134" s="2707"/>
      <c r="I134" s="2707"/>
      <c r="J134" s="2707"/>
      <c r="K134" s="2707"/>
      <c r="L134" s="2707"/>
      <c r="M134" s="2707"/>
      <c r="N134" s="2707"/>
      <c r="O134" s="2707"/>
      <c r="P134" s="2723"/>
      <c r="Q134" s="2780">
        <v>55</v>
      </c>
      <c r="R134" s="2781"/>
      <c r="S134" s="2782"/>
      <c r="T134" s="2786"/>
      <c r="U134" s="2787"/>
      <c r="V134" s="2787"/>
      <c r="W134" s="2787"/>
      <c r="X134" s="2787"/>
      <c r="Y134" s="2787"/>
      <c r="Z134" s="2787"/>
      <c r="AA134" s="2787"/>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6" t="s">
        <v>1957</v>
      </c>
      <c r="D135" s="2707"/>
      <c r="E135" s="2707"/>
      <c r="F135" s="2707"/>
      <c r="G135" s="2707"/>
      <c r="H135" s="2707"/>
      <c r="I135" s="2707"/>
      <c r="J135" s="2707"/>
      <c r="K135" s="2707"/>
      <c r="L135" s="2707"/>
      <c r="M135" s="2707"/>
      <c r="N135" s="2707"/>
      <c r="O135" s="2707"/>
      <c r="P135" s="2723"/>
      <c r="Q135" s="2780">
        <v>55</v>
      </c>
      <c r="R135" s="2781"/>
      <c r="S135" s="2782"/>
      <c r="T135" s="2783"/>
      <c r="U135" s="2784"/>
      <c r="V135" s="2784"/>
      <c r="W135" s="2784"/>
      <c r="X135" s="2784"/>
      <c r="Y135" s="2784"/>
      <c r="Z135" s="2784"/>
      <c r="AA135" s="2784"/>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6" t="s">
        <v>1920</v>
      </c>
      <c r="D136" s="2707"/>
      <c r="E136" s="2707"/>
      <c r="F136" s="2707"/>
      <c r="G136" s="2707"/>
      <c r="H136" s="2707"/>
      <c r="I136" s="2707"/>
      <c r="J136" s="2707"/>
      <c r="K136" s="2707"/>
      <c r="L136" s="2707"/>
      <c r="M136" s="2707"/>
      <c r="N136" s="2707"/>
      <c r="O136" s="2707"/>
      <c r="P136" s="2723"/>
      <c r="Q136" s="2780">
        <v>55</v>
      </c>
      <c r="R136" s="2781"/>
      <c r="S136" s="2782"/>
      <c r="T136" s="2783"/>
      <c r="U136" s="2784"/>
      <c r="V136" s="2784"/>
      <c r="W136" s="2784"/>
      <c r="X136" s="2784"/>
      <c r="Y136" s="2784"/>
      <c r="Z136" s="2784"/>
      <c r="AA136" s="2785"/>
      <c r="AB136" s="2777">
        <v>0</v>
      </c>
      <c r="AC136" s="2778"/>
      <c r="AD136" s="2778"/>
      <c r="AE136" s="2778"/>
      <c r="AF136" s="2778"/>
      <c r="AG136" s="2779"/>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5" t="s">
        <v>174</v>
      </c>
      <c r="D137" s="2766"/>
      <c r="E137" s="2766"/>
      <c r="F137" s="2697" t="s">
        <v>1958</v>
      </c>
      <c r="G137" s="2697"/>
      <c r="H137" s="2697"/>
      <c r="I137" s="2697"/>
      <c r="J137" s="2697"/>
      <c r="K137" s="2697"/>
      <c r="L137" s="2697"/>
      <c r="M137" s="2697"/>
      <c r="N137" s="2697"/>
      <c r="O137" s="2697"/>
      <c r="P137" s="2697"/>
      <c r="Q137" s="2767">
        <v>55</v>
      </c>
      <c r="R137" s="2767"/>
      <c r="S137" s="2767"/>
      <c r="T137" s="2768"/>
      <c r="U137" s="2768"/>
      <c r="V137" s="2768"/>
      <c r="W137" s="2768"/>
      <c r="X137" s="2768"/>
      <c r="Y137" s="2768"/>
      <c r="Z137" s="2768"/>
      <c r="AA137" s="2768"/>
      <c r="AB137" s="2769">
        <v>0</v>
      </c>
      <c r="AC137" s="2770"/>
      <c r="AD137" s="2770"/>
      <c r="AE137" s="2770"/>
      <c r="AF137" s="2770"/>
      <c r="AG137" s="277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5" t="s">
        <v>174</v>
      </c>
      <c r="D138" s="2766"/>
      <c r="E138" s="2766"/>
      <c r="F138" s="2697" t="s">
        <v>1958</v>
      </c>
      <c r="G138" s="2697"/>
      <c r="H138" s="2697"/>
      <c r="I138" s="2697"/>
      <c r="J138" s="2697"/>
      <c r="K138" s="2697"/>
      <c r="L138" s="2697"/>
      <c r="M138" s="2697"/>
      <c r="N138" s="2697"/>
      <c r="O138" s="2697"/>
      <c r="P138" s="2697"/>
      <c r="Q138" s="2767">
        <v>55</v>
      </c>
      <c r="R138" s="2767"/>
      <c r="S138" s="2767"/>
      <c r="T138" s="2768"/>
      <c r="U138" s="2768"/>
      <c r="V138" s="2768"/>
      <c r="W138" s="2768"/>
      <c r="X138" s="2768"/>
      <c r="Y138" s="2768"/>
      <c r="Z138" s="2768"/>
      <c r="AA138" s="2768"/>
      <c r="AB138" s="2769">
        <v>0</v>
      </c>
      <c r="AC138" s="2770"/>
      <c r="AD138" s="2770"/>
      <c r="AE138" s="2770"/>
      <c r="AF138" s="2770"/>
      <c r="AG138" s="2771"/>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5" t="s">
        <v>174</v>
      </c>
      <c r="D139" s="2766"/>
      <c r="E139" s="2766"/>
      <c r="F139" s="2688" t="s">
        <v>1958</v>
      </c>
      <c r="G139" s="2688"/>
      <c r="H139" s="2688"/>
      <c r="I139" s="2688"/>
      <c r="J139" s="2688"/>
      <c r="K139" s="2688"/>
      <c r="L139" s="2688"/>
      <c r="M139" s="2688"/>
      <c r="N139" s="2688"/>
      <c r="O139" s="2688"/>
      <c r="P139" s="2688"/>
      <c r="Q139" s="2772">
        <v>55</v>
      </c>
      <c r="R139" s="2772"/>
      <c r="S139" s="2772"/>
      <c r="T139" s="2773"/>
      <c r="U139" s="2773"/>
      <c r="V139" s="2773"/>
      <c r="W139" s="2773"/>
      <c r="X139" s="2773"/>
      <c r="Y139" s="2773"/>
      <c r="Z139" s="2773"/>
      <c r="AA139" s="2773"/>
      <c r="AB139" s="2774">
        <v>0</v>
      </c>
      <c r="AC139" s="2775"/>
      <c r="AD139" s="2775"/>
      <c r="AE139" s="2775"/>
      <c r="AF139" s="2775"/>
      <c r="AG139" s="277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50" t="s">
        <v>1959</v>
      </c>
      <c r="D141" s="2751"/>
      <c r="E141" s="2751"/>
      <c r="F141" s="2751"/>
      <c r="G141" s="2751"/>
      <c r="H141" s="2751"/>
      <c r="I141" s="2751"/>
      <c r="J141" s="2751"/>
      <c r="K141" s="2751"/>
      <c r="L141" s="2751"/>
      <c r="M141" s="2751"/>
      <c r="N141" s="2752"/>
      <c r="O141" s="1706"/>
      <c r="P141" s="2753" t="s">
        <v>1960</v>
      </c>
      <c r="Q141" s="2754"/>
      <c r="R141" s="2754"/>
      <c r="S141" s="2754"/>
      <c r="T141" s="2754"/>
      <c r="U141" s="2754"/>
      <c r="V141" s="2754"/>
      <c r="W141" s="2754"/>
      <c r="X141" s="2754"/>
      <c r="Y141" s="2754"/>
      <c r="Z141" s="2754"/>
      <c r="AA141" s="2754"/>
      <c r="AB141" s="2754"/>
      <c r="AC141" s="2754"/>
      <c r="AD141" s="2754"/>
      <c r="AE141" s="2754"/>
      <c r="AF141" s="2754"/>
      <c r="AG141" s="2754"/>
      <c r="AH141" s="2754"/>
      <c r="AI141" s="2754"/>
      <c r="AJ141" s="2754"/>
      <c r="AK141" s="2754"/>
      <c r="AL141" s="2754"/>
      <c r="AM141" s="2754"/>
      <c r="AN141" s="2754"/>
      <c r="AO141" s="2755"/>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6" t="s">
        <v>1961</v>
      </c>
      <c r="D142" s="2757"/>
      <c r="E142" s="2757"/>
      <c r="F142" s="2757"/>
      <c r="G142" s="2757"/>
      <c r="H142" s="2758"/>
      <c r="I142" s="2756" t="s">
        <v>1962</v>
      </c>
      <c r="J142" s="2757"/>
      <c r="K142" s="2757"/>
      <c r="L142" s="2757"/>
      <c r="M142" s="2757"/>
      <c r="N142" s="2758"/>
      <c r="O142" s="1706"/>
      <c r="P142" s="2759" t="s">
        <v>2322</v>
      </c>
      <c r="Q142" s="2760"/>
      <c r="R142" s="2760"/>
      <c r="S142" s="2760"/>
      <c r="T142" s="2760"/>
      <c r="U142" s="2760"/>
      <c r="V142" s="2760"/>
      <c r="W142" s="2760"/>
      <c r="X142" s="2760"/>
      <c r="Y142" s="2760"/>
      <c r="Z142" s="2760"/>
      <c r="AA142" s="2760"/>
      <c r="AB142" s="2760"/>
      <c r="AC142" s="2760"/>
      <c r="AD142" s="2760"/>
      <c r="AE142" s="2760"/>
      <c r="AF142" s="2760"/>
      <c r="AG142" s="2760"/>
      <c r="AH142" s="2760"/>
      <c r="AI142" s="2760"/>
      <c r="AJ142" s="2760"/>
      <c r="AK142" s="2760"/>
      <c r="AL142" s="2760"/>
      <c r="AM142" s="2760"/>
      <c r="AN142" s="2760"/>
      <c r="AO142" s="276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0"/>
      <c r="D143" s="2740"/>
      <c r="E143" s="2740"/>
      <c r="F143" s="2740"/>
      <c r="G143" s="2740"/>
      <c r="H143" s="2740"/>
      <c r="I143" s="2741"/>
      <c r="J143" s="2741"/>
      <c r="K143" s="2741"/>
      <c r="L143" s="2741"/>
      <c r="M143" s="2741"/>
      <c r="N143" s="2741"/>
      <c r="O143" s="1706"/>
      <c r="P143" s="2759"/>
      <c r="Q143" s="2760"/>
      <c r="R143" s="2760"/>
      <c r="S143" s="2760"/>
      <c r="T143" s="2760"/>
      <c r="U143" s="2760"/>
      <c r="V143" s="2760"/>
      <c r="W143" s="2760"/>
      <c r="X143" s="2760"/>
      <c r="Y143" s="2760"/>
      <c r="Z143" s="2760"/>
      <c r="AA143" s="2760"/>
      <c r="AB143" s="2760"/>
      <c r="AC143" s="2760"/>
      <c r="AD143" s="2760"/>
      <c r="AE143" s="2760"/>
      <c r="AF143" s="2760"/>
      <c r="AG143" s="2760"/>
      <c r="AH143" s="2760"/>
      <c r="AI143" s="2760"/>
      <c r="AJ143" s="2760"/>
      <c r="AK143" s="2760"/>
      <c r="AL143" s="2760"/>
      <c r="AM143" s="2760"/>
      <c r="AN143" s="2760"/>
      <c r="AO143" s="276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0"/>
      <c r="D144" s="2740"/>
      <c r="E144" s="2740"/>
      <c r="F144" s="2740"/>
      <c r="G144" s="2740"/>
      <c r="H144" s="2740"/>
      <c r="I144" s="2741"/>
      <c r="J144" s="2741"/>
      <c r="K144" s="2741"/>
      <c r="L144" s="2741"/>
      <c r="M144" s="2741"/>
      <c r="N144" s="2741"/>
      <c r="O144" s="1706"/>
      <c r="P144" s="2759"/>
      <c r="Q144" s="2760"/>
      <c r="R144" s="2760"/>
      <c r="S144" s="2760"/>
      <c r="T144" s="2760"/>
      <c r="U144" s="2760"/>
      <c r="V144" s="2760"/>
      <c r="W144" s="2760"/>
      <c r="X144" s="2760"/>
      <c r="Y144" s="2760"/>
      <c r="Z144" s="2760"/>
      <c r="AA144" s="2760"/>
      <c r="AB144" s="2760"/>
      <c r="AC144" s="2760"/>
      <c r="AD144" s="2760"/>
      <c r="AE144" s="2760"/>
      <c r="AF144" s="2760"/>
      <c r="AG144" s="2760"/>
      <c r="AH144" s="2760"/>
      <c r="AI144" s="2760"/>
      <c r="AJ144" s="2760"/>
      <c r="AK144" s="2760"/>
      <c r="AL144" s="2760"/>
      <c r="AM144" s="2760"/>
      <c r="AN144" s="2760"/>
      <c r="AO144" s="276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0"/>
      <c r="D145" s="2740"/>
      <c r="E145" s="2740"/>
      <c r="F145" s="2740"/>
      <c r="G145" s="2740"/>
      <c r="H145" s="2740"/>
      <c r="I145" s="2741"/>
      <c r="J145" s="2741"/>
      <c r="K145" s="2741"/>
      <c r="L145" s="2741"/>
      <c r="M145" s="2741"/>
      <c r="N145" s="2741"/>
      <c r="O145" s="1706"/>
      <c r="P145" s="2759"/>
      <c r="Q145" s="2760"/>
      <c r="R145" s="2760"/>
      <c r="S145" s="2760"/>
      <c r="T145" s="2760"/>
      <c r="U145" s="2760"/>
      <c r="V145" s="2760"/>
      <c r="W145" s="2760"/>
      <c r="X145" s="2760"/>
      <c r="Y145" s="2760"/>
      <c r="Z145" s="2760"/>
      <c r="AA145" s="2760"/>
      <c r="AB145" s="2760"/>
      <c r="AC145" s="2760"/>
      <c r="AD145" s="2760"/>
      <c r="AE145" s="2760"/>
      <c r="AF145" s="2760"/>
      <c r="AG145" s="2760"/>
      <c r="AH145" s="2760"/>
      <c r="AI145" s="2760"/>
      <c r="AJ145" s="2760"/>
      <c r="AK145" s="2760"/>
      <c r="AL145" s="2760"/>
      <c r="AM145" s="2760"/>
      <c r="AN145" s="2760"/>
      <c r="AO145" s="276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0"/>
      <c r="D146" s="2740"/>
      <c r="E146" s="2740"/>
      <c r="F146" s="2740"/>
      <c r="G146" s="2740"/>
      <c r="H146" s="2740"/>
      <c r="I146" s="2741"/>
      <c r="J146" s="2741"/>
      <c r="K146" s="2741"/>
      <c r="L146" s="2741"/>
      <c r="M146" s="2741"/>
      <c r="N146" s="2741"/>
      <c r="O146" s="1706"/>
      <c r="P146" s="2759"/>
      <c r="Q146" s="2760"/>
      <c r="R146" s="2760"/>
      <c r="S146" s="2760"/>
      <c r="T146" s="2760"/>
      <c r="U146" s="2760"/>
      <c r="V146" s="2760"/>
      <c r="W146" s="2760"/>
      <c r="X146" s="2760"/>
      <c r="Y146" s="2760"/>
      <c r="Z146" s="2760"/>
      <c r="AA146" s="2760"/>
      <c r="AB146" s="2760"/>
      <c r="AC146" s="2760"/>
      <c r="AD146" s="2760"/>
      <c r="AE146" s="2760"/>
      <c r="AF146" s="2760"/>
      <c r="AG146" s="2760"/>
      <c r="AH146" s="2760"/>
      <c r="AI146" s="2760"/>
      <c r="AJ146" s="2760"/>
      <c r="AK146" s="2760"/>
      <c r="AL146" s="2760"/>
      <c r="AM146" s="2760"/>
      <c r="AN146" s="2760"/>
      <c r="AO146" s="276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0"/>
      <c r="D147" s="2740"/>
      <c r="E147" s="2740"/>
      <c r="F147" s="2740"/>
      <c r="G147" s="2740"/>
      <c r="H147" s="2740"/>
      <c r="I147" s="2741"/>
      <c r="J147" s="2741"/>
      <c r="K147" s="2741"/>
      <c r="L147" s="2741"/>
      <c r="M147" s="2741"/>
      <c r="N147" s="2741"/>
      <c r="O147" s="1706"/>
      <c r="P147" s="2759"/>
      <c r="Q147" s="2760"/>
      <c r="R147" s="2760"/>
      <c r="S147" s="2760"/>
      <c r="T147" s="2760"/>
      <c r="U147" s="2760"/>
      <c r="V147" s="2760"/>
      <c r="W147" s="2760"/>
      <c r="X147" s="2760"/>
      <c r="Y147" s="2760"/>
      <c r="Z147" s="2760"/>
      <c r="AA147" s="2760"/>
      <c r="AB147" s="2760"/>
      <c r="AC147" s="2760"/>
      <c r="AD147" s="2760"/>
      <c r="AE147" s="2760"/>
      <c r="AF147" s="2760"/>
      <c r="AG147" s="2760"/>
      <c r="AH147" s="2760"/>
      <c r="AI147" s="2760"/>
      <c r="AJ147" s="2760"/>
      <c r="AK147" s="2760"/>
      <c r="AL147" s="2760"/>
      <c r="AM147" s="2760"/>
      <c r="AN147" s="2760"/>
      <c r="AO147" s="276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0"/>
      <c r="D148" s="2740"/>
      <c r="E148" s="2740"/>
      <c r="F148" s="2740"/>
      <c r="G148" s="2740"/>
      <c r="H148" s="2740"/>
      <c r="I148" s="2741"/>
      <c r="J148" s="2741"/>
      <c r="K148" s="2741"/>
      <c r="L148" s="2741"/>
      <c r="M148" s="2741"/>
      <c r="N148" s="2741"/>
      <c r="O148" s="1706"/>
      <c r="P148" s="2759"/>
      <c r="Q148" s="2760"/>
      <c r="R148" s="2760"/>
      <c r="S148" s="2760"/>
      <c r="T148" s="2760"/>
      <c r="U148" s="2760"/>
      <c r="V148" s="2760"/>
      <c r="W148" s="2760"/>
      <c r="X148" s="2760"/>
      <c r="Y148" s="2760"/>
      <c r="Z148" s="2760"/>
      <c r="AA148" s="2760"/>
      <c r="AB148" s="2760"/>
      <c r="AC148" s="2760"/>
      <c r="AD148" s="2760"/>
      <c r="AE148" s="2760"/>
      <c r="AF148" s="2760"/>
      <c r="AG148" s="2760"/>
      <c r="AH148" s="2760"/>
      <c r="AI148" s="2760"/>
      <c r="AJ148" s="2760"/>
      <c r="AK148" s="2760"/>
      <c r="AL148" s="2760"/>
      <c r="AM148" s="2760"/>
      <c r="AN148" s="2760"/>
      <c r="AO148" s="276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0"/>
      <c r="D149" s="2740"/>
      <c r="E149" s="2740"/>
      <c r="F149" s="2740"/>
      <c r="G149" s="2740"/>
      <c r="H149" s="2740"/>
      <c r="I149" s="2741"/>
      <c r="J149" s="2741"/>
      <c r="K149" s="2741"/>
      <c r="L149" s="2741"/>
      <c r="M149" s="2741"/>
      <c r="N149" s="2741"/>
      <c r="O149" s="1706"/>
      <c r="P149" s="2762"/>
      <c r="Q149" s="2763"/>
      <c r="R149" s="2763"/>
      <c r="S149" s="2763"/>
      <c r="T149" s="2763"/>
      <c r="U149" s="2763"/>
      <c r="V149" s="2763"/>
      <c r="W149" s="2763"/>
      <c r="X149" s="2763"/>
      <c r="Y149" s="2763"/>
      <c r="Z149" s="2763"/>
      <c r="AA149" s="2763"/>
      <c r="AB149" s="2763"/>
      <c r="AC149" s="2763"/>
      <c r="AD149" s="2763"/>
      <c r="AE149" s="2763"/>
      <c r="AF149" s="2763"/>
      <c r="AG149" s="2763"/>
      <c r="AH149" s="2763"/>
      <c r="AI149" s="2763"/>
      <c r="AJ149" s="2763"/>
      <c r="AK149" s="2763"/>
      <c r="AL149" s="2763"/>
      <c r="AM149" s="2763"/>
      <c r="AN149" s="2763"/>
      <c r="AO149" s="276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2"/>
      <c r="D153" s="2743"/>
      <c r="E153" s="2743"/>
      <c r="F153" s="2743"/>
      <c r="G153" s="2743"/>
      <c r="H153" s="2743"/>
      <c r="I153" s="2743"/>
      <c r="J153" s="2743"/>
      <c r="K153" s="2743"/>
      <c r="L153" s="2743"/>
      <c r="M153" s="2744"/>
      <c r="N153" s="2745" t="s">
        <v>1963</v>
      </c>
      <c r="O153" s="2745"/>
      <c r="P153" s="2745"/>
      <c r="Q153" s="2745"/>
      <c r="R153" s="2745"/>
      <c r="S153" s="2745"/>
      <c r="T153" s="2746"/>
      <c r="U153" s="2747" t="s">
        <v>1952</v>
      </c>
      <c r="V153" s="2748"/>
      <c r="W153" s="2748"/>
      <c r="X153" s="2748"/>
      <c r="Y153" s="2748"/>
      <c r="Z153" s="2748"/>
      <c r="AA153" s="2748"/>
      <c r="AB153" s="2748"/>
      <c r="AC153" s="2748"/>
      <c r="AD153" s="2748"/>
      <c r="AE153" s="2749"/>
      <c r="AF153" s="1706"/>
      <c r="AG153" s="1706"/>
      <c r="AH153" s="2709" t="s">
        <v>1964</v>
      </c>
      <c r="AI153" s="2710"/>
      <c r="AJ153" s="2710"/>
      <c r="AK153" s="2710"/>
      <c r="AL153" s="2710"/>
      <c r="AM153" s="2710"/>
      <c r="AN153" s="2710"/>
      <c r="AO153" s="2710"/>
      <c r="AP153" s="2710"/>
      <c r="AQ153" s="2710"/>
      <c r="AR153" s="2710"/>
      <c r="AS153" s="2724">
        <v>6500000</v>
      </c>
      <c r="AT153" s="2724"/>
      <c r="AU153" s="2724"/>
      <c r="AV153" s="2724"/>
      <c r="AW153" s="2724"/>
      <c r="AX153" s="1706"/>
      <c r="AY153" s="1706"/>
      <c r="AZ153" s="1706"/>
      <c r="BA153" s="1706"/>
      <c r="BB153" s="1706"/>
      <c r="BC153" s="1706"/>
      <c r="BD153" s="1706"/>
      <c r="BE153" s="1712"/>
    </row>
    <row r="154" spans="1:57" ht="15.75" customHeight="1">
      <c r="A154" s="1706"/>
      <c r="B154" s="1706"/>
      <c r="C154" s="2718" t="s">
        <v>1965</v>
      </c>
      <c r="D154" s="2719"/>
      <c r="E154" s="2719"/>
      <c r="F154" s="2719"/>
      <c r="G154" s="2719"/>
      <c r="H154" s="2719"/>
      <c r="I154" s="2719"/>
      <c r="J154" s="2719"/>
      <c r="K154" s="2719"/>
      <c r="L154" s="2719"/>
      <c r="M154" s="2720"/>
      <c r="N154" s="2721">
        <f>'Sources and Uses Budget'!B105</f>
        <v>34874041</v>
      </c>
      <c r="O154" s="2721"/>
      <c r="P154" s="2721"/>
      <c r="Q154" s="2721"/>
      <c r="R154" s="2721"/>
      <c r="S154" s="2721"/>
      <c r="T154" s="2722"/>
      <c r="U154" s="2731"/>
      <c r="V154" s="2732"/>
      <c r="W154" s="2732"/>
      <c r="X154" s="2732"/>
      <c r="Y154" s="2732"/>
      <c r="Z154" s="2732"/>
      <c r="AA154" s="2732"/>
      <c r="AB154" s="2732"/>
      <c r="AC154" s="2732"/>
      <c r="AD154" s="2732"/>
      <c r="AE154" s="2737"/>
      <c r="AF154" s="1706"/>
      <c r="AG154" s="1706"/>
      <c r="AH154" s="2738" t="s">
        <v>1966</v>
      </c>
      <c r="AI154" s="2739"/>
      <c r="AJ154" s="2739"/>
      <c r="AK154" s="2739"/>
      <c r="AL154" s="2739"/>
      <c r="AM154" s="2739"/>
      <c r="AN154" s="2739"/>
      <c r="AO154" s="2739"/>
      <c r="AP154" s="2739"/>
      <c r="AQ154" s="2739"/>
      <c r="AR154" s="2739"/>
      <c r="AS154" s="2724">
        <v>0</v>
      </c>
      <c r="AT154" s="2724"/>
      <c r="AU154" s="2724"/>
      <c r="AV154" s="2724"/>
      <c r="AW154" s="2724"/>
      <c r="AX154" s="1706"/>
      <c r="AY154" s="1706"/>
      <c r="AZ154" s="1706"/>
      <c r="BA154" s="1706"/>
      <c r="BB154" s="1706"/>
      <c r="BC154" s="1706"/>
      <c r="BD154" s="1706"/>
      <c r="BE154" s="1712"/>
    </row>
    <row r="155" spans="1:57" ht="15.75" customHeight="1">
      <c r="A155" s="1706"/>
      <c r="B155" s="1706"/>
      <c r="C155" s="2718" t="s">
        <v>1967</v>
      </c>
      <c r="D155" s="2719"/>
      <c r="E155" s="2719"/>
      <c r="F155" s="2719"/>
      <c r="G155" s="2719"/>
      <c r="H155" s="2719"/>
      <c r="I155" s="2719"/>
      <c r="J155" s="2719"/>
      <c r="K155" s="2719"/>
      <c r="L155" s="2719"/>
      <c r="M155" s="2720"/>
      <c r="N155" s="2721">
        <f>N154/J29</f>
        <v>726542.52083333337</v>
      </c>
      <c r="O155" s="2721"/>
      <c r="P155" s="2721"/>
      <c r="Q155" s="2721"/>
      <c r="R155" s="2721"/>
      <c r="S155" s="2721"/>
      <c r="T155" s="2722"/>
      <c r="U155" s="1729"/>
      <c r="V155" s="1729"/>
      <c r="W155" s="1729"/>
      <c r="X155" s="1729"/>
      <c r="Y155" s="1729"/>
      <c r="Z155" s="1729"/>
      <c r="AA155" s="1729"/>
      <c r="AB155" s="1729"/>
      <c r="AC155" s="1729"/>
      <c r="AD155" s="1729"/>
      <c r="AE155" s="1730"/>
      <c r="AF155" s="1706"/>
      <c r="AG155" s="1706"/>
      <c r="AH155" s="2706" t="s">
        <v>1968</v>
      </c>
      <c r="AI155" s="2707"/>
      <c r="AJ155" s="2707"/>
      <c r="AK155" s="2707"/>
      <c r="AL155" s="2707"/>
      <c r="AM155" s="2707"/>
      <c r="AN155" s="2707"/>
      <c r="AO155" s="2707"/>
      <c r="AP155" s="2707"/>
      <c r="AQ155" s="2707"/>
      <c r="AR155" s="2723"/>
      <c r="AS155" s="2724">
        <v>2500000</v>
      </c>
      <c r="AT155" s="2724"/>
      <c r="AU155" s="2724"/>
      <c r="AV155" s="2724"/>
      <c r="AW155" s="2724"/>
      <c r="AX155" s="1706"/>
      <c r="AY155" s="1706"/>
      <c r="AZ155" s="1706"/>
      <c r="BA155" s="1706"/>
      <c r="BB155" s="1706"/>
      <c r="BC155" s="1706"/>
      <c r="BD155" s="1706"/>
      <c r="BE155" s="1712"/>
    </row>
    <row r="156" spans="1:57" ht="15.75" customHeight="1">
      <c r="A156" s="1706"/>
      <c r="B156" s="1706"/>
      <c r="C156" s="2725" t="s">
        <v>1969</v>
      </c>
      <c r="D156" s="2726"/>
      <c r="E156" s="2726"/>
      <c r="F156" s="2726"/>
      <c r="G156" s="2726"/>
      <c r="H156" s="2726"/>
      <c r="I156" s="2726"/>
      <c r="J156" s="2726"/>
      <c r="K156" s="2726"/>
      <c r="L156" s="2726"/>
      <c r="M156" s="2727"/>
      <c r="N156" s="2728">
        <v>0</v>
      </c>
      <c r="O156" s="2728"/>
      <c r="P156" s="2728"/>
      <c r="Q156" s="2728"/>
      <c r="R156" s="2728"/>
      <c r="S156" s="2728"/>
      <c r="T156" s="2729"/>
      <c r="U156" s="2695"/>
      <c r="V156" s="2696"/>
      <c r="W156" s="2696"/>
      <c r="X156" s="2696"/>
      <c r="Y156" s="2696"/>
      <c r="Z156" s="2696"/>
      <c r="AA156" s="2696"/>
      <c r="AB156" s="2696"/>
      <c r="AC156" s="2696"/>
      <c r="AD156" s="2696"/>
      <c r="AE156" s="2730"/>
      <c r="AF156" s="1706"/>
      <c r="AG156" s="1706"/>
      <c r="AH156" s="2731"/>
      <c r="AI156" s="2732"/>
      <c r="AJ156" s="2732"/>
      <c r="AK156" s="2732"/>
      <c r="AL156" s="2732"/>
      <c r="AM156" s="2732"/>
      <c r="AN156" s="2732"/>
      <c r="AO156" s="2732"/>
      <c r="AP156" s="2732"/>
      <c r="AQ156" s="2732"/>
      <c r="AR156" s="2733"/>
      <c r="AS156" s="2734"/>
      <c r="AT156" s="2735"/>
      <c r="AU156" s="2735"/>
      <c r="AV156" s="2735"/>
      <c r="AW156" s="2736"/>
      <c r="AX156" s="1706"/>
      <c r="AY156" s="1706"/>
      <c r="AZ156" s="1706"/>
      <c r="BA156" s="1706"/>
      <c r="BB156" s="1706"/>
      <c r="BC156" s="1706"/>
      <c r="BD156" s="1706"/>
      <c r="BE156" s="1712"/>
    </row>
    <row r="157" spans="1:57" ht="15.75" customHeight="1" thickBot="1">
      <c r="A157" s="1706"/>
      <c r="B157" s="1706"/>
      <c r="C157" s="2706" t="s">
        <v>1970</v>
      </c>
      <c r="D157" s="2707"/>
      <c r="E157" s="2707"/>
      <c r="F157" s="2707"/>
      <c r="G157" s="2707"/>
      <c r="H157" s="2707"/>
      <c r="I157" s="2707"/>
      <c r="J157" s="2707"/>
      <c r="K157" s="2707"/>
      <c r="L157" s="2707"/>
      <c r="M157" s="2708"/>
      <c r="N157" s="2713">
        <f>SUM('Sources and Uses Budget'!B85:B86)</f>
        <v>635475</v>
      </c>
      <c r="O157" s="2713"/>
      <c r="P157" s="2713"/>
      <c r="Q157" s="2713"/>
      <c r="R157" s="2713"/>
      <c r="S157" s="2713"/>
      <c r="T157" s="2714"/>
      <c r="U157" s="2701"/>
      <c r="V157" s="2702"/>
      <c r="W157" s="2702"/>
      <c r="X157" s="2702"/>
      <c r="Y157" s="2702"/>
      <c r="Z157" s="2702"/>
      <c r="AA157" s="2702"/>
      <c r="AB157" s="2702"/>
      <c r="AC157" s="2702"/>
      <c r="AD157" s="2702"/>
      <c r="AE157" s="2703"/>
      <c r="AF157" s="1706"/>
      <c r="AG157" s="1706"/>
      <c r="AH157" s="2715" t="s">
        <v>2332</v>
      </c>
      <c r="AI157" s="2716"/>
      <c r="AJ157" s="2716"/>
      <c r="AK157" s="2716"/>
      <c r="AL157" s="2716"/>
      <c r="AM157" s="2716"/>
      <c r="AN157" s="2716"/>
      <c r="AO157" s="2716"/>
      <c r="AP157" s="2716"/>
      <c r="AQ157" s="2716"/>
      <c r="AR157" s="2716"/>
      <c r="AS157" s="2717">
        <f>SUM(AS153:AW155)</f>
        <v>9000000</v>
      </c>
      <c r="AT157" s="2717"/>
      <c r="AU157" s="2717"/>
      <c r="AV157" s="2717"/>
      <c r="AW157" s="2717"/>
      <c r="AX157" s="1706"/>
      <c r="AY157" s="1706"/>
      <c r="AZ157" s="1706"/>
      <c r="BA157" s="1706"/>
      <c r="BB157" s="1706"/>
      <c r="BC157" s="1706"/>
      <c r="BD157" s="1706"/>
      <c r="BE157" s="1712"/>
    </row>
    <row r="158" spans="1:57" ht="15.75" customHeight="1" thickBot="1">
      <c r="A158" s="1706"/>
      <c r="B158" s="1706"/>
      <c r="C158" s="2706" t="s">
        <v>1972</v>
      </c>
      <c r="D158" s="2707"/>
      <c r="E158" s="2707"/>
      <c r="F158" s="2707"/>
      <c r="G158" s="2707"/>
      <c r="H158" s="2707"/>
      <c r="I158" s="2707"/>
      <c r="J158" s="2707"/>
      <c r="K158" s="2707"/>
      <c r="L158" s="2707"/>
      <c r="M158" s="2708"/>
      <c r="N158" s="2713">
        <f>'Sources and Uses Budget'!B8</f>
        <v>1458276</v>
      </c>
      <c r="O158" s="2713"/>
      <c r="P158" s="2713"/>
      <c r="Q158" s="2713"/>
      <c r="R158" s="2713"/>
      <c r="S158" s="2713"/>
      <c r="T158" s="2714"/>
      <c r="U158" s="2701"/>
      <c r="V158" s="2702"/>
      <c r="W158" s="2702"/>
      <c r="X158" s="2702"/>
      <c r="Y158" s="2702"/>
      <c r="Z158" s="2702"/>
      <c r="AA158" s="2702"/>
      <c r="AB158" s="2702"/>
      <c r="AC158" s="2702"/>
      <c r="AD158" s="2702"/>
      <c r="AE158" s="270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6" t="s">
        <v>1973</v>
      </c>
      <c r="D159" s="2707"/>
      <c r="E159" s="2707"/>
      <c r="F159" s="2707"/>
      <c r="G159" s="2707"/>
      <c r="H159" s="2707"/>
      <c r="I159" s="2707"/>
      <c r="J159" s="2707"/>
      <c r="K159" s="2707"/>
      <c r="L159" s="2707"/>
      <c r="M159" s="2708"/>
      <c r="N159" s="2699">
        <v>0</v>
      </c>
      <c r="O159" s="2699"/>
      <c r="P159" s="2699"/>
      <c r="Q159" s="2699"/>
      <c r="R159" s="2699"/>
      <c r="S159" s="2699"/>
      <c r="T159" s="2700"/>
      <c r="U159" s="2701"/>
      <c r="V159" s="2702"/>
      <c r="W159" s="2702"/>
      <c r="X159" s="2702"/>
      <c r="Y159" s="2702"/>
      <c r="Z159" s="2702"/>
      <c r="AA159" s="2702"/>
      <c r="AB159" s="2702"/>
      <c r="AC159" s="2702"/>
      <c r="AD159" s="2702"/>
      <c r="AE159" s="2703"/>
      <c r="AF159" s="1706"/>
      <c r="AG159" s="1706"/>
      <c r="AH159" s="2709" t="s">
        <v>2333</v>
      </c>
      <c r="AI159" s="2710"/>
      <c r="AJ159" s="2710"/>
      <c r="AK159" s="2710"/>
      <c r="AL159" s="2710"/>
      <c r="AM159" s="2710"/>
      <c r="AN159" s="2710"/>
      <c r="AO159" s="2710"/>
      <c r="AP159" s="2710"/>
      <c r="AQ159" s="2710"/>
      <c r="AR159" s="2710"/>
      <c r="AS159" s="2711" t="s">
        <v>2334</v>
      </c>
      <c r="AT159" s="2711"/>
      <c r="AU159" s="2711"/>
      <c r="AV159" s="2711"/>
      <c r="AW159" s="2711"/>
      <c r="AX159" s="2711"/>
      <c r="AY159" s="2711" t="s">
        <v>2335</v>
      </c>
      <c r="AZ159" s="2711"/>
      <c r="BA159" s="2711"/>
      <c r="BB159" s="2711"/>
      <c r="BC159" s="2711"/>
      <c r="BD159" s="2712"/>
      <c r="BE159" s="1712"/>
    </row>
    <row r="160" spans="1:57" ht="15.75" customHeight="1">
      <c r="A160" s="1706"/>
      <c r="B160" s="1706"/>
      <c r="C160" s="2706" t="s">
        <v>1966</v>
      </c>
      <c r="D160" s="2707"/>
      <c r="E160" s="2707"/>
      <c r="F160" s="2707"/>
      <c r="G160" s="2707"/>
      <c r="H160" s="2707"/>
      <c r="I160" s="2707"/>
      <c r="J160" s="2707"/>
      <c r="K160" s="2707"/>
      <c r="L160" s="2707"/>
      <c r="M160" s="2708"/>
      <c r="N160" s="2699">
        <v>0</v>
      </c>
      <c r="O160" s="2699"/>
      <c r="P160" s="2699"/>
      <c r="Q160" s="2699"/>
      <c r="R160" s="2699"/>
      <c r="S160" s="2699"/>
      <c r="T160" s="2700"/>
      <c r="U160" s="2701"/>
      <c r="V160" s="2702"/>
      <c r="W160" s="2702"/>
      <c r="X160" s="2702"/>
      <c r="Y160" s="2702"/>
      <c r="Z160" s="2702"/>
      <c r="AA160" s="2702"/>
      <c r="AB160" s="2702"/>
      <c r="AC160" s="2702"/>
      <c r="AD160" s="2702"/>
      <c r="AE160" s="2703"/>
      <c r="AF160" s="1706"/>
      <c r="AG160" s="1706"/>
      <c r="AH160" s="2672" t="s">
        <v>2336</v>
      </c>
      <c r="AI160" s="2673"/>
      <c r="AJ160" s="2673"/>
      <c r="AK160" s="2673"/>
      <c r="AL160" s="2673"/>
      <c r="AM160" s="2673"/>
      <c r="AN160" s="2673"/>
      <c r="AO160" s="2673"/>
      <c r="AP160" s="2673"/>
      <c r="AQ160" s="2673"/>
      <c r="AR160" s="2673"/>
      <c r="AS160" s="2674">
        <v>1000000</v>
      </c>
      <c r="AT160" s="2674"/>
      <c r="AU160" s="2674"/>
      <c r="AV160" s="2674"/>
      <c r="AW160" s="2674"/>
      <c r="AX160" s="2674"/>
      <c r="AY160" s="2674">
        <v>500000</v>
      </c>
      <c r="AZ160" s="2674"/>
      <c r="BA160" s="2674"/>
      <c r="BB160" s="2674"/>
      <c r="BC160" s="2674"/>
      <c r="BD160" s="2675"/>
      <c r="BE160" s="1712"/>
    </row>
    <row r="161" spans="1:57" ht="15.75" customHeight="1">
      <c r="A161" s="1706"/>
      <c r="B161" s="1706"/>
      <c r="C161" s="2704" t="s">
        <v>305</v>
      </c>
      <c r="D161" s="2705"/>
      <c r="E161" s="2697" t="s">
        <v>1958</v>
      </c>
      <c r="F161" s="2697"/>
      <c r="G161" s="2697"/>
      <c r="H161" s="2697"/>
      <c r="I161" s="2697"/>
      <c r="J161" s="2697"/>
      <c r="K161" s="2697"/>
      <c r="L161" s="2697"/>
      <c r="M161" s="2698"/>
      <c r="N161" s="2699">
        <v>0</v>
      </c>
      <c r="O161" s="2699"/>
      <c r="P161" s="2699"/>
      <c r="Q161" s="2699"/>
      <c r="R161" s="2699"/>
      <c r="S161" s="2699"/>
      <c r="T161" s="2700"/>
      <c r="U161" s="2701"/>
      <c r="V161" s="2702"/>
      <c r="W161" s="2702"/>
      <c r="X161" s="2702"/>
      <c r="Y161" s="2702"/>
      <c r="Z161" s="2702"/>
      <c r="AA161" s="2702"/>
      <c r="AB161" s="2702"/>
      <c r="AC161" s="2702"/>
      <c r="AD161" s="2702"/>
      <c r="AE161" s="2703"/>
      <c r="AF161" s="1706"/>
      <c r="AG161" s="1706"/>
      <c r="AH161" s="2672" t="s">
        <v>2337</v>
      </c>
      <c r="AI161" s="2673"/>
      <c r="AJ161" s="2673"/>
      <c r="AK161" s="2673"/>
      <c r="AL161" s="2673"/>
      <c r="AM161" s="2673"/>
      <c r="AN161" s="2673"/>
      <c r="AO161" s="2673"/>
      <c r="AP161" s="2673"/>
      <c r="AQ161" s="2673"/>
      <c r="AR161" s="2673"/>
      <c r="AS161" s="2674">
        <v>2000000</v>
      </c>
      <c r="AT161" s="2674"/>
      <c r="AU161" s="2674"/>
      <c r="AV161" s="2674"/>
      <c r="AW161" s="2674"/>
      <c r="AX161" s="2674"/>
      <c r="AY161" s="2674">
        <v>250000</v>
      </c>
      <c r="AZ161" s="2674"/>
      <c r="BA161" s="2674"/>
      <c r="BB161" s="2674"/>
      <c r="BC161" s="2674"/>
      <c r="BD161" s="2675"/>
      <c r="BE161" s="1712"/>
    </row>
    <row r="162" spans="1:57" ht="15.75" customHeight="1">
      <c r="A162" s="1706"/>
      <c r="B162" s="1706"/>
      <c r="C162" s="2695" t="s">
        <v>305</v>
      </c>
      <c r="D162" s="2696"/>
      <c r="E162" s="2697" t="s">
        <v>1958</v>
      </c>
      <c r="F162" s="2697"/>
      <c r="G162" s="2697"/>
      <c r="H162" s="2697"/>
      <c r="I162" s="2697"/>
      <c r="J162" s="2697"/>
      <c r="K162" s="2697"/>
      <c r="L162" s="2697"/>
      <c r="M162" s="2698"/>
      <c r="N162" s="2699">
        <v>0</v>
      </c>
      <c r="O162" s="2699"/>
      <c r="P162" s="2699"/>
      <c r="Q162" s="2699"/>
      <c r="R162" s="2699"/>
      <c r="S162" s="2699"/>
      <c r="T162" s="2700"/>
      <c r="U162" s="2701"/>
      <c r="V162" s="2702"/>
      <c r="W162" s="2702"/>
      <c r="X162" s="2702"/>
      <c r="Y162" s="2702"/>
      <c r="Z162" s="2702"/>
      <c r="AA162" s="2702"/>
      <c r="AB162" s="2702"/>
      <c r="AC162" s="2702"/>
      <c r="AD162" s="2702"/>
      <c r="AE162" s="2703"/>
      <c r="AF162" s="1706"/>
      <c r="AG162" s="1706"/>
      <c r="AH162" s="2672" t="s">
        <v>2338</v>
      </c>
      <c r="AI162" s="2673"/>
      <c r="AJ162" s="2673"/>
      <c r="AK162" s="2673"/>
      <c r="AL162" s="2673"/>
      <c r="AM162" s="2673"/>
      <c r="AN162" s="2673"/>
      <c r="AO162" s="2673"/>
      <c r="AP162" s="2673"/>
      <c r="AQ162" s="2673"/>
      <c r="AR162" s="2673"/>
      <c r="AS162" s="2674">
        <v>25000000</v>
      </c>
      <c r="AT162" s="2674"/>
      <c r="AU162" s="2674"/>
      <c r="AV162" s="2674"/>
      <c r="AW162" s="2674"/>
      <c r="AX162" s="2674"/>
      <c r="AY162" s="2674">
        <v>1500000</v>
      </c>
      <c r="AZ162" s="2674"/>
      <c r="BA162" s="2674"/>
      <c r="BB162" s="2674"/>
      <c r="BC162" s="2674"/>
      <c r="BD162" s="2675"/>
      <c r="BE162" s="1712"/>
    </row>
    <row r="163" spans="1:57" ht="15.75" customHeight="1" thickBot="1">
      <c r="A163" s="1706"/>
      <c r="B163" s="1706"/>
      <c r="C163" s="2686" t="s">
        <v>305</v>
      </c>
      <c r="D163" s="2687"/>
      <c r="E163" s="2688" t="s">
        <v>1958</v>
      </c>
      <c r="F163" s="2688"/>
      <c r="G163" s="2688"/>
      <c r="H163" s="2688"/>
      <c r="I163" s="2688"/>
      <c r="J163" s="2688"/>
      <c r="K163" s="2688"/>
      <c r="L163" s="2688"/>
      <c r="M163" s="2689"/>
      <c r="N163" s="2690">
        <v>0</v>
      </c>
      <c r="O163" s="2690"/>
      <c r="P163" s="2690"/>
      <c r="Q163" s="2690"/>
      <c r="R163" s="2690"/>
      <c r="S163" s="2690"/>
      <c r="T163" s="2691"/>
      <c r="U163" s="2692"/>
      <c r="V163" s="2693"/>
      <c r="W163" s="2693"/>
      <c r="X163" s="2693"/>
      <c r="Y163" s="2693"/>
      <c r="Z163" s="2693"/>
      <c r="AA163" s="2693"/>
      <c r="AB163" s="2693"/>
      <c r="AC163" s="2693"/>
      <c r="AD163" s="2693"/>
      <c r="AE163" s="2694"/>
      <c r="AF163" s="1706"/>
      <c r="AG163" s="1706"/>
      <c r="AH163" s="2672" t="s">
        <v>2339</v>
      </c>
      <c r="AI163" s="2673"/>
      <c r="AJ163" s="2673"/>
      <c r="AK163" s="2673"/>
      <c r="AL163" s="2673"/>
      <c r="AM163" s="2673"/>
      <c r="AN163" s="2673"/>
      <c r="AO163" s="2673"/>
      <c r="AP163" s="2673"/>
      <c r="AQ163" s="2673"/>
      <c r="AR163" s="2673"/>
      <c r="AS163" s="2674">
        <v>1500000</v>
      </c>
      <c r="AT163" s="2674"/>
      <c r="AU163" s="2674"/>
      <c r="AV163" s="2674"/>
      <c r="AW163" s="2674"/>
      <c r="AX163" s="2674"/>
      <c r="AY163" s="2674">
        <v>250000</v>
      </c>
      <c r="AZ163" s="2674"/>
      <c r="BA163" s="2674"/>
      <c r="BB163" s="2674"/>
      <c r="BC163" s="2674"/>
      <c r="BD163" s="2675"/>
      <c r="BE163" s="1712"/>
    </row>
    <row r="164" spans="1:57" ht="15.75" customHeight="1">
      <c r="A164" s="1706"/>
      <c r="B164" s="1706"/>
      <c r="C164" s="2680" t="s">
        <v>1974</v>
      </c>
      <c r="D164" s="2681"/>
      <c r="E164" s="2681"/>
      <c r="F164" s="2681"/>
      <c r="G164" s="2681"/>
      <c r="H164" s="2681"/>
      <c r="I164" s="2681"/>
      <c r="J164" s="2681"/>
      <c r="K164" s="2681"/>
      <c r="L164" s="2681"/>
      <c r="M164" s="2682"/>
      <c r="N164" s="2683">
        <f>SUM(N156:T163)</f>
        <v>2093751</v>
      </c>
      <c r="O164" s="2684"/>
      <c r="P164" s="2684"/>
      <c r="Q164" s="2684"/>
      <c r="R164" s="2684"/>
      <c r="S164" s="2684"/>
      <c r="T164" s="2685"/>
      <c r="U164" s="1706"/>
      <c r="V164" s="1706"/>
      <c r="W164" s="1706"/>
      <c r="X164" s="1706"/>
      <c r="Y164" s="1706"/>
      <c r="Z164" s="1706"/>
      <c r="AA164" s="1706"/>
      <c r="AB164" s="1706"/>
      <c r="AC164" s="1706"/>
      <c r="AD164" s="1706"/>
      <c r="AE164" s="1706"/>
      <c r="AF164" s="1706"/>
      <c r="AG164" s="1706"/>
      <c r="AH164" s="2672" t="s">
        <v>2340</v>
      </c>
      <c r="AI164" s="2673"/>
      <c r="AJ164" s="2673"/>
      <c r="AK164" s="2673"/>
      <c r="AL164" s="2673"/>
      <c r="AM164" s="2673"/>
      <c r="AN164" s="2673"/>
      <c r="AO164" s="2673"/>
      <c r="AP164" s="2673"/>
      <c r="AQ164" s="2673"/>
      <c r="AR164" s="2673"/>
      <c r="AS164" s="2674">
        <v>500000</v>
      </c>
      <c r="AT164" s="2674"/>
      <c r="AU164" s="2674"/>
      <c r="AV164" s="2674"/>
      <c r="AW164" s="2674"/>
      <c r="AX164" s="2674"/>
      <c r="AY164" s="2674">
        <v>0</v>
      </c>
      <c r="AZ164" s="2674"/>
      <c r="BA164" s="2674"/>
      <c r="BB164" s="2674"/>
      <c r="BC164" s="2674"/>
      <c r="BD164" s="2675"/>
      <c r="BE164" s="1712"/>
    </row>
    <row r="165" spans="1:57" ht="15.75" customHeight="1" thickBot="1">
      <c r="A165" s="1706"/>
      <c r="B165" s="1706"/>
      <c r="C165" s="2668" t="s">
        <v>1975</v>
      </c>
      <c r="D165" s="2669"/>
      <c r="E165" s="2669"/>
      <c r="F165" s="2669"/>
      <c r="G165" s="2669"/>
      <c r="H165" s="2669"/>
      <c r="I165" s="2669"/>
      <c r="J165" s="2669"/>
      <c r="K165" s="2669"/>
      <c r="L165" s="2669"/>
      <c r="M165" s="2669"/>
      <c r="N165" s="2670">
        <f>(N154-N164)/J29</f>
        <v>682922.70833333337</v>
      </c>
      <c r="O165" s="2670"/>
      <c r="P165" s="2670"/>
      <c r="Q165" s="2670"/>
      <c r="R165" s="2670"/>
      <c r="S165" s="2670"/>
      <c r="T165" s="2671"/>
      <c r="U165" s="1713"/>
      <c r="V165" s="1706"/>
      <c r="W165" s="1706"/>
      <c r="X165" s="1706"/>
      <c r="Y165" s="1706"/>
      <c r="Z165" s="1706"/>
      <c r="AA165" s="1706"/>
      <c r="AB165" s="1706"/>
      <c r="AC165" s="1706"/>
      <c r="AD165" s="1706"/>
      <c r="AE165" s="1706"/>
      <c r="AF165" s="1706"/>
      <c r="AG165" s="1706"/>
      <c r="AH165" s="2672" t="s">
        <v>2341</v>
      </c>
      <c r="AI165" s="2673"/>
      <c r="AJ165" s="2673"/>
      <c r="AK165" s="2673"/>
      <c r="AL165" s="2673"/>
      <c r="AM165" s="2673"/>
      <c r="AN165" s="2673"/>
      <c r="AO165" s="2673"/>
      <c r="AP165" s="2673"/>
      <c r="AQ165" s="2673"/>
      <c r="AR165" s="2673"/>
      <c r="AS165" s="2674">
        <v>0</v>
      </c>
      <c r="AT165" s="2674"/>
      <c r="AU165" s="2674"/>
      <c r="AV165" s="2674"/>
      <c r="AW165" s="2674"/>
      <c r="AX165" s="2674"/>
      <c r="AY165" s="2674">
        <v>0</v>
      </c>
      <c r="AZ165" s="2674"/>
      <c r="BA165" s="2674"/>
      <c r="BB165" s="2674"/>
      <c r="BC165" s="2674"/>
      <c r="BD165" s="2675"/>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6" t="s">
        <v>1971</v>
      </c>
      <c r="AI166" s="2677"/>
      <c r="AJ166" s="2677"/>
      <c r="AK166" s="2677"/>
      <c r="AL166" s="2677"/>
      <c r="AM166" s="2677"/>
      <c r="AN166" s="2677"/>
      <c r="AO166" s="2677"/>
      <c r="AP166" s="2677"/>
      <c r="AQ166" s="2677"/>
      <c r="AR166" s="2677"/>
      <c r="AS166" s="2678">
        <f>SUM(AS160:AX165)</f>
        <v>30000000</v>
      </c>
      <c r="AT166" s="2678"/>
      <c r="AU166" s="2678"/>
      <c r="AV166" s="2678"/>
      <c r="AW166" s="2678"/>
      <c r="AX166" s="2678"/>
      <c r="AY166" s="2678">
        <f>SUM(AY160:BD165)</f>
        <v>2500000</v>
      </c>
      <c r="AZ166" s="2678"/>
      <c r="BA166" s="2678"/>
      <c r="BB166" s="2678"/>
      <c r="BC166" s="2678"/>
      <c r="BD166" s="267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5" t="s">
        <v>1976</v>
      </c>
      <c r="C168" s="2656"/>
      <c r="D168" s="2656"/>
      <c r="E168" s="2656"/>
      <c r="F168" s="2656"/>
      <c r="G168" s="2656"/>
      <c r="H168" s="2656"/>
      <c r="I168" s="2656"/>
      <c r="J168" s="2656"/>
      <c r="K168" s="2656"/>
      <c r="L168" s="2656"/>
      <c r="M168" s="2656"/>
      <c r="N168" s="2656"/>
      <c r="O168" s="2656"/>
      <c r="P168" s="2656"/>
      <c r="Q168" s="2656"/>
      <c r="R168" s="2656"/>
      <c r="S168" s="2656"/>
      <c r="T168" s="2656"/>
      <c r="U168" s="2656"/>
      <c r="V168" s="2656"/>
      <c r="W168" s="2656"/>
      <c r="X168" s="2656"/>
      <c r="Y168" s="2656"/>
      <c r="Z168" s="2656"/>
      <c r="AA168" s="2656"/>
      <c r="AB168" s="2656"/>
      <c r="AC168" s="2656"/>
      <c r="AD168" s="2656"/>
      <c r="AE168" s="2656"/>
      <c r="AF168" s="2656"/>
      <c r="AG168" s="2656"/>
      <c r="AH168" s="2656"/>
      <c r="AI168" s="2656"/>
      <c r="AJ168" s="2656"/>
      <c r="AK168" s="2656"/>
      <c r="AL168" s="2656"/>
      <c r="AM168" s="2656"/>
      <c r="AN168" s="2656"/>
      <c r="AO168" s="2656"/>
      <c r="AP168" s="2656"/>
      <c r="AQ168" s="2656"/>
      <c r="AR168" s="2656"/>
      <c r="AS168" s="2656"/>
      <c r="AT168" s="2656"/>
      <c r="AU168" s="2656"/>
      <c r="AV168" s="2656"/>
      <c r="AW168" s="2656"/>
      <c r="AX168" s="2656"/>
      <c r="AY168" s="2656"/>
      <c r="AZ168" s="2656"/>
      <c r="BA168" s="2656"/>
      <c r="BB168" s="2656"/>
      <c r="BC168" s="2656"/>
      <c r="BD168" s="2657"/>
      <c r="BE168" s="1712"/>
    </row>
    <row r="169" spans="1:57" ht="15.75" customHeight="1">
      <c r="A169" s="1706"/>
      <c r="B169" s="2658"/>
      <c r="C169" s="2659"/>
      <c r="D169" s="2659"/>
      <c r="E169" s="2659"/>
      <c r="F169" s="2659"/>
      <c r="G169" s="2659"/>
      <c r="H169" s="2659"/>
      <c r="I169" s="2659"/>
      <c r="J169" s="2659"/>
      <c r="K169" s="2659"/>
      <c r="L169" s="2659"/>
      <c r="M169" s="2659"/>
      <c r="N169" s="2659"/>
      <c r="O169" s="2659"/>
      <c r="P169" s="2659"/>
      <c r="Q169" s="2659"/>
      <c r="R169" s="2659"/>
      <c r="S169" s="2659"/>
      <c r="T169" s="2659"/>
      <c r="U169" s="2659"/>
      <c r="V169" s="2659"/>
      <c r="W169" s="2659"/>
      <c r="X169" s="2659"/>
      <c r="Y169" s="2659"/>
      <c r="Z169" s="2659"/>
      <c r="AA169" s="2659"/>
      <c r="AB169" s="2659"/>
      <c r="AC169" s="2659"/>
      <c r="AD169" s="2659"/>
      <c r="AE169" s="2659"/>
      <c r="AF169" s="2659"/>
      <c r="AG169" s="2659"/>
      <c r="AH169" s="2659"/>
      <c r="AI169" s="2659"/>
      <c r="AJ169" s="2659"/>
      <c r="AK169" s="2659"/>
      <c r="AL169" s="2659"/>
      <c r="AM169" s="2659"/>
      <c r="AN169" s="2659"/>
      <c r="AO169" s="2659"/>
      <c r="AP169" s="2659"/>
      <c r="AQ169" s="2659"/>
      <c r="AR169" s="2659"/>
      <c r="AS169" s="2659"/>
      <c r="AT169" s="2659"/>
      <c r="AU169" s="2659"/>
      <c r="AV169" s="2659"/>
      <c r="AW169" s="2659"/>
      <c r="AX169" s="2659"/>
      <c r="AY169" s="2659"/>
      <c r="AZ169" s="2659"/>
      <c r="BA169" s="2659"/>
      <c r="BB169" s="2659"/>
      <c r="BC169" s="2659"/>
      <c r="BD169" s="2660"/>
      <c r="BE169" s="1712"/>
    </row>
    <row r="170" spans="1:57" ht="15.75" customHeight="1">
      <c r="A170" s="1706"/>
      <c r="B170" s="2661" t="s">
        <v>1977</v>
      </c>
      <c r="C170" s="2662"/>
      <c r="D170" s="2662"/>
      <c r="E170" s="2662"/>
      <c r="F170" s="2662"/>
      <c r="G170" s="2662"/>
      <c r="H170" s="2662"/>
      <c r="I170" s="2662"/>
      <c r="J170" s="2662"/>
      <c r="K170" s="2662"/>
      <c r="L170" s="2662"/>
      <c r="M170" s="2662"/>
      <c r="N170" s="2662"/>
      <c r="O170" s="2662"/>
      <c r="P170" s="2662"/>
      <c r="Q170" s="2662"/>
      <c r="R170" s="2662"/>
      <c r="S170" s="2662"/>
      <c r="T170" s="2662"/>
      <c r="U170" s="2662"/>
      <c r="V170" s="2662"/>
      <c r="W170" s="2662"/>
      <c r="X170" s="2662"/>
      <c r="Y170" s="2662"/>
      <c r="Z170" s="2662"/>
      <c r="AA170" s="2662"/>
      <c r="AB170" s="2662"/>
      <c r="AC170" s="2662"/>
      <c r="AD170" s="2662"/>
      <c r="AE170" s="2662"/>
      <c r="AF170" s="2662"/>
      <c r="AG170" s="2662"/>
      <c r="AH170" s="2662"/>
      <c r="AI170" s="2662"/>
      <c r="AJ170" s="2662"/>
      <c r="AK170" s="2662"/>
      <c r="AL170" s="2662"/>
      <c r="AM170" s="2662"/>
      <c r="AN170" s="2662"/>
      <c r="AO170" s="2662"/>
      <c r="AP170" s="2662"/>
      <c r="AQ170" s="2662"/>
      <c r="AR170" s="2662"/>
      <c r="AS170" s="2662"/>
      <c r="AT170" s="2662"/>
      <c r="AU170" s="2662"/>
      <c r="AV170" s="2662"/>
      <c r="AW170" s="2662"/>
      <c r="AX170" s="2662"/>
      <c r="AY170" s="2662"/>
      <c r="AZ170" s="2662"/>
      <c r="BA170" s="2662"/>
      <c r="BB170" s="2662"/>
      <c r="BC170" s="2662"/>
      <c r="BD170" s="2663"/>
      <c r="BE170" s="1712"/>
    </row>
    <row r="171" spans="1:57" ht="15.75" customHeight="1">
      <c r="A171" s="1706"/>
      <c r="B171" s="2661" t="s">
        <v>1978</v>
      </c>
      <c r="C171" s="2662"/>
      <c r="D171" s="2662"/>
      <c r="E171" s="2662"/>
      <c r="F171" s="2662"/>
      <c r="G171" s="2662"/>
      <c r="H171" s="2662"/>
      <c r="I171" s="2662"/>
      <c r="J171" s="2662"/>
      <c r="K171" s="2662"/>
      <c r="L171" s="2662"/>
      <c r="M171" s="2662"/>
      <c r="N171" s="2662"/>
      <c r="O171" s="2662"/>
      <c r="P171" s="2662"/>
      <c r="Q171" s="2662"/>
      <c r="R171" s="2662"/>
      <c r="S171" s="2662"/>
      <c r="T171" s="2662"/>
      <c r="U171" s="2662"/>
      <c r="V171" s="2662"/>
      <c r="W171" s="2662"/>
      <c r="X171" s="2662"/>
      <c r="Y171" s="2662"/>
      <c r="Z171" s="2662"/>
      <c r="AA171" s="2662"/>
      <c r="AB171" s="2662"/>
      <c r="AC171" s="2662"/>
      <c r="AD171" s="2662"/>
      <c r="AE171" s="2662"/>
      <c r="AF171" s="2662"/>
      <c r="AG171" s="2662"/>
      <c r="AH171" s="2662"/>
      <c r="AI171" s="2662"/>
      <c r="AJ171" s="2662"/>
      <c r="AK171" s="2662"/>
      <c r="AL171" s="2662"/>
      <c r="AM171" s="2662"/>
      <c r="AN171" s="2662"/>
      <c r="AO171" s="2662"/>
      <c r="AP171" s="2662"/>
      <c r="AQ171" s="2662"/>
      <c r="AR171" s="2662"/>
      <c r="AS171" s="2662"/>
      <c r="AT171" s="2662"/>
      <c r="AU171" s="2662"/>
      <c r="AV171" s="2662"/>
      <c r="AW171" s="2662"/>
      <c r="AX171" s="2662"/>
      <c r="AY171" s="2662"/>
      <c r="AZ171" s="2662"/>
      <c r="BA171" s="2662"/>
      <c r="BB171" s="2662"/>
      <c r="BC171" s="2662"/>
      <c r="BD171" s="266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4" t="s">
        <v>1979</v>
      </c>
      <c r="C173" s="2665"/>
      <c r="D173" s="2665"/>
      <c r="E173" s="2665"/>
      <c r="F173" s="2665"/>
      <c r="G173" s="2665"/>
      <c r="H173" s="2665"/>
      <c r="I173" s="2665"/>
      <c r="J173" s="2665"/>
      <c r="K173" s="2665"/>
      <c r="L173" s="2665"/>
      <c r="M173" s="2665"/>
      <c r="N173" s="2665"/>
      <c r="O173" s="2665"/>
      <c r="P173" s="2665"/>
      <c r="Q173" s="2665"/>
      <c r="R173" s="2665"/>
      <c r="S173" s="2665"/>
      <c r="T173" s="2665"/>
      <c r="U173" s="2665"/>
      <c r="V173" s="2665"/>
      <c r="W173" s="2665"/>
      <c r="X173" s="2665"/>
      <c r="Y173" s="2665"/>
      <c r="Z173" s="2665"/>
      <c r="AA173" s="2665"/>
      <c r="AB173" s="2665"/>
      <c r="AC173" s="2665"/>
      <c r="AD173" s="2665"/>
      <c r="AE173" s="2665"/>
      <c r="AF173" s="2665"/>
      <c r="AG173" s="2665"/>
      <c r="AH173" s="2665"/>
      <c r="AI173" s="2665"/>
      <c r="AJ173" s="2665"/>
      <c r="AK173" s="2665"/>
      <c r="AL173" s="2665"/>
      <c r="AM173" s="2665"/>
      <c r="AN173" s="2665"/>
      <c r="AO173" s="2665"/>
      <c r="AP173" s="2665"/>
      <c r="AQ173" s="2665"/>
      <c r="AR173" s="2665"/>
      <c r="AS173" s="2665"/>
      <c r="AT173" s="2665"/>
      <c r="AU173" s="2665"/>
      <c r="AV173" s="2665"/>
      <c r="AW173" s="2665"/>
      <c r="AX173" s="2665"/>
      <c r="AY173" s="2665"/>
      <c r="AZ173" s="2665"/>
      <c r="BA173" s="2665"/>
      <c r="BB173" s="2665"/>
      <c r="BC173" s="2665"/>
      <c r="BD173" s="266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7" t="s">
        <v>1981</v>
      </c>
      <c r="I177" s="2667"/>
      <c r="J177" s="2667"/>
      <c r="K177" s="2667"/>
      <c r="L177" s="2667"/>
      <c r="M177" s="2667"/>
      <c r="N177" s="2667"/>
      <c r="O177" s="2667"/>
      <c r="P177" s="2667"/>
      <c r="Q177" s="2667"/>
      <c r="R177" s="2667"/>
      <c r="S177" s="2667"/>
      <c r="T177" s="2667"/>
      <c r="U177" s="2667"/>
      <c r="V177" s="2667"/>
      <c r="W177" s="2667"/>
      <c r="X177" s="2667"/>
      <c r="Y177" s="2667"/>
      <c r="Z177" s="2667"/>
      <c r="AA177" s="2667"/>
      <c r="AB177" s="2667"/>
      <c r="AC177" s="2667"/>
      <c r="AD177" s="2667"/>
      <c r="AE177" s="2667"/>
      <c r="AF177" s="2667"/>
      <c r="AG177" s="2667"/>
      <c r="AH177" s="2667"/>
      <c r="AI177" s="2667"/>
      <c r="AJ177" s="2667"/>
      <c r="AK177" s="2667"/>
      <c r="AL177" s="2667"/>
      <c r="AM177" s="2667"/>
      <c r="AN177" s="2667"/>
      <c r="AO177" s="2667"/>
      <c r="AP177" s="2667"/>
      <c r="AQ177" s="2667"/>
      <c r="AR177" s="2667"/>
      <c r="AS177" s="2667"/>
      <c r="AT177" s="2667"/>
      <c r="AU177" s="2667"/>
      <c r="AV177" s="2667"/>
      <c r="AW177" s="2667"/>
      <c r="AX177" s="2667"/>
      <c r="AY177" s="266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4" t="s">
        <v>2313</v>
      </c>
      <c r="I179" s="2654"/>
      <c r="J179" s="2654"/>
      <c r="K179" s="2654"/>
      <c r="L179" s="2654"/>
      <c r="M179" s="2654"/>
      <c r="N179" s="2654"/>
      <c r="O179" s="2654"/>
      <c r="P179" s="2654"/>
      <c r="Q179" s="2654"/>
      <c r="R179" s="2654"/>
      <c r="S179" s="2654"/>
      <c r="T179" s="2654"/>
      <c r="U179" s="2654"/>
      <c r="V179" s="2654"/>
      <c r="W179" s="2654"/>
      <c r="X179" s="2654"/>
      <c r="Y179" s="2654"/>
      <c r="Z179" s="2654"/>
      <c r="AA179" s="2654"/>
      <c r="AB179" s="2654"/>
      <c r="AC179" s="2654"/>
      <c r="AD179" s="2654"/>
      <c r="AE179" s="2654"/>
      <c r="AF179" s="2654"/>
      <c r="AG179" s="2654"/>
      <c r="AH179" s="2654"/>
      <c r="AI179" s="2654"/>
      <c r="AJ179" s="2654"/>
      <c r="AK179" s="2654"/>
      <c r="AL179" s="2654"/>
      <c r="AM179" s="2654"/>
      <c r="AN179" s="2654"/>
      <c r="AO179" s="2654"/>
      <c r="AP179" s="2654"/>
      <c r="AQ179" s="2654"/>
      <c r="AR179" s="2654"/>
      <c r="AS179" s="2654"/>
      <c r="AT179" s="2654"/>
      <c r="AU179" s="2654"/>
      <c r="AV179" s="2654"/>
      <c r="AW179" s="2654"/>
      <c r="AX179" s="2654"/>
      <c r="AY179" s="2654"/>
      <c r="AZ179" s="2654"/>
      <c r="BA179" s="1706"/>
      <c r="BB179" s="1706"/>
      <c r="BC179" s="1706"/>
      <c r="BD179" s="1712"/>
      <c r="BE179" s="1712"/>
    </row>
    <row r="180" spans="1:57" ht="15.75" customHeight="1">
      <c r="A180" s="1706"/>
      <c r="B180" s="1705"/>
      <c r="C180" s="1706"/>
      <c r="D180" s="1706"/>
      <c r="E180" s="1706"/>
      <c r="F180" s="1706"/>
      <c r="G180" s="1706"/>
      <c r="H180" s="2654"/>
      <c r="I180" s="2654"/>
      <c r="J180" s="2654"/>
      <c r="K180" s="2654"/>
      <c r="L180" s="2654"/>
      <c r="M180" s="2654"/>
      <c r="N180" s="2654"/>
      <c r="O180" s="2654"/>
      <c r="P180" s="2654"/>
      <c r="Q180" s="2654"/>
      <c r="R180" s="2654"/>
      <c r="S180" s="2654"/>
      <c r="T180" s="2654"/>
      <c r="U180" s="2654"/>
      <c r="V180" s="2654"/>
      <c r="W180" s="2654"/>
      <c r="X180" s="2654"/>
      <c r="Y180" s="2654"/>
      <c r="Z180" s="2654"/>
      <c r="AA180" s="2654"/>
      <c r="AB180" s="2654"/>
      <c r="AC180" s="2654"/>
      <c r="AD180" s="2654"/>
      <c r="AE180" s="2654"/>
      <c r="AF180" s="2654"/>
      <c r="AG180" s="2654"/>
      <c r="AH180" s="2654"/>
      <c r="AI180" s="2654"/>
      <c r="AJ180" s="2654"/>
      <c r="AK180" s="2654"/>
      <c r="AL180" s="2654"/>
      <c r="AM180" s="2654"/>
      <c r="AN180" s="2654"/>
      <c r="AO180" s="2654"/>
      <c r="AP180" s="2654"/>
      <c r="AQ180" s="2654"/>
      <c r="AR180" s="2654"/>
      <c r="AS180" s="2654"/>
      <c r="AT180" s="2654"/>
      <c r="AU180" s="2654"/>
      <c r="AV180" s="2654"/>
      <c r="AW180" s="2654"/>
      <c r="AX180" s="2654"/>
      <c r="AY180" s="2654"/>
      <c r="AZ180" s="2654"/>
      <c r="BA180" s="1706"/>
      <c r="BB180" s="1706"/>
      <c r="BC180" s="1706"/>
      <c r="BD180" s="1712"/>
      <c r="BE180" s="1712"/>
    </row>
    <row r="181" spans="1:57" ht="15.75" customHeight="1">
      <c r="A181" s="1706"/>
      <c r="B181" s="1705"/>
      <c r="C181" s="1706"/>
      <c r="D181" s="1706"/>
      <c r="E181" s="1706"/>
      <c r="F181" s="1706"/>
      <c r="G181" s="1706"/>
      <c r="H181" s="2654"/>
      <c r="I181" s="2654"/>
      <c r="J181" s="2654"/>
      <c r="K181" s="2654"/>
      <c r="L181" s="2654"/>
      <c r="M181" s="2654"/>
      <c r="N181" s="2654"/>
      <c r="O181" s="2654"/>
      <c r="P181" s="2654"/>
      <c r="Q181" s="2654"/>
      <c r="R181" s="2654"/>
      <c r="S181" s="2654"/>
      <c r="T181" s="2654"/>
      <c r="U181" s="2654"/>
      <c r="V181" s="2654"/>
      <c r="W181" s="2654"/>
      <c r="X181" s="2654"/>
      <c r="Y181" s="2654"/>
      <c r="Z181" s="2654"/>
      <c r="AA181" s="2654"/>
      <c r="AB181" s="2654"/>
      <c r="AC181" s="2654"/>
      <c r="AD181" s="2654"/>
      <c r="AE181" s="2654"/>
      <c r="AF181" s="2654"/>
      <c r="AG181" s="2654"/>
      <c r="AH181" s="2654"/>
      <c r="AI181" s="2654"/>
      <c r="AJ181" s="2654"/>
      <c r="AK181" s="2654"/>
      <c r="AL181" s="2654"/>
      <c r="AM181" s="2654"/>
      <c r="AN181" s="2654"/>
      <c r="AO181" s="2654"/>
      <c r="AP181" s="2654"/>
      <c r="AQ181" s="2654"/>
      <c r="AR181" s="2654"/>
      <c r="AS181" s="2654"/>
      <c r="AT181" s="2654"/>
      <c r="AU181" s="2654"/>
      <c r="AV181" s="2654"/>
      <c r="AW181" s="2654"/>
      <c r="AX181" s="2654"/>
      <c r="AY181" s="2654"/>
      <c r="AZ181" s="2654"/>
      <c r="BA181" s="1706"/>
      <c r="BB181" s="1706"/>
      <c r="BC181" s="1706"/>
      <c r="BD181" s="1712"/>
      <c r="BE181" s="1712"/>
    </row>
    <row r="182" spans="1:57" ht="15.75" customHeight="1">
      <c r="A182" s="1706"/>
      <c r="B182" s="1705"/>
      <c r="C182" s="1706"/>
      <c r="D182" s="1706"/>
      <c r="E182" s="1706"/>
      <c r="F182" s="1706"/>
      <c r="G182" s="1706"/>
      <c r="H182" s="2654"/>
      <c r="I182" s="2654"/>
      <c r="J182" s="2654"/>
      <c r="K182" s="2654"/>
      <c r="L182" s="2654"/>
      <c r="M182" s="2654"/>
      <c r="N182" s="2654"/>
      <c r="O182" s="2654"/>
      <c r="P182" s="2654"/>
      <c r="Q182" s="2654"/>
      <c r="R182" s="2654"/>
      <c r="S182" s="2654"/>
      <c r="T182" s="2654"/>
      <c r="U182" s="2654"/>
      <c r="V182" s="2654"/>
      <c r="W182" s="2654"/>
      <c r="X182" s="2654"/>
      <c r="Y182" s="2654"/>
      <c r="Z182" s="2654"/>
      <c r="AA182" s="2654"/>
      <c r="AB182" s="2654"/>
      <c r="AC182" s="2654"/>
      <c r="AD182" s="2654"/>
      <c r="AE182" s="2654"/>
      <c r="AF182" s="2654"/>
      <c r="AG182" s="2654"/>
      <c r="AH182" s="2654"/>
      <c r="AI182" s="2654"/>
      <c r="AJ182" s="2654"/>
      <c r="AK182" s="2654"/>
      <c r="AL182" s="2654"/>
      <c r="AM182" s="2654"/>
      <c r="AN182" s="2654"/>
      <c r="AO182" s="2654"/>
      <c r="AP182" s="2654"/>
      <c r="AQ182" s="2654"/>
      <c r="AR182" s="2654"/>
      <c r="AS182" s="2654"/>
      <c r="AT182" s="2654"/>
      <c r="AU182" s="2654"/>
      <c r="AV182" s="2654"/>
      <c r="AW182" s="2654"/>
      <c r="AX182" s="2654"/>
      <c r="AY182" s="2654"/>
      <c r="AZ182" s="265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3" t="s">
        <v>1982</v>
      </c>
      <c r="I184" s="2653"/>
      <c r="J184" s="2653"/>
      <c r="K184" s="2653"/>
      <c r="L184" s="2653"/>
      <c r="M184" s="2653"/>
      <c r="N184" s="2653"/>
      <c r="O184" s="2653"/>
      <c r="P184" s="2653"/>
      <c r="Q184" s="2653"/>
      <c r="R184" s="2653"/>
      <c r="S184" s="2653"/>
      <c r="T184" s="2653"/>
      <c r="U184" s="2653"/>
      <c r="V184" s="2653"/>
      <c r="W184" s="2653"/>
      <c r="X184" s="2653"/>
      <c r="Y184" s="2653"/>
      <c r="Z184" s="2653"/>
      <c r="AA184" s="2653"/>
      <c r="AB184" s="2653"/>
      <c r="AC184" s="2653"/>
      <c r="AD184" s="2653"/>
      <c r="AE184" s="2653"/>
      <c r="AF184" s="2653"/>
      <c r="AG184" s="2653"/>
      <c r="AH184" s="2653"/>
      <c r="AI184" s="2653"/>
      <c r="AJ184" s="2653"/>
      <c r="AK184" s="2653"/>
      <c r="AL184" s="2653"/>
      <c r="AM184" s="2653"/>
      <c r="AN184" s="2653"/>
      <c r="AO184" s="2653"/>
      <c r="AP184" s="2653"/>
      <c r="AQ184" s="2653"/>
      <c r="AR184" s="2653"/>
      <c r="AS184" s="2653"/>
      <c r="AT184" s="2653"/>
      <c r="AU184" s="2653"/>
      <c r="AV184" s="265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7" t="s">
        <v>1983</v>
      </c>
      <c r="I186" s="2647"/>
      <c r="J186" s="2647"/>
      <c r="K186" s="2647"/>
      <c r="L186" s="1718"/>
      <c r="M186" s="1718"/>
      <c r="N186" s="1718"/>
      <c r="O186" s="1718"/>
      <c r="P186" s="1718"/>
      <c r="Q186" s="1718"/>
      <c r="R186" s="1718"/>
      <c r="S186" s="2648"/>
      <c r="T186" s="2649"/>
      <c r="U186" s="2649"/>
      <c r="V186" s="2649"/>
      <c r="W186" s="2649"/>
      <c r="X186" s="2649"/>
      <c r="Y186" s="2649"/>
      <c r="Z186" s="2649"/>
      <c r="AA186" s="2649"/>
      <c r="AB186" s="2649"/>
      <c r="AC186" s="2649"/>
      <c r="AD186" s="2649"/>
      <c r="AE186" s="2649"/>
      <c r="AF186" s="2649"/>
      <c r="AG186" s="2649"/>
      <c r="AH186" s="2649"/>
      <c r="AI186" s="2649"/>
      <c r="AJ186" s="265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7" t="s">
        <v>1984</v>
      </c>
      <c r="I188" s="2647"/>
      <c r="J188" s="2647"/>
      <c r="K188" s="1738"/>
      <c r="L188" s="1718"/>
      <c r="M188" s="1718"/>
      <c r="N188" s="1718"/>
      <c r="O188" s="1718"/>
      <c r="P188" s="1718"/>
      <c r="Q188" s="1718"/>
      <c r="R188" s="1718"/>
      <c r="S188" s="2648"/>
      <c r="T188" s="2649"/>
      <c r="U188" s="2649"/>
      <c r="V188" s="2649"/>
      <c r="W188" s="2649"/>
      <c r="X188" s="2649"/>
      <c r="Y188" s="2649"/>
      <c r="Z188" s="2649"/>
      <c r="AA188" s="2649"/>
      <c r="AB188" s="2649"/>
      <c r="AC188" s="2649"/>
      <c r="AD188" s="2649"/>
      <c r="AE188" s="2649"/>
      <c r="AF188" s="2649"/>
      <c r="AG188" s="2649"/>
      <c r="AH188" s="2649"/>
      <c r="AI188" s="2649"/>
      <c r="AJ188" s="265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7" t="s">
        <v>459</v>
      </c>
      <c r="I190" s="2647"/>
      <c r="J190" s="1738"/>
      <c r="K190" s="1738"/>
      <c r="L190" s="1718"/>
      <c r="M190" s="1718"/>
      <c r="N190" s="1718"/>
      <c r="O190" s="1718"/>
      <c r="P190" s="1718"/>
      <c r="Q190" s="1718"/>
      <c r="R190" s="1718"/>
      <c r="S190" s="2648"/>
      <c r="T190" s="2649"/>
      <c r="U190" s="2649"/>
      <c r="V190" s="2649"/>
      <c r="W190" s="2649"/>
      <c r="X190" s="2649"/>
      <c r="Y190" s="2649"/>
      <c r="Z190" s="2649"/>
      <c r="AA190" s="2649"/>
      <c r="AB190" s="2649"/>
      <c r="AC190" s="2649"/>
      <c r="AD190" s="2649"/>
      <c r="AE190" s="2649"/>
      <c r="AF190" s="2649"/>
      <c r="AG190" s="2649"/>
      <c r="AH190" s="2649"/>
      <c r="AI190" s="2649"/>
      <c r="AJ190" s="265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51" t="s">
        <v>1985</v>
      </c>
      <c r="I192" s="2651"/>
      <c r="J192" s="2651"/>
      <c r="K192" s="2651"/>
      <c r="L192" s="2651"/>
      <c r="M192" s="2651"/>
      <c r="N192" s="2651"/>
      <c r="O192" s="2651"/>
      <c r="P192" s="1718"/>
      <c r="Q192" s="1718"/>
      <c r="R192" s="1718"/>
      <c r="S192" s="2648"/>
      <c r="T192" s="2649"/>
      <c r="U192" s="2649"/>
      <c r="V192" s="2649"/>
      <c r="W192" s="2649"/>
      <c r="X192" s="2649"/>
      <c r="Y192" s="2649"/>
      <c r="Z192" s="2649"/>
      <c r="AA192" s="2649"/>
      <c r="AB192" s="2649"/>
      <c r="AC192" s="2649"/>
      <c r="AD192" s="2649"/>
      <c r="AE192" s="2649"/>
      <c r="AF192" s="2649"/>
      <c r="AG192" s="2649"/>
      <c r="AH192" s="2649"/>
      <c r="AI192" s="2649"/>
      <c r="AJ192" s="265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2" t="s">
        <v>1986</v>
      </c>
      <c r="I194" s="2652"/>
      <c r="J194" s="1718"/>
      <c r="K194" s="1718"/>
      <c r="L194" s="1718"/>
      <c r="M194" s="1718"/>
      <c r="N194" s="1718"/>
      <c r="O194" s="1718"/>
      <c r="P194" s="1718"/>
      <c r="Q194" s="1718"/>
      <c r="R194" s="1718"/>
      <c r="S194" s="2648"/>
      <c r="T194" s="2649"/>
      <c r="U194" s="2649"/>
      <c r="V194" s="2649"/>
      <c r="W194" s="2649"/>
      <c r="X194" s="2649"/>
      <c r="Y194" s="2649"/>
      <c r="Z194" s="2649"/>
      <c r="AA194" s="2649"/>
      <c r="AB194" s="2649"/>
      <c r="AC194" s="2649"/>
      <c r="AD194" s="2649"/>
      <c r="AE194" s="2649"/>
      <c r="AF194" s="2649"/>
      <c r="AG194" s="2649"/>
      <c r="AH194" s="2649"/>
      <c r="AI194" s="2649"/>
      <c r="AJ194" s="265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739" zoomScaleNormal="100" zoomScaleSheetLayoutView="100" workbookViewId="0">
      <selection activeCell="E770" sqref="E770:AD773"/>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30" t="s">
        <v>1496</v>
      </c>
      <c r="B1" s="3130"/>
      <c r="C1" s="3130"/>
      <c r="D1" s="3130"/>
      <c r="E1" s="3130"/>
      <c r="F1" s="3130"/>
      <c r="G1" s="3130"/>
      <c r="H1" s="3130"/>
      <c r="I1" s="3130"/>
      <c r="J1" s="3130"/>
      <c r="K1" s="3130"/>
      <c r="L1" s="3130"/>
      <c r="M1" s="3130"/>
      <c r="N1" s="3130"/>
      <c r="O1" s="3130"/>
      <c r="P1" s="3130"/>
      <c r="Q1" s="3130"/>
      <c r="R1" s="3130"/>
      <c r="S1" s="3130"/>
      <c r="T1" s="3130"/>
      <c r="U1" s="3130"/>
      <c r="V1" s="3130"/>
      <c r="W1" s="3130"/>
      <c r="X1" s="3130"/>
      <c r="Y1" s="3130"/>
      <c r="Z1" s="3130"/>
      <c r="AA1" s="3130"/>
      <c r="AB1" s="3130"/>
      <c r="AC1" s="3130"/>
      <c r="AD1" s="3130"/>
      <c r="AE1" s="3130"/>
      <c r="AF1" s="3130"/>
      <c r="AG1" s="3130"/>
      <c r="AH1" s="3130"/>
      <c r="AI1" s="3130"/>
      <c r="AJ1" s="3130"/>
      <c r="AK1" s="3130"/>
      <c r="AL1" s="3130"/>
      <c r="AM1" s="3130"/>
    </row>
    <row r="2" spans="1:42" s="917" customFormat="1" ht="12.75" customHeight="1" thickBot="1">
      <c r="A2" s="3131"/>
      <c r="B2" s="3131"/>
      <c r="C2" s="3131"/>
      <c r="D2" s="3131"/>
      <c r="E2" s="3131"/>
      <c r="F2" s="3131"/>
      <c r="G2" s="3131"/>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8" t="s">
        <v>1501</v>
      </c>
      <c r="AF7" s="3108"/>
      <c r="AG7" s="3108"/>
      <c r="AH7" s="3108"/>
      <c r="AI7" s="3108"/>
      <c r="AJ7" s="3108"/>
      <c r="AK7" s="3108"/>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8" t="s">
        <v>617</v>
      </c>
      <c r="C13" s="3098"/>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32"/>
      <c r="AH13" s="3132"/>
      <c r="AI13" s="3132"/>
      <c r="AJ13" s="313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8" t="s">
        <v>617</v>
      </c>
      <c r="C16" s="3098"/>
      <c r="D16" s="930"/>
      <c r="E16" s="3109" t="s">
        <v>1503</v>
      </c>
      <c r="F16" s="3110"/>
      <c r="G16" s="3110"/>
      <c r="H16" s="3110"/>
      <c r="I16" s="3110"/>
      <c r="J16" s="3110"/>
      <c r="K16" s="3110"/>
      <c r="L16" s="3110"/>
      <c r="M16" s="3110"/>
      <c r="N16" s="3110"/>
      <c r="O16" s="3110"/>
      <c r="P16" s="3110"/>
      <c r="Q16" s="3110"/>
      <c r="R16" s="3110"/>
      <c r="S16" s="3110"/>
      <c r="T16" s="3110"/>
      <c r="U16" s="3110"/>
      <c r="V16" s="3110"/>
      <c r="W16" s="3110"/>
      <c r="X16" s="3110"/>
      <c r="Y16" s="3110"/>
      <c r="Z16" s="3110"/>
      <c r="AA16" s="3110"/>
      <c r="AB16" s="3110"/>
      <c r="AC16" s="3110"/>
      <c r="AD16" s="3110"/>
      <c r="AE16" s="3110"/>
      <c r="AF16" s="3110"/>
      <c r="AG16" s="3110"/>
      <c r="AH16" s="3110"/>
      <c r="AI16" s="3110"/>
      <c r="AJ16" s="3111"/>
      <c r="AK16" s="923"/>
      <c r="AL16" s="923"/>
      <c r="AM16" s="923"/>
      <c r="AN16" s="919"/>
      <c r="AO16" s="933">
        <f>IF($B25="yes",20,0)</f>
        <v>0</v>
      </c>
      <c r="AP16" s="51"/>
    </row>
    <row r="17" spans="1:42" s="920" customFormat="1" ht="12.75" customHeight="1">
      <c r="A17" s="923"/>
      <c r="B17" s="923"/>
      <c r="C17" s="923"/>
      <c r="D17" s="934"/>
      <c r="E17" s="3112"/>
      <c r="F17" s="3113"/>
      <c r="G17" s="3113"/>
      <c r="H17" s="3113"/>
      <c r="I17" s="3113"/>
      <c r="J17" s="3113"/>
      <c r="K17" s="3113"/>
      <c r="L17" s="3113"/>
      <c r="M17" s="3113"/>
      <c r="N17" s="3113"/>
      <c r="O17" s="3113"/>
      <c r="P17" s="3113"/>
      <c r="Q17" s="3113"/>
      <c r="R17" s="3113"/>
      <c r="S17" s="3113"/>
      <c r="T17" s="3113"/>
      <c r="U17" s="3113"/>
      <c r="V17" s="3113"/>
      <c r="W17" s="3113"/>
      <c r="X17" s="3113"/>
      <c r="Y17" s="3113"/>
      <c r="Z17" s="3113"/>
      <c r="AA17" s="3113"/>
      <c r="AB17" s="3113"/>
      <c r="AC17" s="3113"/>
      <c r="AD17" s="3113"/>
      <c r="AE17" s="3113"/>
      <c r="AF17" s="3113"/>
      <c r="AG17" s="3113"/>
      <c r="AH17" s="3113"/>
      <c r="AI17" s="3113"/>
      <c r="AJ17" s="3114"/>
      <c r="AK17" s="923"/>
      <c r="AL17" s="923"/>
      <c r="AM17" s="923"/>
      <c r="AN17" s="919"/>
      <c r="AO17" s="920">
        <f>IF(SUM(AO13:AO16)&gt;20,20,(SUM(AO13:AO16)))</f>
        <v>0</v>
      </c>
      <c r="AP17" s="920" t="s">
        <v>1504</v>
      </c>
    </row>
    <row r="18" spans="1:42" s="920" customFormat="1" ht="12.75" customHeight="1">
      <c r="A18" s="923"/>
      <c r="B18" s="923"/>
      <c r="C18" s="923"/>
      <c r="D18" s="934"/>
      <c r="E18" s="3112"/>
      <c r="F18" s="3113"/>
      <c r="G18" s="3113"/>
      <c r="H18" s="3113"/>
      <c r="I18" s="3113"/>
      <c r="J18" s="3113"/>
      <c r="K18" s="3113"/>
      <c r="L18" s="3113"/>
      <c r="M18" s="3113"/>
      <c r="N18" s="3113"/>
      <c r="O18" s="3113"/>
      <c r="P18" s="3113"/>
      <c r="Q18" s="3113"/>
      <c r="R18" s="3113"/>
      <c r="S18" s="3113"/>
      <c r="T18" s="3113"/>
      <c r="U18" s="3113"/>
      <c r="V18" s="3113"/>
      <c r="W18" s="3113"/>
      <c r="X18" s="3113"/>
      <c r="Y18" s="3113"/>
      <c r="Z18" s="3113"/>
      <c r="AA18" s="3113"/>
      <c r="AB18" s="3113"/>
      <c r="AC18" s="3113"/>
      <c r="AD18" s="3113"/>
      <c r="AE18" s="3113"/>
      <c r="AF18" s="3113"/>
      <c r="AG18" s="3113"/>
      <c r="AH18" s="3113"/>
      <c r="AI18" s="3113"/>
      <c r="AJ18" s="3114"/>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43"/>
      <c r="F20" s="3144"/>
      <c r="G20" s="3144"/>
      <c r="H20" s="3144"/>
      <c r="I20" s="3144"/>
      <c r="J20" s="3144"/>
      <c r="K20" s="3144"/>
      <c r="L20" s="3144"/>
      <c r="M20" s="3144"/>
      <c r="N20" s="3144"/>
      <c r="O20" s="3144"/>
      <c r="P20" s="3144"/>
      <c r="Q20" s="3144"/>
      <c r="R20" s="3144"/>
      <c r="S20" s="3144"/>
      <c r="T20" s="3144"/>
      <c r="U20" s="3144"/>
      <c r="V20" s="3144"/>
      <c r="W20" s="3144"/>
      <c r="X20" s="3144"/>
      <c r="Y20" s="3144"/>
      <c r="Z20" s="3144"/>
      <c r="AA20" s="3144"/>
      <c r="AB20" s="3144"/>
      <c r="AC20" s="3144"/>
      <c r="AD20" s="3144"/>
      <c r="AE20" s="3144"/>
      <c r="AF20" s="3144"/>
      <c r="AG20" s="3144"/>
      <c r="AH20" s="3144"/>
      <c r="AI20" s="3144"/>
      <c r="AJ20" s="314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8" t="s">
        <v>617</v>
      </c>
      <c r="C22" s="3098"/>
      <c r="D22" s="930"/>
      <c r="E22" s="3137" t="s">
        <v>1506</v>
      </c>
      <c r="F22" s="3138"/>
      <c r="G22" s="3138"/>
      <c r="H22" s="3138"/>
      <c r="I22" s="3138"/>
      <c r="J22" s="3138"/>
      <c r="K22" s="3138"/>
      <c r="L22" s="3138"/>
      <c r="M22" s="3138"/>
      <c r="N22" s="3138"/>
      <c r="O22" s="3138"/>
      <c r="P22" s="3138"/>
      <c r="Q22" s="3138"/>
      <c r="R22" s="3138"/>
      <c r="S22" s="3138"/>
      <c r="T22" s="3138"/>
      <c r="U22" s="3138"/>
      <c r="V22" s="3138"/>
      <c r="W22" s="3138"/>
      <c r="X22" s="3138"/>
      <c r="Y22" s="3138"/>
      <c r="Z22" s="3138"/>
      <c r="AA22" s="3138"/>
      <c r="AB22" s="3138"/>
      <c r="AC22" s="3138"/>
      <c r="AD22" s="3138"/>
      <c r="AE22" s="3138"/>
      <c r="AF22" s="3138"/>
      <c r="AG22" s="3138"/>
      <c r="AH22" s="3138"/>
      <c r="AI22" s="3138"/>
      <c r="AJ22" s="3139"/>
      <c r="AK22" s="923"/>
      <c r="AL22" s="923"/>
      <c r="AM22" s="923"/>
      <c r="AN22" s="919"/>
      <c r="AO22" s="920">
        <f>IF(SUM(AO20:AO21)&gt;14,14,SUM(AO20:AO21))</f>
        <v>0</v>
      </c>
      <c r="AP22" s="920" t="s">
        <v>1504</v>
      </c>
    </row>
    <row r="23" spans="1:42" s="920" customFormat="1" ht="12.75" customHeight="1">
      <c r="A23" s="923"/>
      <c r="B23" s="923"/>
      <c r="C23" s="923"/>
      <c r="D23" s="933"/>
      <c r="E23" s="3140"/>
      <c r="F23" s="3141"/>
      <c r="G23" s="3141"/>
      <c r="H23" s="3141"/>
      <c r="I23" s="3141"/>
      <c r="J23" s="3141"/>
      <c r="K23" s="3141"/>
      <c r="L23" s="3141"/>
      <c r="M23" s="3141"/>
      <c r="N23" s="3141"/>
      <c r="O23" s="3141"/>
      <c r="P23" s="3141"/>
      <c r="Q23" s="3141"/>
      <c r="R23" s="3141"/>
      <c r="S23" s="3141"/>
      <c r="T23" s="3141"/>
      <c r="U23" s="3141"/>
      <c r="V23" s="3141"/>
      <c r="W23" s="3141"/>
      <c r="X23" s="3141"/>
      <c r="Y23" s="3141"/>
      <c r="Z23" s="3141"/>
      <c r="AA23" s="3141"/>
      <c r="AB23" s="3141"/>
      <c r="AC23" s="3141"/>
      <c r="AD23" s="3141"/>
      <c r="AE23" s="3141"/>
      <c r="AF23" s="3141"/>
      <c r="AG23" s="3141"/>
      <c r="AH23" s="3141"/>
      <c r="AI23" s="3141"/>
      <c r="AJ23" s="314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8" t="s">
        <v>617</v>
      </c>
      <c r="C25" s="3098"/>
      <c r="D25" s="930"/>
      <c r="E25" s="3099" t="s">
        <v>2501</v>
      </c>
      <c r="F25" s="3100"/>
      <c r="G25" s="3100"/>
      <c r="H25" s="3100"/>
      <c r="I25" s="3100"/>
      <c r="J25" s="3100"/>
      <c r="K25" s="3100"/>
      <c r="L25" s="3100"/>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c r="AI25" s="3100"/>
      <c r="AJ25" s="3101"/>
      <c r="AK25" s="923"/>
      <c r="AL25" s="923"/>
      <c r="AM25" s="923"/>
      <c r="AN25" s="919"/>
      <c r="AO25" s="920">
        <f>IF(AO24&gt;6,6,AO24)</f>
        <v>0</v>
      </c>
      <c r="AP25" s="920" t="s">
        <v>1504</v>
      </c>
    </row>
    <row r="26" spans="1:42" s="920" customFormat="1" ht="12.75" customHeight="1">
      <c r="A26" s="923"/>
      <c r="B26" s="923"/>
      <c r="C26" s="923"/>
      <c r="D26" s="933"/>
      <c r="E26" s="3102"/>
      <c r="F26" s="3103"/>
      <c r="G26" s="3103"/>
      <c r="H26" s="3103"/>
      <c r="I26" s="3103"/>
      <c r="J26" s="3103"/>
      <c r="K26" s="3103"/>
      <c r="L26" s="3103"/>
      <c r="M26" s="3103"/>
      <c r="N26" s="3103"/>
      <c r="O26" s="3103"/>
      <c r="P26" s="3103"/>
      <c r="Q26" s="3103"/>
      <c r="R26" s="3103"/>
      <c r="S26" s="3103"/>
      <c r="T26" s="3103"/>
      <c r="U26" s="3103"/>
      <c r="V26" s="3103"/>
      <c r="W26" s="3103"/>
      <c r="X26" s="3103"/>
      <c r="Y26" s="3103"/>
      <c r="Z26" s="3103"/>
      <c r="AA26" s="3103"/>
      <c r="AB26" s="3103"/>
      <c r="AC26" s="3103"/>
      <c r="AD26" s="3103"/>
      <c r="AE26" s="3103"/>
      <c r="AF26" s="3103"/>
      <c r="AG26" s="3103"/>
      <c r="AH26" s="3103"/>
      <c r="AI26" s="3103"/>
      <c r="AJ26" s="3104"/>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098" t="s">
        <v>617</v>
      </c>
      <c r="C30" s="3098"/>
      <c r="D30" s="930"/>
      <c r="E30" s="3137" t="s">
        <v>2473</v>
      </c>
      <c r="F30" s="3138"/>
      <c r="G30" s="3138"/>
      <c r="H30" s="3138"/>
      <c r="I30" s="3138"/>
      <c r="J30" s="3138"/>
      <c r="K30" s="3138"/>
      <c r="L30" s="3138"/>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9"/>
      <c r="AK30" s="923"/>
      <c r="AL30" s="923"/>
      <c r="AM30" s="923"/>
      <c r="AN30" s="919"/>
      <c r="AO30" s="933"/>
    </row>
    <row r="31" spans="1:42" s="920" customFormat="1" ht="12.75" customHeight="1">
      <c r="A31" s="923"/>
      <c r="B31" s="923"/>
      <c r="C31" s="923"/>
      <c r="E31" s="3140"/>
      <c r="F31" s="3141"/>
      <c r="G31" s="3141"/>
      <c r="H31" s="3141"/>
      <c r="I31" s="3141"/>
      <c r="J31" s="3141"/>
      <c r="K31" s="3141"/>
      <c r="L31" s="3141"/>
      <c r="M31" s="3141"/>
      <c r="N31" s="3141"/>
      <c r="O31" s="3141"/>
      <c r="P31" s="3141"/>
      <c r="Q31" s="3141"/>
      <c r="R31" s="3141"/>
      <c r="S31" s="3141"/>
      <c r="T31" s="3141"/>
      <c r="U31" s="3141"/>
      <c r="V31" s="3141"/>
      <c r="W31" s="3141"/>
      <c r="X31" s="3141"/>
      <c r="Y31" s="3141"/>
      <c r="Z31" s="3141"/>
      <c r="AA31" s="3141"/>
      <c r="AB31" s="3141"/>
      <c r="AC31" s="3141"/>
      <c r="AD31" s="3141"/>
      <c r="AE31" s="3141"/>
      <c r="AF31" s="3141"/>
      <c r="AG31" s="3141"/>
      <c r="AH31" s="3141"/>
      <c r="AI31" s="3141"/>
      <c r="AJ31" s="314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8" t="s">
        <v>617</v>
      </c>
      <c r="C33" s="3098"/>
      <c r="D33" s="930"/>
      <c r="E33" s="3099" t="s">
        <v>2474</v>
      </c>
      <c r="F33" s="3100"/>
      <c r="G33" s="3100"/>
      <c r="H33" s="3100"/>
      <c r="I33" s="3100"/>
      <c r="J33" s="3100"/>
      <c r="K33" s="3100"/>
      <c r="L33" s="3100"/>
      <c r="M33" s="3100"/>
      <c r="N33" s="3100"/>
      <c r="O33" s="3100"/>
      <c r="P33" s="3100"/>
      <c r="Q33" s="3100"/>
      <c r="R33" s="3100"/>
      <c r="S33" s="3100"/>
      <c r="T33" s="3100"/>
      <c r="U33" s="3100"/>
      <c r="V33" s="3100"/>
      <c r="W33" s="3100"/>
      <c r="X33" s="3100"/>
      <c r="Y33" s="3100"/>
      <c r="Z33" s="3100"/>
      <c r="AA33" s="3100"/>
      <c r="AB33" s="3100"/>
      <c r="AC33" s="3100"/>
      <c r="AD33" s="3100"/>
      <c r="AE33" s="3100"/>
      <c r="AF33" s="3100"/>
      <c r="AG33" s="3100"/>
      <c r="AH33" s="3100"/>
      <c r="AI33" s="3100"/>
      <c r="AJ33" s="3101"/>
      <c r="AK33" s="923"/>
      <c r="AL33" s="923"/>
      <c r="AM33" s="923"/>
      <c r="AN33" s="919"/>
    </row>
    <row r="34" spans="1:41" s="920" customFormat="1" ht="12.75" customHeight="1">
      <c r="A34" s="923"/>
      <c r="B34" s="923"/>
      <c r="C34" s="923"/>
      <c r="E34" s="3105"/>
      <c r="F34" s="3106"/>
      <c r="G34" s="3106"/>
      <c r="H34" s="3106"/>
      <c r="I34" s="3106"/>
      <c r="J34" s="3106"/>
      <c r="K34" s="3106"/>
      <c r="L34" s="3106"/>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7"/>
      <c r="AK34" s="923"/>
      <c r="AL34" s="923"/>
      <c r="AM34" s="923"/>
      <c r="AN34" s="919"/>
    </row>
    <row r="35" spans="1:41" s="920" customFormat="1" ht="12.75" customHeight="1">
      <c r="A35" s="923"/>
      <c r="B35" s="923"/>
      <c r="C35" s="923"/>
      <c r="E35" s="3102"/>
      <c r="F35" s="3103"/>
      <c r="G35" s="3103"/>
      <c r="H35" s="3103"/>
      <c r="I35" s="3103"/>
      <c r="J35" s="3103"/>
      <c r="K35" s="3103"/>
      <c r="L35" s="3103"/>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4"/>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8" t="s">
        <v>617</v>
      </c>
      <c r="C39" s="3098"/>
      <c r="D39" s="1891"/>
      <c r="E39" s="3099" t="s">
        <v>2475</v>
      </c>
      <c r="F39" s="3100"/>
      <c r="G39" s="3100"/>
      <c r="H39" s="3100"/>
      <c r="I39" s="3100"/>
      <c r="J39" s="3100"/>
      <c r="K39" s="3100"/>
      <c r="L39" s="3100"/>
      <c r="M39" s="3100"/>
      <c r="N39" s="3100"/>
      <c r="O39" s="3100"/>
      <c r="P39" s="3100"/>
      <c r="Q39" s="3100"/>
      <c r="R39" s="3100"/>
      <c r="S39" s="3100"/>
      <c r="T39" s="3100"/>
      <c r="U39" s="3100"/>
      <c r="V39" s="3100"/>
      <c r="W39" s="3100"/>
      <c r="X39" s="3100"/>
      <c r="Y39" s="3100"/>
      <c r="Z39" s="3100"/>
      <c r="AA39" s="3100"/>
      <c r="AB39" s="3100"/>
      <c r="AC39" s="3100"/>
      <c r="AD39" s="3100"/>
      <c r="AE39" s="3100"/>
      <c r="AF39" s="3100"/>
      <c r="AG39" s="3100"/>
      <c r="AH39" s="3100"/>
      <c r="AI39" s="3100"/>
      <c r="AJ39" s="3101"/>
      <c r="AK39" s="1891"/>
      <c r="AL39" s="923"/>
      <c r="AM39" s="923"/>
      <c r="AN39" s="919"/>
    </row>
    <row r="40" spans="1:41" s="920" customFormat="1" ht="12.75" customHeight="1">
      <c r="A40" s="923"/>
      <c r="B40" s="923"/>
      <c r="C40" s="923"/>
      <c r="E40" s="3105"/>
      <c r="F40" s="3106"/>
      <c r="G40" s="3106"/>
      <c r="H40" s="3106"/>
      <c r="I40" s="3106"/>
      <c r="J40" s="3106"/>
      <c r="K40" s="3106"/>
      <c r="L40" s="3106"/>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7"/>
      <c r="AK40" s="923"/>
      <c r="AL40" s="923"/>
      <c r="AM40" s="923"/>
      <c r="AN40" s="919"/>
    </row>
    <row r="41" spans="1:41" s="920" customFormat="1" ht="12.75" customHeight="1">
      <c r="A41" s="923"/>
      <c r="D41" s="930"/>
      <c r="E41" s="3102"/>
      <c r="F41" s="3103"/>
      <c r="G41" s="3103"/>
      <c r="H41" s="3103"/>
      <c r="I41" s="3103"/>
      <c r="J41" s="3103"/>
      <c r="K41" s="3103"/>
      <c r="L41" s="3103"/>
      <c r="M41" s="3103"/>
      <c r="N41" s="3103"/>
      <c r="O41" s="3103"/>
      <c r="P41" s="3103"/>
      <c r="Q41" s="3103"/>
      <c r="R41" s="3103"/>
      <c r="S41" s="3103"/>
      <c r="T41" s="3103"/>
      <c r="U41" s="3103"/>
      <c r="V41" s="3103"/>
      <c r="W41" s="3103"/>
      <c r="X41" s="3103"/>
      <c r="Y41" s="3103"/>
      <c r="Z41" s="3103"/>
      <c r="AA41" s="3103"/>
      <c r="AB41" s="3103"/>
      <c r="AC41" s="3103"/>
      <c r="AD41" s="3103"/>
      <c r="AE41" s="3103"/>
      <c r="AF41" s="3103"/>
      <c r="AG41" s="3103"/>
      <c r="AH41" s="3103"/>
      <c r="AI41" s="3103"/>
      <c r="AJ41" s="3104"/>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8" t="s">
        <v>617</v>
      </c>
      <c r="C46" s="3098"/>
      <c r="D46" s="923"/>
      <c r="E46" s="3099" t="s">
        <v>2480</v>
      </c>
      <c r="F46" s="3100"/>
      <c r="G46" s="3100"/>
      <c r="H46" s="3100"/>
      <c r="I46" s="3100"/>
      <c r="J46" s="3100"/>
      <c r="K46" s="3100"/>
      <c r="L46" s="3100"/>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1"/>
      <c r="AK46" s="923"/>
      <c r="AL46" s="923"/>
      <c r="AM46" s="923"/>
      <c r="AN46" s="919"/>
      <c r="AO46" s="942"/>
    </row>
    <row r="47" spans="1:41" s="920" customFormat="1" ht="12.75" customHeight="1">
      <c r="A47" s="923"/>
      <c r="D47" s="930"/>
      <c r="E47" s="3105"/>
      <c r="F47" s="3106"/>
      <c r="G47" s="3106"/>
      <c r="H47" s="3106"/>
      <c r="I47" s="3106"/>
      <c r="J47" s="3106"/>
      <c r="K47" s="3106"/>
      <c r="L47" s="3106"/>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7"/>
      <c r="AK47" s="923"/>
      <c r="AL47" s="923"/>
      <c r="AM47" s="923"/>
      <c r="AN47" s="919"/>
      <c r="AO47" s="942"/>
    </row>
    <row r="48" spans="1:41" s="920" customFormat="1" ht="12.75" customHeight="1">
      <c r="A48" s="923"/>
      <c r="D48" s="923"/>
      <c r="E48" s="3102"/>
      <c r="F48" s="3103"/>
      <c r="G48" s="3103"/>
      <c r="H48" s="3103"/>
      <c r="I48" s="3103"/>
      <c r="J48" s="3103"/>
      <c r="K48" s="3103"/>
      <c r="L48" s="3103"/>
      <c r="M48" s="3103"/>
      <c r="N48" s="3103"/>
      <c r="O48" s="3103"/>
      <c r="P48" s="3103"/>
      <c r="Q48" s="3103"/>
      <c r="R48" s="3103"/>
      <c r="S48" s="3103"/>
      <c r="T48" s="3103"/>
      <c r="U48" s="3103"/>
      <c r="V48" s="3103"/>
      <c r="W48" s="3103"/>
      <c r="X48" s="3103"/>
      <c r="Y48" s="3103"/>
      <c r="Z48" s="3103"/>
      <c r="AA48" s="3103"/>
      <c r="AB48" s="3103"/>
      <c r="AC48" s="3103"/>
      <c r="AD48" s="3103"/>
      <c r="AE48" s="3103"/>
      <c r="AF48" s="3103"/>
      <c r="AG48" s="3103"/>
      <c r="AH48" s="3103"/>
      <c r="AI48" s="3103"/>
      <c r="AJ48" s="3104"/>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8" t="s">
        <v>617</v>
      </c>
      <c r="C50" s="3098"/>
      <c r="D50" s="923"/>
      <c r="E50" s="3119" t="s">
        <v>2481</v>
      </c>
      <c r="F50" s="3120"/>
      <c r="G50" s="3120"/>
      <c r="H50" s="3120"/>
      <c r="I50" s="3120"/>
      <c r="J50" s="3120"/>
      <c r="K50" s="3120"/>
      <c r="L50" s="3120"/>
      <c r="M50" s="3120"/>
      <c r="N50" s="3120"/>
      <c r="O50" s="3120"/>
      <c r="P50" s="3120"/>
      <c r="Q50" s="3120"/>
      <c r="R50" s="3120"/>
      <c r="S50" s="3120"/>
      <c r="T50" s="3120"/>
      <c r="U50" s="3120"/>
      <c r="V50" s="3120"/>
      <c r="W50" s="3120"/>
      <c r="X50" s="3120"/>
      <c r="Y50" s="3120"/>
      <c r="Z50" s="3120"/>
      <c r="AA50" s="3120"/>
      <c r="AB50" s="3120"/>
      <c r="AC50" s="3120"/>
      <c r="AD50" s="3120"/>
      <c r="AE50" s="3120"/>
      <c r="AF50" s="3120"/>
      <c r="AG50" s="3120"/>
      <c r="AH50" s="3120"/>
      <c r="AI50" s="3120"/>
      <c r="AJ50" s="3121"/>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8" t="s">
        <v>617</v>
      </c>
      <c r="C52" s="3098"/>
      <c r="D52" s="923"/>
      <c r="E52" s="3099" t="s">
        <v>2482</v>
      </c>
      <c r="F52" s="3100"/>
      <c r="G52" s="3100"/>
      <c r="H52" s="3100"/>
      <c r="I52" s="3100"/>
      <c r="J52" s="3100"/>
      <c r="K52" s="3100"/>
      <c r="L52" s="3100"/>
      <c r="M52" s="3100"/>
      <c r="N52" s="3100"/>
      <c r="O52" s="3100"/>
      <c r="P52" s="3100"/>
      <c r="Q52" s="3100"/>
      <c r="R52" s="3100"/>
      <c r="S52" s="3100"/>
      <c r="T52" s="3100"/>
      <c r="U52" s="3100"/>
      <c r="V52" s="3100"/>
      <c r="W52" s="3100"/>
      <c r="X52" s="3100"/>
      <c r="Y52" s="3100"/>
      <c r="Z52" s="3100"/>
      <c r="AA52" s="3100"/>
      <c r="AB52" s="3100"/>
      <c r="AC52" s="3100"/>
      <c r="AD52" s="3100"/>
      <c r="AE52" s="3100"/>
      <c r="AF52" s="3100"/>
      <c r="AG52" s="3100"/>
      <c r="AH52" s="3100"/>
      <c r="AI52" s="3100"/>
      <c r="AJ52" s="3101"/>
      <c r="AK52" s="923"/>
      <c r="AL52" s="923"/>
      <c r="AM52" s="923"/>
      <c r="AN52" s="919"/>
    </row>
    <row r="53" spans="1:50" s="920" customFormat="1" ht="12.75" customHeight="1">
      <c r="A53" s="923"/>
      <c r="B53" s="930"/>
      <c r="C53" s="930"/>
      <c r="D53" s="930"/>
      <c r="E53" s="3102"/>
      <c r="F53" s="3103"/>
      <c r="G53" s="3103"/>
      <c r="H53" s="3103"/>
      <c r="I53" s="3103"/>
      <c r="J53" s="3103"/>
      <c r="K53" s="3103"/>
      <c r="L53" s="3103"/>
      <c r="M53" s="3103"/>
      <c r="N53" s="3103"/>
      <c r="O53" s="3103"/>
      <c r="P53" s="3103"/>
      <c r="Q53" s="3103"/>
      <c r="R53" s="3103"/>
      <c r="S53" s="3103"/>
      <c r="T53" s="3103"/>
      <c r="U53" s="3103"/>
      <c r="V53" s="3103"/>
      <c r="W53" s="3103"/>
      <c r="X53" s="3103"/>
      <c r="Y53" s="3103"/>
      <c r="Z53" s="3103"/>
      <c r="AA53" s="3103"/>
      <c r="AB53" s="3103"/>
      <c r="AC53" s="3103"/>
      <c r="AD53" s="3103"/>
      <c r="AE53" s="3103"/>
      <c r="AF53" s="3103"/>
      <c r="AG53" s="3103"/>
      <c r="AH53" s="3103"/>
      <c r="AI53" s="3103"/>
      <c r="AJ53" s="3104"/>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34">
        <f>AO36</f>
        <v>0</v>
      </c>
      <c r="AL56" s="3135"/>
      <c r="AM56" s="3136"/>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8" t="s">
        <v>1510</v>
      </c>
      <c r="AF59" s="3108"/>
      <c r="AG59" s="3108"/>
      <c r="AH59" s="3108"/>
      <c r="AI59" s="3108"/>
      <c r="AJ59" s="3108"/>
      <c r="AK59" s="3108"/>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8" t="s">
        <v>570</v>
      </c>
      <c r="C62" s="3098"/>
      <c r="D62" s="930" t="s">
        <v>1511</v>
      </c>
      <c r="E62" s="3109" t="s">
        <v>2483</v>
      </c>
      <c r="F62" s="3110"/>
      <c r="G62" s="3110"/>
      <c r="H62" s="3110"/>
      <c r="I62" s="3110"/>
      <c r="J62" s="3110"/>
      <c r="K62" s="3110"/>
      <c r="L62" s="3110"/>
      <c r="M62" s="3110"/>
      <c r="N62" s="3110"/>
      <c r="O62" s="3110"/>
      <c r="P62" s="3110"/>
      <c r="Q62" s="3110"/>
      <c r="R62" s="3110"/>
      <c r="S62" s="3110"/>
      <c r="T62" s="3110"/>
      <c r="U62" s="3110"/>
      <c r="V62" s="3110"/>
      <c r="W62" s="3110"/>
      <c r="X62" s="3110"/>
      <c r="Y62" s="3110"/>
      <c r="Z62" s="3110"/>
      <c r="AA62" s="3110"/>
      <c r="AB62" s="3110"/>
      <c r="AC62" s="3110"/>
      <c r="AD62" s="3110"/>
      <c r="AE62" s="3110"/>
      <c r="AF62" s="3110"/>
      <c r="AG62" s="3110"/>
      <c r="AH62" s="3110"/>
      <c r="AI62" s="3110"/>
      <c r="AJ62" s="3111"/>
      <c r="AK62" s="926"/>
      <c r="AL62" s="923"/>
      <c r="AM62" s="923"/>
      <c r="AN62" s="919"/>
      <c r="AO62" s="933">
        <f>IF($B62="yes",10,0)</f>
        <v>10</v>
      </c>
    </row>
    <row r="63" spans="1:50" s="920" customFormat="1" ht="12.75" customHeight="1">
      <c r="A63" s="921"/>
      <c r="B63" s="923"/>
      <c r="C63" s="923"/>
      <c r="D63" s="934"/>
      <c r="E63" s="3112"/>
      <c r="F63" s="3113"/>
      <c r="G63" s="3113"/>
      <c r="H63" s="3113"/>
      <c r="I63" s="3113"/>
      <c r="J63" s="3113"/>
      <c r="K63" s="3113"/>
      <c r="L63" s="3113"/>
      <c r="M63" s="3113"/>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4"/>
      <c r="AK63" s="926"/>
      <c r="AL63" s="923"/>
      <c r="AM63" s="923"/>
      <c r="AN63" s="919"/>
      <c r="AO63" s="933">
        <f>IF($B68="yes",10,0)</f>
        <v>0</v>
      </c>
    </row>
    <row r="64" spans="1:50" s="920" customFormat="1" ht="12.75" customHeight="1">
      <c r="A64" s="921"/>
      <c r="B64" s="923"/>
      <c r="C64" s="923"/>
      <c r="D64" s="934"/>
      <c r="E64" s="3112"/>
      <c r="F64" s="3113"/>
      <c r="G64" s="3113"/>
      <c r="H64" s="3113"/>
      <c r="I64" s="3113"/>
      <c r="J64" s="3113"/>
      <c r="K64" s="3113"/>
      <c r="L64" s="3113"/>
      <c r="M64" s="3113"/>
      <c r="N64" s="3113"/>
      <c r="O64" s="3113"/>
      <c r="P64" s="3113"/>
      <c r="Q64" s="3113"/>
      <c r="R64" s="3113"/>
      <c r="S64" s="3113"/>
      <c r="T64" s="3113"/>
      <c r="U64" s="3113"/>
      <c r="V64" s="3113"/>
      <c r="W64" s="3113"/>
      <c r="X64" s="3113"/>
      <c r="Y64" s="3113"/>
      <c r="Z64" s="3113"/>
      <c r="AA64" s="3113"/>
      <c r="AB64" s="3113"/>
      <c r="AC64" s="3113"/>
      <c r="AD64" s="3113"/>
      <c r="AE64" s="3113"/>
      <c r="AF64" s="3113"/>
      <c r="AG64" s="3113"/>
      <c r="AH64" s="3113"/>
      <c r="AI64" s="3113"/>
      <c r="AJ64" s="3114"/>
      <c r="AK64" s="926"/>
      <c r="AL64" s="923"/>
      <c r="AM64" s="923"/>
      <c r="AN64" s="919"/>
      <c r="AO64" s="933">
        <f>IF($B75="yes",10,0)</f>
        <v>0</v>
      </c>
    </row>
    <row r="65" spans="1:42" s="920" customFormat="1" ht="12.75" customHeight="1">
      <c r="A65" s="921"/>
      <c r="B65" s="923"/>
      <c r="C65" s="923"/>
      <c r="D65" s="934"/>
      <c r="E65" s="3112"/>
      <c r="F65" s="3113"/>
      <c r="G65" s="3113"/>
      <c r="H65" s="3113"/>
      <c r="I65" s="3113"/>
      <c r="J65" s="3113"/>
      <c r="K65" s="3113"/>
      <c r="L65" s="3113"/>
      <c r="M65" s="3113"/>
      <c r="N65" s="3113"/>
      <c r="O65" s="3113"/>
      <c r="P65" s="3113"/>
      <c r="Q65" s="3113"/>
      <c r="R65" s="3113"/>
      <c r="S65" s="3113"/>
      <c r="T65" s="3113"/>
      <c r="U65" s="3113"/>
      <c r="V65" s="3113"/>
      <c r="W65" s="3113"/>
      <c r="X65" s="3113"/>
      <c r="Y65" s="3113"/>
      <c r="Z65" s="3113"/>
      <c r="AA65" s="3113"/>
      <c r="AB65" s="3113"/>
      <c r="AC65" s="3113"/>
      <c r="AD65" s="3113"/>
      <c r="AE65" s="3113"/>
      <c r="AF65" s="3113"/>
      <c r="AG65" s="3113"/>
      <c r="AH65" s="3113"/>
      <c r="AI65" s="3113"/>
      <c r="AJ65" s="3114"/>
      <c r="AK65" s="1888"/>
      <c r="AL65" s="923"/>
      <c r="AM65" s="923"/>
      <c r="AN65" s="919"/>
      <c r="AO65" s="920">
        <f>IF(SUM(AO62:AO64)&gt;10,10,(SUM(AO62:AO64)))</f>
        <v>10</v>
      </c>
      <c r="AP65" s="958" t="s">
        <v>1512</v>
      </c>
    </row>
    <row r="66" spans="1:42" s="920" customFormat="1" ht="12.75" customHeight="1">
      <c r="A66" s="921"/>
      <c r="B66" s="923"/>
      <c r="C66" s="923"/>
      <c r="D66" s="934"/>
      <c r="E66" s="3115"/>
      <c r="F66" s="3116"/>
      <c r="G66" s="3116"/>
      <c r="H66" s="3116"/>
      <c r="I66" s="3116"/>
      <c r="J66" s="3116"/>
      <c r="K66" s="3116"/>
      <c r="L66" s="3116"/>
      <c r="M66" s="3116"/>
      <c r="N66" s="3116"/>
      <c r="O66" s="3116"/>
      <c r="P66" s="3116"/>
      <c r="Q66" s="3116"/>
      <c r="R66" s="3116"/>
      <c r="S66" s="3116"/>
      <c r="T66" s="3116"/>
      <c r="U66" s="3116"/>
      <c r="V66" s="3116"/>
      <c r="W66" s="3116"/>
      <c r="X66" s="3116"/>
      <c r="Y66" s="3116"/>
      <c r="Z66" s="3116"/>
      <c r="AA66" s="3116"/>
      <c r="AB66" s="3116"/>
      <c r="AC66" s="3116"/>
      <c r="AD66" s="3116"/>
      <c r="AE66" s="3116"/>
      <c r="AF66" s="3116"/>
      <c r="AG66" s="3116"/>
      <c r="AH66" s="3116"/>
      <c r="AI66" s="3116"/>
      <c r="AJ66" s="3117"/>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8" t="s">
        <v>617</v>
      </c>
      <c r="C68" s="3098"/>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8" t="s">
        <v>617</v>
      </c>
      <c r="F69" s="3098"/>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6" t="s">
        <v>617</v>
      </c>
      <c r="F70" s="3097"/>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6" t="s">
        <v>617</v>
      </c>
      <c r="F71" s="3097"/>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8" t="s">
        <v>617</v>
      </c>
      <c r="F73" s="3098"/>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8" t="s">
        <v>617</v>
      </c>
      <c r="C75" s="3098"/>
      <c r="D75" s="930" t="s">
        <v>1516</v>
      </c>
      <c r="E75" s="3099" t="s">
        <v>2055</v>
      </c>
      <c r="F75" s="3100"/>
      <c r="G75" s="3100"/>
      <c r="H75" s="3100"/>
      <c r="I75" s="3100"/>
      <c r="J75" s="3100"/>
      <c r="K75" s="3100"/>
      <c r="L75" s="3100"/>
      <c r="M75" s="3100"/>
      <c r="N75" s="3100"/>
      <c r="O75" s="3100"/>
      <c r="P75" s="3100"/>
      <c r="Q75" s="3100"/>
      <c r="R75" s="3100"/>
      <c r="S75" s="3100"/>
      <c r="T75" s="3100"/>
      <c r="U75" s="3100"/>
      <c r="V75" s="3100"/>
      <c r="W75" s="3100"/>
      <c r="X75" s="3100"/>
      <c r="Y75" s="3100"/>
      <c r="Z75" s="3100"/>
      <c r="AA75" s="3100"/>
      <c r="AB75" s="3100"/>
      <c r="AC75" s="3100"/>
      <c r="AD75" s="3100"/>
      <c r="AE75" s="3100"/>
      <c r="AF75" s="3100"/>
      <c r="AG75" s="3100"/>
      <c r="AH75" s="3100"/>
      <c r="AI75" s="3100"/>
      <c r="AJ75" s="3101"/>
      <c r="AK75" s="926"/>
      <c r="AL75" s="923"/>
      <c r="AM75" s="923"/>
      <c r="AN75" s="919"/>
    </row>
    <row r="76" spans="1:42" s="920" customFormat="1" ht="12.75" customHeight="1">
      <c r="A76" s="921"/>
      <c r="B76" s="923"/>
      <c r="C76" s="923"/>
      <c r="D76" s="933"/>
      <c r="E76" s="3102"/>
      <c r="F76" s="3103"/>
      <c r="G76" s="3103"/>
      <c r="H76" s="3103"/>
      <c r="I76" s="3103"/>
      <c r="J76" s="3103"/>
      <c r="K76" s="3103"/>
      <c r="L76" s="3103"/>
      <c r="M76" s="3103"/>
      <c r="N76" s="3103"/>
      <c r="O76" s="3103"/>
      <c r="P76" s="3103"/>
      <c r="Q76" s="3103"/>
      <c r="R76" s="3103"/>
      <c r="S76" s="3103"/>
      <c r="T76" s="3103"/>
      <c r="U76" s="3103"/>
      <c r="V76" s="3103"/>
      <c r="W76" s="3103"/>
      <c r="X76" s="3103"/>
      <c r="Y76" s="3103"/>
      <c r="Z76" s="3103"/>
      <c r="AA76" s="3103"/>
      <c r="AB76" s="3103"/>
      <c r="AC76" s="3103"/>
      <c r="AD76" s="3103"/>
      <c r="AE76" s="3103"/>
      <c r="AF76" s="3103"/>
      <c r="AG76" s="3103"/>
      <c r="AH76" s="3103"/>
      <c r="AI76" s="3103"/>
      <c r="AJ76" s="3104"/>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34">
        <f>IF(AK56&gt;0,0,AO65)</f>
        <v>10</v>
      </c>
      <c r="AL78" s="3135"/>
      <c r="AM78" s="3136"/>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8" t="s">
        <v>1501</v>
      </c>
      <c r="AF81" s="3108"/>
      <c r="AG81" s="3108"/>
      <c r="AH81" s="3108"/>
      <c r="AI81" s="3108"/>
      <c r="AJ81" s="3108"/>
      <c r="AK81" s="3108"/>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8" t="s">
        <v>570</v>
      </c>
      <c r="C84" s="3098"/>
      <c r="D84" s="930" t="s">
        <v>1511</v>
      </c>
      <c r="E84" s="3124" t="s">
        <v>1521</v>
      </c>
      <c r="F84" s="3125"/>
      <c r="G84" s="3125"/>
      <c r="H84" s="3125"/>
      <c r="I84" s="3125"/>
      <c r="J84" s="3125"/>
      <c r="K84" s="3125"/>
      <c r="L84" s="3125"/>
      <c r="M84" s="3125"/>
      <c r="N84" s="3125"/>
      <c r="O84" s="3125"/>
      <c r="P84" s="3125"/>
      <c r="Q84" s="3125"/>
      <c r="R84" s="3125"/>
      <c r="S84" s="3125"/>
      <c r="T84" s="3125"/>
      <c r="U84" s="3125"/>
      <c r="V84" s="3125"/>
      <c r="W84" s="3125"/>
      <c r="X84" s="3125"/>
      <c r="Y84" s="3125"/>
      <c r="Z84" s="3125"/>
      <c r="AA84" s="3125"/>
      <c r="AB84" s="3125"/>
      <c r="AC84" s="3125"/>
      <c r="AD84" s="3125"/>
      <c r="AE84" s="3125"/>
      <c r="AF84" s="3125"/>
      <c r="AG84" s="3125"/>
      <c r="AH84" s="3125"/>
      <c r="AI84" s="3125"/>
      <c r="AJ84" s="3126"/>
      <c r="AK84" s="926"/>
      <c r="AL84" s="923"/>
      <c r="AM84" s="923"/>
      <c r="AN84" s="919"/>
    </row>
    <row r="85" spans="1:43" s="920" customFormat="1" ht="12.75" customHeight="1">
      <c r="A85" s="921"/>
      <c r="B85" s="922"/>
      <c r="C85" s="922"/>
      <c r="D85" s="922"/>
      <c r="E85" s="3127"/>
      <c r="F85" s="3128"/>
      <c r="G85" s="3128"/>
      <c r="H85" s="3128"/>
      <c r="I85" s="3128"/>
      <c r="J85" s="3128"/>
      <c r="K85" s="3128"/>
      <c r="L85" s="3128"/>
      <c r="M85" s="3128"/>
      <c r="N85" s="3128"/>
      <c r="O85" s="3128"/>
      <c r="P85" s="3128"/>
      <c r="Q85" s="3128"/>
      <c r="R85" s="3128"/>
      <c r="S85" s="3128"/>
      <c r="T85" s="3128"/>
      <c r="U85" s="3128"/>
      <c r="V85" s="3128"/>
      <c r="W85" s="3128"/>
      <c r="X85" s="3128"/>
      <c r="Y85" s="3128"/>
      <c r="Z85" s="3128"/>
      <c r="AA85" s="3128"/>
      <c r="AB85" s="3128"/>
      <c r="AC85" s="3128"/>
      <c r="AD85" s="3128"/>
      <c r="AE85" s="3128"/>
      <c r="AF85" s="3128"/>
      <c r="AG85" s="3128"/>
      <c r="AH85" s="3128"/>
      <c r="AI85" s="3128"/>
      <c r="AJ85" s="3129"/>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92">
        <f>Application!AC753</f>
        <v>0.4212765957446809</v>
      </c>
      <c r="F87" s="3093"/>
      <c r="G87" s="3093"/>
      <c r="H87" s="3093"/>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94">
        <f>0.6-ROUNDUP(E87,2)</f>
        <v>0.16999999999999998</v>
      </c>
      <c r="F88" s="3095"/>
      <c r="G88" s="3095"/>
      <c r="H88" s="3095"/>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22">
        <f>IF(E88*200&gt;20,20,E88*200)</f>
        <v>20</v>
      </c>
      <c r="F89" s="3123"/>
      <c r="G89" s="3123"/>
      <c r="H89" s="3123"/>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8" t="s">
        <v>617</v>
      </c>
      <c r="C92" s="3098"/>
      <c r="D92" s="930" t="s">
        <v>1513</v>
      </c>
      <c r="E92" s="3124" t="s">
        <v>2040</v>
      </c>
      <c r="F92" s="3125"/>
      <c r="G92" s="3125"/>
      <c r="H92" s="3125"/>
      <c r="I92" s="3125"/>
      <c r="J92" s="3125"/>
      <c r="K92" s="3125"/>
      <c r="L92" s="3125"/>
      <c r="M92" s="3125"/>
      <c r="N92" s="3125"/>
      <c r="O92" s="3125"/>
      <c r="P92" s="3125"/>
      <c r="Q92" s="3125"/>
      <c r="R92" s="3125"/>
      <c r="S92" s="3125"/>
      <c r="T92" s="3125"/>
      <c r="U92" s="3125"/>
      <c r="V92" s="3125"/>
      <c r="W92" s="3125"/>
      <c r="X92" s="3125"/>
      <c r="Y92" s="3125"/>
      <c r="Z92" s="3125"/>
      <c r="AA92" s="3125"/>
      <c r="AB92" s="3125"/>
      <c r="AC92" s="3125"/>
      <c r="AD92" s="3125"/>
      <c r="AE92" s="3125"/>
      <c r="AF92" s="3125"/>
      <c r="AG92" s="3125"/>
      <c r="AH92" s="3125"/>
      <c r="AI92" s="3125"/>
      <c r="AJ92" s="3126"/>
      <c r="AK92" s="926"/>
      <c r="AL92" s="923"/>
      <c r="AM92" s="923"/>
      <c r="AN92" s="919"/>
    </row>
    <row r="93" spans="1:43" s="920" customFormat="1" ht="12.75" customHeight="1">
      <c r="A93" s="921"/>
      <c r="B93" s="922"/>
      <c r="C93" s="922"/>
      <c r="D93" s="922"/>
      <c r="E93" s="3127"/>
      <c r="F93" s="3128"/>
      <c r="G93" s="3128"/>
      <c r="H93" s="3128"/>
      <c r="I93" s="3128"/>
      <c r="J93" s="3128"/>
      <c r="K93" s="3128"/>
      <c r="L93" s="3128"/>
      <c r="M93" s="3128"/>
      <c r="N93" s="3128"/>
      <c r="O93" s="3128"/>
      <c r="P93" s="3128"/>
      <c r="Q93" s="3128"/>
      <c r="R93" s="3128"/>
      <c r="S93" s="3128"/>
      <c r="T93" s="3128"/>
      <c r="U93" s="3128"/>
      <c r="V93" s="3128"/>
      <c r="W93" s="3128"/>
      <c r="X93" s="3128"/>
      <c r="Y93" s="3128"/>
      <c r="Z93" s="3128"/>
      <c r="AA93" s="3128"/>
      <c r="AB93" s="3128"/>
      <c r="AC93" s="3128"/>
      <c r="AD93" s="3128"/>
      <c r="AE93" s="3128"/>
      <c r="AF93" s="3128"/>
      <c r="AG93" s="3128"/>
      <c r="AH93" s="3128"/>
      <c r="AI93" s="3128"/>
      <c r="AJ93" s="3129"/>
      <c r="AK93" s="926"/>
      <c r="AL93" s="923"/>
      <c r="AM93" s="923"/>
      <c r="AN93" s="919"/>
    </row>
    <row r="94" spans="1:43" s="920" customFormat="1" ht="12.75" customHeight="1">
      <c r="A94" s="921"/>
      <c r="B94" s="922"/>
      <c r="C94" s="922"/>
      <c r="D94" s="922"/>
      <c r="E94" s="3127"/>
      <c r="F94" s="3128"/>
      <c r="G94" s="3128"/>
      <c r="H94" s="3128"/>
      <c r="I94" s="3128"/>
      <c r="J94" s="3128"/>
      <c r="K94" s="3128"/>
      <c r="L94" s="3128"/>
      <c r="M94" s="3128"/>
      <c r="N94" s="3128"/>
      <c r="O94" s="3128"/>
      <c r="P94" s="3128"/>
      <c r="Q94" s="3128"/>
      <c r="R94" s="3128"/>
      <c r="S94" s="3128"/>
      <c r="T94" s="3128"/>
      <c r="U94" s="3128"/>
      <c r="V94" s="3128"/>
      <c r="W94" s="3128"/>
      <c r="X94" s="3128"/>
      <c r="Y94" s="3128"/>
      <c r="Z94" s="3128"/>
      <c r="AA94" s="3128"/>
      <c r="AB94" s="3128"/>
      <c r="AC94" s="3128"/>
      <c r="AD94" s="3128"/>
      <c r="AE94" s="3128"/>
      <c r="AF94" s="3128"/>
      <c r="AG94" s="3128"/>
      <c r="AH94" s="3128"/>
      <c r="AI94" s="3128"/>
      <c r="AJ94" s="3129"/>
      <c r="AK94" s="926"/>
      <c r="AL94" s="923"/>
      <c r="AM94" s="923"/>
      <c r="AN94" s="919"/>
    </row>
    <row r="95" spans="1:43" s="920" customFormat="1" ht="12.75" customHeight="1">
      <c r="A95" s="921"/>
      <c r="B95" s="922"/>
      <c r="C95" s="922"/>
      <c r="D95" s="922"/>
      <c r="E95" s="3127"/>
      <c r="F95" s="3128"/>
      <c r="G95" s="3128"/>
      <c r="H95" s="3128"/>
      <c r="I95" s="3128"/>
      <c r="J95" s="3128"/>
      <c r="K95" s="3128"/>
      <c r="L95" s="3128"/>
      <c r="M95" s="3128"/>
      <c r="N95" s="3128"/>
      <c r="O95" s="3128"/>
      <c r="P95" s="3128"/>
      <c r="Q95" s="3128"/>
      <c r="R95" s="3128"/>
      <c r="S95" s="3128"/>
      <c r="T95" s="3128"/>
      <c r="U95" s="3128"/>
      <c r="V95" s="3128"/>
      <c r="W95" s="3128"/>
      <c r="X95" s="3128"/>
      <c r="Y95" s="3128"/>
      <c r="Z95" s="3128"/>
      <c r="AA95" s="3128"/>
      <c r="AB95" s="3128"/>
      <c r="AC95" s="3128"/>
      <c r="AD95" s="3128"/>
      <c r="AE95" s="3128"/>
      <c r="AF95" s="3128"/>
      <c r="AG95" s="3128"/>
      <c r="AH95" s="3128"/>
      <c r="AI95" s="3128"/>
      <c r="AJ95" s="3129"/>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92">
        <f>Application!AC753</f>
        <v>0.4212765957446809</v>
      </c>
      <c r="F97" s="3093"/>
      <c r="G97" s="3093"/>
      <c r="H97" s="3093"/>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92">
        <f ca="1">SUMIF(Application!AC728:AG752,0.2,Application!G728:J752)/Application!G753+SUMIF(Application!AC728:AG752,0.25,Application!G728:J752)/Application!G753+SUMIF(Application!AC728:AG752,0.3,Application!G728:J752)/Application!G753</f>
        <v>0.42553191489361702</v>
      </c>
      <c r="F98" s="3093"/>
      <c r="G98" s="3093"/>
      <c r="H98" s="3093"/>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92">
        <f ca="1">SUMIF(Application!AC728:AG752,0.35,Application!G728:J752)/Application!G753+SUMIF(Application!AC728:AG752,0.4,Application!G728:J752)/Application!G753+SUMIF(Application!AC728:AG752,0.45,Application!G728:J752)/Application!G753+SUMIF(Application!AC728:AG752,0.5,Application!G728:J752)/Application!G753</f>
        <v>0.46808510638297873</v>
      </c>
      <c r="F99" s="3093"/>
      <c r="G99" s="3093"/>
      <c r="H99" s="3093"/>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53">
        <f ca="1">IF(AND(E97&lt;=0.6,E98&gt;=0.1,OR(E99&gt;=0.1,E98&gt;=0.2)),20,0)</f>
        <v>20</v>
      </c>
      <c r="F100" s="3154"/>
      <c r="G100" s="3154"/>
      <c r="H100" s="3154"/>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34">
        <f>MAX(AP89,AP100)</f>
        <v>20</v>
      </c>
      <c r="AL103" s="3135"/>
      <c r="AM103" s="3136"/>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8" t="s">
        <v>1510</v>
      </c>
      <c r="AF106" s="3108"/>
      <c r="AG106" s="3108"/>
      <c r="AH106" s="3108"/>
      <c r="AI106" s="3108"/>
      <c r="AJ106" s="3108"/>
      <c r="AK106" s="3108"/>
      <c r="AL106" s="923"/>
      <c r="AM106" s="923"/>
      <c r="AN106" s="919"/>
      <c r="AO106" s="920" t="str">
        <f>Application!B728</f>
        <v>SRO/Studio</v>
      </c>
      <c r="AQ106" s="920">
        <f>Application!O728</f>
        <v>579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608</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579</v>
      </c>
    </row>
    <row r="109" spans="1:49" s="920" customFormat="1" ht="12.75" customHeight="1">
      <c r="A109" s="923"/>
      <c r="B109" s="3098" t="s">
        <v>570</v>
      </c>
      <c r="C109" s="3098"/>
      <c r="D109" s="930" t="s">
        <v>1511</v>
      </c>
      <c r="E109" s="3124" t="s">
        <v>2175</v>
      </c>
      <c r="F109" s="3125"/>
      <c r="G109" s="3125"/>
      <c r="H109" s="3125"/>
      <c r="I109" s="3125"/>
      <c r="J109" s="3125"/>
      <c r="K109" s="3125"/>
      <c r="L109" s="3125"/>
      <c r="M109" s="3125"/>
      <c r="N109" s="3125"/>
      <c r="O109" s="3125"/>
      <c r="P109" s="3125"/>
      <c r="Q109" s="3125"/>
      <c r="R109" s="3125"/>
      <c r="S109" s="3125"/>
      <c r="T109" s="3125"/>
      <c r="U109" s="3125"/>
      <c r="V109" s="3125"/>
      <c r="W109" s="3125"/>
      <c r="X109" s="3125"/>
      <c r="Y109" s="3125"/>
      <c r="Z109" s="3125"/>
      <c r="AA109" s="3125"/>
      <c r="AB109" s="3125"/>
      <c r="AC109" s="3125"/>
      <c r="AD109" s="3125"/>
      <c r="AE109" s="3125"/>
      <c r="AF109" s="3125"/>
      <c r="AG109" s="3125"/>
      <c r="AH109" s="3125"/>
      <c r="AI109" s="3125"/>
      <c r="AJ109" s="3126"/>
      <c r="AK109" s="923"/>
      <c r="AL109" s="923"/>
      <c r="AM109" s="923"/>
      <c r="AN109" s="919"/>
      <c r="AO109" s="920" t="str">
        <f>Application!B731</f>
        <v>1 Bedroom</v>
      </c>
      <c r="AQ109" s="920">
        <f>Application!O731</f>
        <v>608</v>
      </c>
      <c r="AU109" s="920" t="s">
        <v>2157</v>
      </c>
      <c r="AV109" s="1609" t="s">
        <v>2158</v>
      </c>
      <c r="AW109" s="920" t="s">
        <v>2159</v>
      </c>
    </row>
    <row r="110" spans="1:49" s="920" customFormat="1" ht="12.75" customHeight="1">
      <c r="A110" s="923"/>
      <c r="B110" s="922"/>
      <c r="C110" s="922"/>
      <c r="D110" s="922"/>
      <c r="E110" s="3127"/>
      <c r="F110" s="3128"/>
      <c r="G110" s="3128"/>
      <c r="H110" s="3128"/>
      <c r="I110" s="3128"/>
      <c r="J110" s="3128"/>
      <c r="K110" s="3128"/>
      <c r="L110" s="3128"/>
      <c r="M110" s="3128"/>
      <c r="N110" s="3128"/>
      <c r="O110" s="3128"/>
      <c r="P110" s="3128"/>
      <c r="Q110" s="3128"/>
      <c r="R110" s="3128"/>
      <c r="S110" s="3128"/>
      <c r="T110" s="3128"/>
      <c r="U110" s="3128"/>
      <c r="V110" s="3128"/>
      <c r="W110" s="3128"/>
      <c r="X110" s="3128"/>
      <c r="Y110" s="3128"/>
      <c r="Z110" s="3128"/>
      <c r="AA110" s="3128"/>
      <c r="AB110" s="3128"/>
      <c r="AC110" s="3128"/>
      <c r="AD110" s="3128"/>
      <c r="AE110" s="3128"/>
      <c r="AF110" s="3128"/>
      <c r="AG110" s="3128"/>
      <c r="AH110" s="3128"/>
      <c r="AI110" s="3128"/>
      <c r="AJ110" s="3129"/>
      <c r="AK110" s="923"/>
      <c r="AL110" s="923"/>
      <c r="AM110" s="923"/>
      <c r="AN110" s="919"/>
      <c r="AO110" s="920" t="str">
        <f>Application!B732</f>
        <v>SRO/Studio</v>
      </c>
      <c r="AQ110" s="920">
        <f>Application!O732</f>
        <v>996</v>
      </c>
      <c r="AU110" s="1612" t="str">
        <f>E118</f>
        <v>Studio/SRO</v>
      </c>
      <c r="AV110" s="920">
        <f t="array" ref="AV110">SUM(IF(Application!B728:F752="SRO/Studio",Application!G728:J752))</f>
        <v>17</v>
      </c>
      <c r="AW110" s="1647">
        <f>AV110/AV116</f>
        <v>0.36170212765957449</v>
      </c>
    </row>
    <row r="111" spans="1:49" s="920" customFormat="1" ht="12.75" customHeight="1">
      <c r="A111" s="923"/>
      <c r="B111" s="922"/>
      <c r="C111" s="922"/>
      <c r="D111" s="922"/>
      <c r="E111" s="3127"/>
      <c r="F111" s="3128"/>
      <c r="G111" s="3128"/>
      <c r="H111" s="3128"/>
      <c r="I111" s="3128"/>
      <c r="J111" s="3128"/>
      <c r="K111" s="3128"/>
      <c r="L111" s="3128"/>
      <c r="M111" s="3128"/>
      <c r="N111" s="3128"/>
      <c r="O111" s="3128"/>
      <c r="P111" s="3128"/>
      <c r="Q111" s="3128"/>
      <c r="R111" s="3128"/>
      <c r="S111" s="3128"/>
      <c r="T111" s="3128"/>
      <c r="U111" s="3128"/>
      <c r="V111" s="3128"/>
      <c r="W111" s="3128"/>
      <c r="X111" s="3128"/>
      <c r="Y111" s="3128"/>
      <c r="Z111" s="3128"/>
      <c r="AA111" s="3128"/>
      <c r="AB111" s="3128"/>
      <c r="AC111" s="3128"/>
      <c r="AD111" s="3128"/>
      <c r="AE111" s="3128"/>
      <c r="AF111" s="3128"/>
      <c r="AG111" s="3128"/>
      <c r="AH111" s="3128"/>
      <c r="AI111" s="3128"/>
      <c r="AJ111" s="3129"/>
      <c r="AK111" s="923"/>
      <c r="AL111" s="923"/>
      <c r="AM111" s="923"/>
      <c r="AN111" s="919"/>
      <c r="AO111" s="920" t="str">
        <f>Application!B733</f>
        <v>1 Bedroom</v>
      </c>
      <c r="AQ111" s="920">
        <f>Application!O733</f>
        <v>1054</v>
      </c>
      <c r="AU111" s="1612" t="str">
        <f>J118</f>
        <v>1-bedroom</v>
      </c>
      <c r="AV111" s="920">
        <f t="array" ref="AV111">SUM(IF(Application!B728:F752="1 Bedroom",Application!G728:J752))</f>
        <v>30</v>
      </c>
      <c r="AW111" s="1647">
        <f>AV111/AV116</f>
        <v>0.63829787234042556</v>
      </c>
    </row>
    <row r="112" spans="1:49" s="920" customFormat="1" ht="12.75" customHeight="1">
      <c r="A112" s="923"/>
      <c r="B112" s="922"/>
      <c r="C112" s="922"/>
      <c r="D112" s="922"/>
      <c r="E112" s="3127"/>
      <c r="F112" s="3128"/>
      <c r="G112" s="3128"/>
      <c r="H112" s="3128"/>
      <c r="I112" s="3128"/>
      <c r="J112" s="3128"/>
      <c r="K112" s="3128"/>
      <c r="L112" s="3128"/>
      <c r="M112" s="3128"/>
      <c r="N112" s="3128"/>
      <c r="O112" s="3128"/>
      <c r="P112" s="3128"/>
      <c r="Q112" s="3128"/>
      <c r="R112" s="3128"/>
      <c r="S112" s="3128"/>
      <c r="T112" s="3128"/>
      <c r="U112" s="3128"/>
      <c r="V112" s="3128"/>
      <c r="W112" s="3128"/>
      <c r="X112" s="3128"/>
      <c r="Y112" s="3128"/>
      <c r="Z112" s="3128"/>
      <c r="AA112" s="3128"/>
      <c r="AB112" s="3128"/>
      <c r="AC112" s="3128"/>
      <c r="AD112" s="3128"/>
      <c r="AE112" s="3128"/>
      <c r="AF112" s="3128"/>
      <c r="AG112" s="3128"/>
      <c r="AH112" s="3128"/>
      <c r="AI112" s="3128"/>
      <c r="AJ112" s="3129"/>
      <c r="AK112" s="923"/>
      <c r="AL112" s="923"/>
      <c r="AM112" s="923"/>
      <c r="AN112" s="919"/>
      <c r="AO112" s="920" t="str">
        <f>Application!B734</f>
        <v>SRO/Studio</v>
      </c>
      <c r="AQ112" s="920">
        <f>Application!O734</f>
        <v>996</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127"/>
      <c r="F113" s="3128"/>
      <c r="G113" s="3128"/>
      <c r="H113" s="3128"/>
      <c r="I113" s="3128"/>
      <c r="J113" s="3128"/>
      <c r="K113" s="3128"/>
      <c r="L113" s="3128"/>
      <c r="M113" s="3128"/>
      <c r="N113" s="3128"/>
      <c r="O113" s="3128"/>
      <c r="P113" s="3128"/>
      <c r="Q113" s="3128"/>
      <c r="R113" s="3128"/>
      <c r="S113" s="3128"/>
      <c r="T113" s="3128"/>
      <c r="U113" s="3128"/>
      <c r="V113" s="3128"/>
      <c r="W113" s="3128"/>
      <c r="X113" s="3128"/>
      <c r="Y113" s="3128"/>
      <c r="Z113" s="3128"/>
      <c r="AA113" s="3128"/>
      <c r="AB113" s="3128"/>
      <c r="AC113" s="3128"/>
      <c r="AD113" s="3128"/>
      <c r="AE113" s="3128"/>
      <c r="AF113" s="3128"/>
      <c r="AG113" s="3128"/>
      <c r="AH113" s="3128"/>
      <c r="AI113" s="3128"/>
      <c r="AJ113" s="3129"/>
      <c r="AK113" s="923"/>
      <c r="AL113" s="923"/>
      <c r="AM113" s="923"/>
      <c r="AN113" s="919"/>
      <c r="AO113" s="920" t="str">
        <f>Application!B735</f>
        <v>1 Bedroom</v>
      </c>
      <c r="AQ113" s="920">
        <f>Application!O735</f>
        <v>1278</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127"/>
      <c r="F114" s="3128"/>
      <c r="G114" s="3128"/>
      <c r="H114" s="3128"/>
      <c r="I114" s="3128"/>
      <c r="J114" s="3128"/>
      <c r="K114" s="3128"/>
      <c r="L114" s="3128"/>
      <c r="M114" s="3128"/>
      <c r="N114" s="3128"/>
      <c r="O114" s="3128"/>
      <c r="P114" s="3128"/>
      <c r="Q114" s="3128"/>
      <c r="R114" s="3128"/>
      <c r="S114" s="3128"/>
      <c r="T114" s="3128"/>
      <c r="U114" s="3128"/>
      <c r="V114" s="3128"/>
      <c r="W114" s="3128"/>
      <c r="X114" s="3128"/>
      <c r="Y114" s="3128"/>
      <c r="Z114" s="3128"/>
      <c r="AA114" s="3128"/>
      <c r="AB114" s="3128"/>
      <c r="AC114" s="3128"/>
      <c r="AD114" s="3128"/>
      <c r="AE114" s="3128"/>
      <c r="AF114" s="3128"/>
      <c r="AG114" s="3128"/>
      <c r="AH114" s="3128"/>
      <c r="AI114" s="3128"/>
      <c r="AJ114" s="3129"/>
      <c r="AK114" s="923"/>
      <c r="AL114" s="923"/>
      <c r="AM114" s="923"/>
      <c r="AN114" s="919"/>
      <c r="AO114" s="920" t="str">
        <f>Application!B736</f>
        <v>SRO/Studio</v>
      </c>
      <c r="AQ114" s="920">
        <f>Application!O736</f>
        <v>788</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27"/>
      <c r="F115" s="3128"/>
      <c r="G115" s="3128"/>
      <c r="H115" s="3128"/>
      <c r="I115" s="3128"/>
      <c r="J115" s="3128"/>
      <c r="K115" s="3128"/>
      <c r="L115" s="3128"/>
      <c r="M115" s="3128"/>
      <c r="N115" s="3128"/>
      <c r="O115" s="3128"/>
      <c r="P115" s="3128"/>
      <c r="Q115" s="3128"/>
      <c r="R115" s="3128"/>
      <c r="S115" s="3128"/>
      <c r="T115" s="3128"/>
      <c r="U115" s="3128"/>
      <c r="V115" s="3128"/>
      <c r="W115" s="3128"/>
      <c r="X115" s="3128"/>
      <c r="Y115" s="3128"/>
      <c r="Z115" s="3128"/>
      <c r="AA115" s="3128"/>
      <c r="AB115" s="3128"/>
      <c r="AC115" s="3128"/>
      <c r="AD115" s="3128"/>
      <c r="AE115" s="3128"/>
      <c r="AF115" s="3128"/>
      <c r="AG115" s="3128"/>
      <c r="AH115" s="3128"/>
      <c r="AI115" s="3128"/>
      <c r="AJ115" s="3129"/>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27"/>
      <c r="F116" s="3128"/>
      <c r="G116" s="3128"/>
      <c r="H116" s="3128"/>
      <c r="I116" s="3128"/>
      <c r="J116" s="3128"/>
      <c r="K116" s="3128"/>
      <c r="L116" s="3128"/>
      <c r="M116" s="3128"/>
      <c r="N116" s="3128"/>
      <c r="O116" s="3128"/>
      <c r="P116" s="3128"/>
      <c r="Q116" s="3128"/>
      <c r="R116" s="3128"/>
      <c r="S116" s="3128"/>
      <c r="T116" s="3128"/>
      <c r="U116" s="3128"/>
      <c r="V116" s="3128"/>
      <c r="W116" s="3128"/>
      <c r="X116" s="3128"/>
      <c r="Y116" s="3128"/>
      <c r="Z116" s="3128"/>
      <c r="AA116" s="3128"/>
      <c r="AB116" s="3128"/>
      <c r="AC116" s="3128"/>
      <c r="AD116" s="3128"/>
      <c r="AE116" s="3128"/>
      <c r="AF116" s="3128"/>
      <c r="AG116" s="3128"/>
      <c r="AH116" s="3128"/>
      <c r="AI116" s="3128"/>
      <c r="AJ116" s="3129"/>
      <c r="AK116" s="923"/>
      <c r="AL116" s="923"/>
      <c r="AM116" s="923"/>
      <c r="AN116" s="919"/>
      <c r="AO116" s="920">
        <f>Application!B738</f>
        <v>0</v>
      </c>
      <c r="AQ116" s="920">
        <f>Application!O738</f>
        <v>0</v>
      </c>
      <c r="AV116" s="920">
        <f>SUM(AV110:AV115)</f>
        <v>47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92" t="s">
        <v>1793</v>
      </c>
      <c r="F118" s="3093"/>
      <c r="G118" s="3093"/>
      <c r="H118" s="3093"/>
      <c r="I118" s="1372"/>
      <c r="J118" s="3093" t="s">
        <v>1838</v>
      </c>
      <c r="K118" s="3093"/>
      <c r="L118" s="3093"/>
      <c r="M118" s="3093"/>
      <c r="N118" s="1372"/>
      <c r="O118" s="3093" t="s">
        <v>1839</v>
      </c>
      <c r="P118" s="3093"/>
      <c r="Q118" s="3093"/>
      <c r="R118" s="3093"/>
      <c r="S118" s="1372"/>
      <c r="T118" s="3093" t="s">
        <v>1530</v>
      </c>
      <c r="U118" s="3093"/>
      <c r="V118" s="3093"/>
      <c r="W118" s="3093"/>
      <c r="X118" s="1372"/>
      <c r="Y118" s="3093" t="s">
        <v>1840</v>
      </c>
      <c r="Z118" s="3093"/>
      <c r="AA118" s="3093"/>
      <c r="AB118" s="3093"/>
      <c r="AC118" s="1372"/>
      <c r="AD118" s="3093" t="s">
        <v>1841</v>
      </c>
      <c r="AE118" s="3093"/>
      <c r="AF118" s="3093"/>
      <c r="AG118" s="3093"/>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55">
        <v>996</v>
      </c>
      <c r="F121" s="3156"/>
      <c r="G121" s="3156"/>
      <c r="H121" s="3156"/>
      <c r="I121" s="1374"/>
      <c r="J121" s="3156">
        <v>1278</v>
      </c>
      <c r="K121" s="3156"/>
      <c r="L121" s="3156"/>
      <c r="M121" s="3156"/>
      <c r="N121" s="1374"/>
      <c r="O121" s="3156"/>
      <c r="P121" s="3156"/>
      <c r="Q121" s="3156"/>
      <c r="R121" s="3156"/>
      <c r="S121" s="1374"/>
      <c r="T121" s="3156"/>
      <c r="U121" s="3156"/>
      <c r="V121" s="3156"/>
      <c r="W121" s="3156"/>
      <c r="X121" s="1374"/>
      <c r="Y121" s="3156"/>
      <c r="Z121" s="3156"/>
      <c r="AA121" s="3156"/>
      <c r="AB121" s="3156"/>
      <c r="AC121" s="1374"/>
      <c r="AD121" s="3156"/>
      <c r="AE121" s="3156"/>
      <c r="AF121" s="3156"/>
      <c r="AG121" s="3156"/>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8">
        <f>Application!DX663</f>
        <v>775.29411764705878</v>
      </c>
      <c r="F124" s="3149"/>
      <c r="G124" s="3149"/>
      <c r="H124" s="3149"/>
      <c r="I124" s="1374"/>
      <c r="J124" s="3149">
        <f>Application!EC663</f>
        <v>912.93333333333339</v>
      </c>
      <c r="K124" s="3149"/>
      <c r="L124" s="3149"/>
      <c r="M124" s="3149"/>
      <c r="N124" s="1374"/>
      <c r="O124" s="3149">
        <f>Application!EH663</f>
        <v>0</v>
      </c>
      <c r="P124" s="3149"/>
      <c r="Q124" s="3149"/>
      <c r="R124" s="3149"/>
      <c r="S124" s="1378"/>
      <c r="T124" s="3149">
        <f>Application!EM663</f>
        <v>0</v>
      </c>
      <c r="U124" s="3149"/>
      <c r="V124" s="3149"/>
      <c r="W124" s="3149"/>
      <c r="X124" s="1378"/>
      <c r="Y124" s="3149">
        <f>Application!ER663</f>
        <v>0</v>
      </c>
      <c r="Z124" s="3149"/>
      <c r="AA124" s="3149"/>
      <c r="AB124" s="3149"/>
      <c r="AC124" s="1378"/>
      <c r="AD124" s="3149">
        <f>Application!EW663</f>
        <v>0</v>
      </c>
      <c r="AE124" s="3149"/>
      <c r="AF124" s="3149"/>
      <c r="AG124" s="314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60">
        <f>(E121-E124)/E121</f>
        <v>0.22159225135837471</v>
      </c>
      <c r="F127" s="3361"/>
      <c r="G127" s="3361"/>
      <c r="H127" s="3362"/>
      <c r="I127" s="961"/>
      <c r="J127" s="3360">
        <f>(J121-J124)/J121</f>
        <v>0.28565466875326023</v>
      </c>
      <c r="K127" s="3361"/>
      <c r="L127" s="3361"/>
      <c r="M127" s="3362"/>
      <c r="N127" s="961"/>
      <c r="O127" s="3360" t="e">
        <f>(O121-O124)/O121</f>
        <v>#DIV/0!</v>
      </c>
      <c r="P127" s="3361"/>
      <c r="Q127" s="3361"/>
      <c r="R127" s="3362"/>
      <c r="S127" s="961"/>
      <c r="T127" s="3360" t="e">
        <f>(T121-T124)/T121</f>
        <v>#DIV/0!</v>
      </c>
      <c r="U127" s="3361"/>
      <c r="V127" s="3361"/>
      <c r="W127" s="3362"/>
      <c r="X127" s="961"/>
      <c r="Y127" s="3360" t="e">
        <f>(Y121-Y124)/Y121</f>
        <v>#DIV/0!</v>
      </c>
      <c r="Z127" s="3361"/>
      <c r="AA127" s="3361"/>
      <c r="AB127" s="3362"/>
      <c r="AC127" s="961"/>
      <c r="AD127" s="3360" t="e">
        <f>(AD121-AD124)/AD121</f>
        <v>#DIV/0!</v>
      </c>
      <c r="AE127" s="3361"/>
      <c r="AF127" s="3361"/>
      <c r="AG127" s="3362"/>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50">
        <f>IF(((E127-0.1)*AW110)&gt;0,((E127-0.1)*AW110),0)</f>
        <v>4.3980176023241918E-2</v>
      </c>
      <c r="F130" s="3151"/>
      <c r="G130" s="3151"/>
      <c r="H130" s="3152"/>
      <c r="I130" s="961"/>
      <c r="J130" s="3150">
        <f>IF(((J127-0.1)*AW111)&gt;0,((J127-0.1)*AW111),0)</f>
        <v>0.11850298005527249</v>
      </c>
      <c r="K130" s="3151"/>
      <c r="L130" s="3151"/>
      <c r="M130" s="3152"/>
      <c r="N130" s="961"/>
      <c r="O130" s="3150" t="e">
        <f>IF(((O127-0.1)*AW112)&gt;0,((O127-0.1)*AW112),0)</f>
        <v>#DIV/0!</v>
      </c>
      <c r="P130" s="3151"/>
      <c r="Q130" s="3151"/>
      <c r="R130" s="3152"/>
      <c r="S130" s="961"/>
      <c r="T130" s="3150" t="e">
        <f>IF(((T127-0.1)*AW113)&gt;0,((T127-0.1)*AW113),0)</f>
        <v>#DIV/0!</v>
      </c>
      <c r="U130" s="3151"/>
      <c r="V130" s="3151"/>
      <c r="W130" s="3152"/>
      <c r="X130" s="961"/>
      <c r="Y130" s="3150" t="e">
        <f>IF(((Y127-0.1)*AW114)&gt;0,((Y127-0.1)*AW114),0)</f>
        <v>#DIV/0!</v>
      </c>
      <c r="Z130" s="3151"/>
      <c r="AA130" s="3151"/>
      <c r="AB130" s="3152"/>
      <c r="AC130" s="961"/>
      <c r="AD130" s="3150" t="e">
        <f>IF(((AD127-0.1)*AW115)&gt;0,((AD127-0.1)*AW115),0)</f>
        <v>#DIV/0!</v>
      </c>
      <c r="AE130" s="3151"/>
      <c r="AF130" s="3151"/>
      <c r="AG130" s="3152"/>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60">
        <f>ROUNDDOWN(SUMIF(E130:AG130,"&gt;0"),2)</f>
        <v>0.16</v>
      </c>
      <c r="F132" s="3361"/>
      <c r="G132" s="3361"/>
      <c r="H132" s="3362"/>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34">
        <f>IF((E132*100)&gt;10,10,E132*100)</f>
        <v>10</v>
      </c>
      <c r="F133" s="3135"/>
      <c r="G133" s="3135"/>
      <c r="H133" s="3136"/>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34">
        <f>E133</f>
        <v>10</v>
      </c>
      <c r="AL137" s="3135"/>
      <c r="AM137" s="3136"/>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108" t="s">
        <v>1510</v>
      </c>
      <c r="AF140" s="3108"/>
      <c r="AG140" s="3108"/>
      <c r="AH140" s="3108"/>
      <c r="AI140" s="3108"/>
      <c r="AJ140" s="3108"/>
      <c r="AK140" s="3108"/>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6" t="s">
        <v>1534</v>
      </c>
      <c r="AG142" s="3146"/>
      <c r="AH142" s="3146"/>
      <c r="AI142" s="3146"/>
      <c r="AJ142" s="3146"/>
      <c r="AK142" s="3146"/>
      <c r="AL142" s="3146"/>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7" t="s">
        <v>2620</v>
      </c>
      <c r="C144" s="3147"/>
      <c r="D144" s="3147"/>
      <c r="E144" s="3147"/>
      <c r="F144" s="3147"/>
      <c r="G144" s="3147"/>
      <c r="H144" s="3147"/>
      <c r="I144" s="3147"/>
      <c r="J144" s="3147"/>
      <c r="K144" s="3147"/>
      <c r="L144" s="3147"/>
      <c r="M144" s="3147"/>
      <c r="N144" s="3147"/>
      <c r="O144" s="3147"/>
      <c r="P144" s="3147"/>
      <c r="Q144" s="3147"/>
      <c r="R144" s="3147"/>
      <c r="S144" s="3147"/>
      <c r="T144" s="3147"/>
      <c r="U144" s="3147"/>
      <c r="V144" s="3147"/>
      <c r="W144" s="3147"/>
      <c r="X144" s="3147"/>
      <c r="Y144" s="3147"/>
      <c r="Z144" s="3147"/>
      <c r="AA144" s="3147"/>
      <c r="AB144" s="3147"/>
      <c r="AC144" s="314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73" t="s">
        <v>1537</v>
      </c>
      <c r="C147" s="3173"/>
      <c r="D147" s="3173"/>
      <c r="E147" s="3173"/>
      <c r="F147" s="3173"/>
      <c r="G147" s="3173"/>
      <c r="H147" s="3173"/>
      <c r="I147" s="3173"/>
      <c r="J147" s="3173"/>
      <c r="K147" s="3173"/>
      <c r="L147" s="3173"/>
      <c r="M147" s="3173"/>
      <c r="N147" s="3173"/>
      <c r="O147" s="3173"/>
      <c r="P147" s="3173"/>
      <c r="Q147" s="3173"/>
      <c r="R147" s="3173"/>
      <c r="S147" s="3173"/>
      <c r="T147" s="3173"/>
      <c r="U147" s="3173"/>
      <c r="V147" s="3173"/>
      <c r="W147" s="3173"/>
      <c r="X147" s="3173"/>
      <c r="Y147" s="3173"/>
      <c r="Z147" s="3173"/>
      <c r="AA147" s="3173"/>
      <c r="AB147" s="3173"/>
      <c r="AC147" s="3173"/>
      <c r="AD147" s="3173"/>
      <c r="AE147" s="3173"/>
      <c r="AF147" s="3173"/>
      <c r="AG147" s="3173"/>
      <c r="AH147" s="3173"/>
      <c r="AI147" s="3173"/>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74" t="s">
        <v>570</v>
      </c>
      <c r="AC149" s="3174"/>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73" t="s">
        <v>1542</v>
      </c>
      <c r="C152" s="3173"/>
      <c r="D152" s="3173"/>
      <c r="E152" s="3173"/>
      <c r="F152" s="3173"/>
      <c r="G152" s="3173"/>
      <c r="H152" s="3173"/>
      <c r="I152" s="3173"/>
      <c r="J152" s="3173"/>
      <c r="K152" s="3173"/>
      <c r="L152" s="3173"/>
      <c r="M152" s="3173"/>
      <c r="N152" s="3173"/>
      <c r="O152" s="3173"/>
      <c r="P152" s="3173"/>
      <c r="Q152" s="3173"/>
      <c r="R152" s="3173"/>
      <c r="S152" s="3173"/>
      <c r="T152" s="3173"/>
      <c r="U152" s="3173"/>
      <c r="V152" s="3173"/>
      <c r="W152" s="3173"/>
      <c r="X152" s="3173"/>
      <c r="Y152" s="3173"/>
      <c r="Z152" s="3173"/>
      <c r="AA152" s="3173"/>
      <c r="AB152" s="3173"/>
      <c r="AC152" s="3173"/>
      <c r="AD152" s="3173"/>
      <c r="AE152" s="3173"/>
      <c r="AF152" s="3173"/>
      <c r="AG152" s="3173"/>
      <c r="AH152" s="3173"/>
      <c r="AI152" s="3173"/>
      <c r="AJ152" s="3173"/>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76">
        <f>IF($AB$149="N/A",VLOOKUP($B$147,$AO$145:$AP$148,2,FALSE),VLOOKUP($B$152,$AO$150:$AP$153,2,FALSE))</f>
        <v>7</v>
      </c>
      <c r="AK155" s="3176"/>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6" t="s">
        <v>1548</v>
      </c>
      <c r="AG157" s="3146"/>
      <c r="AH157" s="3146"/>
      <c r="AI157" s="3146"/>
      <c r="AJ157" s="3146"/>
      <c r="AK157" s="3146"/>
      <c r="AL157" s="3146"/>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73" t="s">
        <v>1844</v>
      </c>
      <c r="D159" s="3173"/>
      <c r="E159" s="3173"/>
      <c r="F159" s="3173"/>
      <c r="G159" s="3173"/>
      <c r="H159" s="3173"/>
      <c r="I159" s="3173"/>
      <c r="J159" s="3173"/>
      <c r="K159" s="3173"/>
      <c r="L159" s="3173"/>
      <c r="M159" s="3173"/>
      <c r="N159" s="3173"/>
      <c r="O159" s="3173"/>
      <c r="P159" s="3173"/>
      <c r="Q159" s="3173"/>
      <c r="R159" s="3173"/>
      <c r="S159" s="3173"/>
      <c r="T159" s="3173"/>
      <c r="U159" s="3173"/>
      <c r="V159" s="3173"/>
      <c r="W159" s="3173"/>
      <c r="X159" s="3173"/>
      <c r="Y159" s="3173"/>
      <c r="Z159" s="3173"/>
      <c r="AA159" s="3173"/>
      <c r="AB159" s="3173"/>
      <c r="AC159" s="3173"/>
      <c r="AD159" s="3173"/>
      <c r="AE159" s="3173"/>
      <c r="AF159" s="3173"/>
      <c r="AG159" s="3173"/>
      <c r="AH159" s="3173"/>
      <c r="AI159" s="3173"/>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74" t="s">
        <v>570</v>
      </c>
      <c r="AD161" s="3174"/>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73" t="s">
        <v>1552</v>
      </c>
      <c r="D163" s="3173"/>
      <c r="E163" s="3173"/>
      <c r="F163" s="3173"/>
      <c r="G163" s="3173"/>
      <c r="H163" s="3173"/>
      <c r="I163" s="3173"/>
      <c r="J163" s="3173"/>
      <c r="K163" s="3173"/>
      <c r="L163" s="3173"/>
      <c r="M163" s="3173"/>
      <c r="N163" s="3173"/>
      <c r="O163" s="3173"/>
      <c r="P163" s="3173"/>
      <c r="Q163" s="3173"/>
      <c r="R163" s="3173"/>
      <c r="S163" s="3173"/>
      <c r="T163" s="3173"/>
      <c r="U163" s="3173"/>
      <c r="V163" s="3173"/>
      <c r="W163" s="3173"/>
      <c r="X163" s="3173"/>
      <c r="Y163" s="3173"/>
      <c r="Z163" s="3173"/>
      <c r="AA163" s="3173"/>
      <c r="AB163" s="3173"/>
      <c r="AC163" s="3173"/>
      <c r="AD163" s="3173"/>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47" t="s">
        <v>2619</v>
      </c>
      <c r="D167" s="3147"/>
      <c r="E167" s="3147"/>
      <c r="F167" s="3147"/>
      <c r="G167" s="3147"/>
      <c r="H167" s="3147"/>
      <c r="I167" s="3147"/>
      <c r="J167" s="3147"/>
      <c r="K167" s="3147"/>
      <c r="L167" s="3147"/>
      <c r="M167" s="3147"/>
      <c r="N167" s="3147"/>
      <c r="O167" s="3147"/>
      <c r="P167" s="3147"/>
      <c r="Q167" s="3147"/>
      <c r="R167" s="3147"/>
      <c r="S167" s="3147"/>
      <c r="T167" s="3147"/>
      <c r="U167" s="3147"/>
      <c r="V167" s="3147"/>
      <c r="W167" s="3147"/>
      <c r="X167" s="3147"/>
      <c r="Y167" s="3147"/>
      <c r="Z167" s="3147"/>
      <c r="AA167" s="3147"/>
      <c r="AB167" s="3147"/>
      <c r="AC167" s="3147"/>
      <c r="AD167" s="3147"/>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75">
        <f>IF($AC$161="N/A",VLOOKUP($C$159,$AO$159:$AP$162,2,FALSE),VLOOKUP($C$163,$AO$166:$AP$168,2,FALSE))</f>
        <v>3</v>
      </c>
      <c r="AK169" s="317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34">
        <f>$AJ$155+$AJ$169</f>
        <v>10</v>
      </c>
      <c r="AL172" s="3135"/>
      <c r="AM172" s="3136"/>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70" t="s">
        <v>1510</v>
      </c>
      <c r="AF175" s="3170"/>
      <c r="AG175" s="3170"/>
      <c r="AH175" s="3170"/>
      <c r="AI175" s="3170"/>
      <c r="AJ175" s="3170"/>
      <c r="AK175" s="3170"/>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71" t="s">
        <v>1125</v>
      </c>
      <c r="C177" s="3171"/>
      <c r="D177" s="3171"/>
      <c r="E177" s="3171"/>
      <c r="F177" s="3171"/>
      <c r="G177" s="3171"/>
      <c r="H177" s="3171"/>
      <c r="I177" s="3171"/>
      <c r="J177" s="3171"/>
      <c r="K177" s="3171"/>
      <c r="L177" s="3171"/>
      <c r="M177" s="3171"/>
      <c r="N177" s="3171"/>
      <c r="O177" s="3171"/>
      <c r="P177" s="3171"/>
      <c r="Q177" s="3171"/>
      <c r="R177" s="3171"/>
      <c r="S177" s="3171"/>
      <c r="T177" s="3171"/>
      <c r="U177" s="3171"/>
      <c r="V177" s="3171"/>
      <c r="W177" s="3171"/>
      <c r="X177" s="3171"/>
      <c r="Y177" s="3171"/>
      <c r="Z177" s="3171"/>
      <c r="AA177" s="3171"/>
      <c r="AB177" s="3171"/>
      <c r="AC177" s="3171"/>
      <c r="AD177" s="1013"/>
      <c r="AE177" s="1013"/>
      <c r="AF177" s="3146" t="s">
        <v>1559</v>
      </c>
      <c r="AG177" s="3146"/>
      <c r="AH177" s="3146"/>
      <c r="AI177" s="3146"/>
      <c r="AJ177" s="3146"/>
      <c r="AK177" s="3146"/>
      <c r="AL177" s="3146"/>
      <c r="AN177" s="990"/>
      <c r="AP177" s="933" t="s">
        <v>1125</v>
      </c>
      <c r="AQ177" s="933">
        <v>10</v>
      </c>
    </row>
    <row r="178" spans="1:45" s="933" customFormat="1" ht="12.75" customHeight="1">
      <c r="A178" s="917"/>
      <c r="B178" s="3172" t="s">
        <v>2041</v>
      </c>
      <c r="C178" s="3172"/>
      <c r="D178" s="3172"/>
      <c r="E178" s="3172"/>
      <c r="F178" s="3172"/>
      <c r="G178" s="3172"/>
      <c r="H178" s="3172"/>
      <c r="I178" s="3172"/>
      <c r="J178" s="3172"/>
      <c r="K178" s="3172"/>
      <c r="L178" s="3172"/>
      <c r="M178" s="3172"/>
      <c r="N178" s="3172"/>
      <c r="O178" s="3172"/>
      <c r="P178" s="3172"/>
      <c r="Q178" s="3172"/>
      <c r="R178" s="3172"/>
      <c r="S178" s="3172"/>
      <c r="T178" s="3147" t="s">
        <v>617</v>
      </c>
      <c r="U178" s="3147"/>
      <c r="V178" s="3147"/>
      <c r="W178" s="3147"/>
      <c r="X178" s="3147"/>
      <c r="Y178" s="3147"/>
      <c r="Z178" s="3147"/>
      <c r="AA178" s="3147"/>
      <c r="AB178" s="3147"/>
      <c r="AC178" s="3147"/>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82">
        <f>IF(AK78&gt;0,VLOOKUP($B$177,AP174:AQ181,2,FALSE),0)</f>
        <v>10</v>
      </c>
      <c r="AL180" s="3183"/>
      <c r="AM180" s="3184"/>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70" t="s">
        <v>1568</v>
      </c>
      <c r="AF183" s="3170"/>
      <c r="AG183" s="3170"/>
      <c r="AH183" s="3170"/>
      <c r="AI183" s="3170"/>
      <c r="AJ183" s="3170"/>
      <c r="AK183" s="317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8" t="s">
        <v>2715</v>
      </c>
      <c r="C188" s="3158"/>
      <c r="D188" s="3158"/>
      <c r="E188" s="3158"/>
      <c r="F188" s="3158"/>
      <c r="G188" s="3158"/>
      <c r="H188" s="3158"/>
      <c r="I188" s="3158"/>
      <c r="J188" s="3158"/>
      <c r="K188" s="3158"/>
      <c r="L188" s="3158"/>
      <c r="M188" s="3158"/>
      <c r="N188" s="3158"/>
      <c r="O188" s="3158"/>
      <c r="P188" s="3158"/>
      <c r="Q188" s="3158"/>
      <c r="R188" s="3158"/>
      <c r="S188" s="3158"/>
      <c r="T188" s="3158"/>
      <c r="U188" s="3158"/>
      <c r="V188" s="3158"/>
      <c r="W188" s="3158"/>
      <c r="X188" s="3158"/>
      <c r="Y188" s="3158"/>
      <c r="Z188" s="3158"/>
      <c r="AA188" s="3158"/>
      <c r="AB188" s="3158"/>
      <c r="AC188" s="1350"/>
      <c r="AD188" s="3159">
        <v>8401939</v>
      </c>
      <c r="AE188" s="3159"/>
      <c r="AF188" s="3159"/>
      <c r="AG188" s="3159"/>
      <c r="AH188" s="3159"/>
      <c r="AI188" s="3159"/>
      <c r="AJ188" s="3159"/>
      <c r="AK188" s="1014"/>
    </row>
    <row r="189" spans="1:45">
      <c r="A189" s="1006"/>
      <c r="B189" s="3158" t="s">
        <v>2708</v>
      </c>
      <c r="C189" s="3158"/>
      <c r="D189" s="3158"/>
      <c r="E189" s="3158"/>
      <c r="F189" s="3158"/>
      <c r="G189" s="3158"/>
      <c r="H189" s="3158"/>
      <c r="I189" s="3158"/>
      <c r="J189" s="3158"/>
      <c r="K189" s="3158"/>
      <c r="L189" s="3158"/>
      <c r="M189" s="3158"/>
      <c r="N189" s="3158"/>
      <c r="O189" s="3158"/>
      <c r="P189" s="3158"/>
      <c r="Q189" s="3158"/>
      <c r="R189" s="3158"/>
      <c r="S189" s="3158"/>
      <c r="T189" s="3158"/>
      <c r="U189" s="3158"/>
      <c r="V189" s="3158"/>
      <c r="W189" s="3158"/>
      <c r="X189" s="3158"/>
      <c r="Y189" s="3158"/>
      <c r="Z189" s="3158"/>
      <c r="AA189" s="3158"/>
      <c r="AB189" s="3158"/>
      <c r="AC189" s="1350"/>
      <c r="AD189" s="3159">
        <v>5000000</v>
      </c>
      <c r="AE189" s="3159"/>
      <c r="AF189" s="3159"/>
      <c r="AG189" s="3159"/>
      <c r="AH189" s="3159"/>
      <c r="AI189" s="3159"/>
      <c r="AJ189" s="3159"/>
      <c r="AK189" s="1014"/>
    </row>
    <row r="190" spans="1:45">
      <c r="A190" s="1006"/>
      <c r="B190" s="3158" t="s">
        <v>2755</v>
      </c>
      <c r="C190" s="3158"/>
      <c r="D190" s="3158"/>
      <c r="E190" s="3158"/>
      <c r="F190" s="3158"/>
      <c r="G190" s="3158"/>
      <c r="H190" s="3158"/>
      <c r="I190" s="3158"/>
      <c r="J190" s="3158"/>
      <c r="K190" s="3158"/>
      <c r="L190" s="3158"/>
      <c r="M190" s="3158"/>
      <c r="N190" s="3158"/>
      <c r="O190" s="3158"/>
      <c r="P190" s="3158"/>
      <c r="Q190" s="3158"/>
      <c r="R190" s="3158"/>
      <c r="S190" s="3158"/>
      <c r="T190" s="3158"/>
      <c r="U190" s="3158"/>
      <c r="V190" s="3158"/>
      <c r="W190" s="3158"/>
      <c r="X190" s="3158"/>
      <c r="Y190" s="3158"/>
      <c r="Z190" s="3158"/>
      <c r="AA190" s="3158"/>
      <c r="AB190" s="3158"/>
      <c r="AC190" s="1350"/>
      <c r="AD190" s="3159">
        <v>2000000</v>
      </c>
      <c r="AE190" s="3159"/>
      <c r="AF190" s="3159"/>
      <c r="AG190" s="3159"/>
      <c r="AH190" s="3159"/>
      <c r="AI190" s="3159"/>
      <c r="AJ190" s="3159"/>
      <c r="AK190" s="1014"/>
    </row>
    <row r="191" spans="1:45">
      <c r="A191" s="1006"/>
      <c r="B191" s="3158"/>
      <c r="C191" s="3158"/>
      <c r="D191" s="3158"/>
      <c r="E191" s="3158"/>
      <c r="F191" s="3158"/>
      <c r="G191" s="3158"/>
      <c r="H191" s="3158"/>
      <c r="I191" s="3158"/>
      <c r="J191" s="3158"/>
      <c r="K191" s="3158"/>
      <c r="L191" s="3158"/>
      <c r="M191" s="3158"/>
      <c r="N191" s="3158"/>
      <c r="O191" s="3158"/>
      <c r="P191" s="3158"/>
      <c r="Q191" s="3158"/>
      <c r="R191" s="3158"/>
      <c r="S191" s="3158"/>
      <c r="T191" s="3158"/>
      <c r="U191" s="3158"/>
      <c r="V191" s="3158"/>
      <c r="W191" s="3158"/>
      <c r="X191" s="3158"/>
      <c r="Y191" s="3158"/>
      <c r="Z191" s="3158"/>
      <c r="AA191" s="3158"/>
      <c r="AB191" s="3158"/>
      <c r="AC191" s="1350"/>
      <c r="AD191" s="3159"/>
      <c r="AE191" s="3159"/>
      <c r="AF191" s="3159"/>
      <c r="AG191" s="3159"/>
      <c r="AH191" s="3159"/>
      <c r="AI191" s="3159"/>
      <c r="AJ191" s="3159"/>
      <c r="AK191" s="1014"/>
    </row>
    <row r="192" spans="1:45">
      <c r="A192" s="1006"/>
      <c r="B192" s="3158"/>
      <c r="C192" s="3158"/>
      <c r="D192" s="3158"/>
      <c r="E192" s="3158"/>
      <c r="F192" s="3158"/>
      <c r="G192" s="3158"/>
      <c r="H192" s="3158"/>
      <c r="I192" s="3158"/>
      <c r="J192" s="3158"/>
      <c r="K192" s="3158"/>
      <c r="L192" s="3158"/>
      <c r="M192" s="3158"/>
      <c r="N192" s="3158"/>
      <c r="O192" s="3158"/>
      <c r="P192" s="3158"/>
      <c r="Q192" s="3158"/>
      <c r="R192" s="3158"/>
      <c r="S192" s="3158"/>
      <c r="T192" s="3158"/>
      <c r="U192" s="3158"/>
      <c r="V192" s="3158"/>
      <c r="W192" s="3158"/>
      <c r="X192" s="3158"/>
      <c r="Y192" s="3158"/>
      <c r="Z192" s="3158"/>
      <c r="AA192" s="3158"/>
      <c r="AB192" s="3158"/>
      <c r="AC192" s="1350"/>
      <c r="AD192" s="3159"/>
      <c r="AE192" s="3159"/>
      <c r="AF192" s="3159"/>
      <c r="AG192" s="3159"/>
      <c r="AH192" s="3159"/>
      <c r="AI192" s="3159"/>
      <c r="AJ192" s="3159"/>
      <c r="AK192" s="1014"/>
    </row>
    <row r="193" spans="1:37">
      <c r="A193" s="1006"/>
      <c r="B193" s="3158"/>
      <c r="C193" s="3158"/>
      <c r="D193" s="3158"/>
      <c r="E193" s="3158"/>
      <c r="F193" s="3158"/>
      <c r="G193" s="3158"/>
      <c r="H193" s="3158"/>
      <c r="I193" s="3158"/>
      <c r="J193" s="3158"/>
      <c r="K193" s="3158"/>
      <c r="L193" s="3158"/>
      <c r="M193" s="3158"/>
      <c r="N193" s="3158"/>
      <c r="O193" s="3158"/>
      <c r="P193" s="3158"/>
      <c r="Q193" s="3158"/>
      <c r="R193" s="3158"/>
      <c r="S193" s="3158"/>
      <c r="T193" s="3158"/>
      <c r="U193" s="3158"/>
      <c r="V193" s="3158"/>
      <c r="W193" s="3158"/>
      <c r="X193" s="3158"/>
      <c r="Y193" s="3158"/>
      <c r="Z193" s="3158"/>
      <c r="AA193" s="3158"/>
      <c r="AB193" s="3158"/>
      <c r="AC193" s="1350"/>
      <c r="AD193" s="3159"/>
      <c r="AE193" s="3159"/>
      <c r="AF193" s="3159"/>
      <c r="AG193" s="3159"/>
      <c r="AH193" s="3159"/>
      <c r="AI193" s="3159"/>
      <c r="AJ193" s="3159"/>
      <c r="AK193" s="1014"/>
    </row>
    <row r="194" spans="1:37">
      <c r="A194" s="1006"/>
      <c r="B194" s="3158"/>
      <c r="C194" s="3158"/>
      <c r="D194" s="3158"/>
      <c r="E194" s="3158"/>
      <c r="F194" s="3158"/>
      <c r="G194" s="3158"/>
      <c r="H194" s="3158"/>
      <c r="I194" s="3158"/>
      <c r="J194" s="3158"/>
      <c r="K194" s="3158"/>
      <c r="L194" s="3158"/>
      <c r="M194" s="3158"/>
      <c r="N194" s="3158"/>
      <c r="O194" s="3158"/>
      <c r="P194" s="3158"/>
      <c r="Q194" s="3158"/>
      <c r="R194" s="3158"/>
      <c r="S194" s="3158"/>
      <c r="T194" s="3158"/>
      <c r="U194" s="3158"/>
      <c r="V194" s="3158"/>
      <c r="W194" s="3158"/>
      <c r="X194" s="3158"/>
      <c r="Y194" s="3158"/>
      <c r="Z194" s="3158"/>
      <c r="AA194" s="3158"/>
      <c r="AB194" s="3158"/>
      <c r="AC194" s="1350"/>
      <c r="AD194" s="3159"/>
      <c r="AE194" s="3159"/>
      <c r="AF194" s="3159"/>
      <c r="AG194" s="3159"/>
      <c r="AH194" s="3159"/>
      <c r="AI194" s="3159"/>
      <c r="AJ194" s="3159"/>
      <c r="AK194" s="1014"/>
    </row>
    <row r="195" spans="1:37">
      <c r="A195" s="1006"/>
      <c r="B195" s="3158"/>
      <c r="C195" s="3158"/>
      <c r="D195" s="3158"/>
      <c r="E195" s="3158"/>
      <c r="F195" s="3158"/>
      <c r="G195" s="3158"/>
      <c r="H195" s="3158"/>
      <c r="I195" s="3158"/>
      <c r="J195" s="3158"/>
      <c r="K195" s="3158"/>
      <c r="L195" s="3158"/>
      <c r="M195" s="3158"/>
      <c r="N195" s="3158"/>
      <c r="O195" s="3158"/>
      <c r="P195" s="3158"/>
      <c r="Q195" s="3158"/>
      <c r="R195" s="3158"/>
      <c r="S195" s="3158"/>
      <c r="T195" s="3158"/>
      <c r="U195" s="3158"/>
      <c r="V195" s="3158"/>
      <c r="W195" s="3158"/>
      <c r="X195" s="3158"/>
      <c r="Y195" s="3158"/>
      <c r="Z195" s="3158"/>
      <c r="AA195" s="3158"/>
      <c r="AB195" s="3158"/>
      <c r="AC195" s="1350"/>
      <c r="AD195" s="3159"/>
      <c r="AE195" s="3159"/>
      <c r="AF195" s="3159"/>
      <c r="AG195" s="3159"/>
      <c r="AH195" s="3159"/>
      <c r="AI195" s="3159"/>
      <c r="AJ195" s="3159"/>
      <c r="AK195" s="1014"/>
    </row>
    <row r="196" spans="1:37">
      <c r="A196" s="1006"/>
      <c r="B196" s="3158"/>
      <c r="C196" s="3158"/>
      <c r="D196" s="3158"/>
      <c r="E196" s="3158"/>
      <c r="F196" s="3158"/>
      <c r="G196" s="3158"/>
      <c r="H196" s="3158"/>
      <c r="I196" s="3158"/>
      <c r="J196" s="3158"/>
      <c r="K196" s="3158"/>
      <c r="L196" s="3158"/>
      <c r="M196" s="3158"/>
      <c r="N196" s="3158"/>
      <c r="O196" s="3158"/>
      <c r="P196" s="3158"/>
      <c r="Q196" s="3158"/>
      <c r="R196" s="3158"/>
      <c r="S196" s="3158"/>
      <c r="T196" s="3158"/>
      <c r="U196" s="3158"/>
      <c r="V196" s="3158"/>
      <c r="W196" s="3158"/>
      <c r="X196" s="3158"/>
      <c r="Y196" s="3158"/>
      <c r="Z196" s="3158"/>
      <c r="AA196" s="3158"/>
      <c r="AB196" s="3158"/>
      <c r="AC196" s="1350"/>
      <c r="AD196" s="3159"/>
      <c r="AE196" s="3159"/>
      <c r="AF196" s="3159"/>
      <c r="AG196" s="3159"/>
      <c r="AH196" s="3159"/>
      <c r="AI196" s="3159"/>
      <c r="AJ196" s="3159"/>
      <c r="AK196" s="1014"/>
    </row>
    <row r="197" spans="1:37">
      <c r="A197" s="1006"/>
      <c r="B197" s="3158"/>
      <c r="C197" s="3158"/>
      <c r="D197" s="3158"/>
      <c r="E197" s="3158"/>
      <c r="F197" s="3158"/>
      <c r="G197" s="3158"/>
      <c r="H197" s="3158"/>
      <c r="I197" s="3158"/>
      <c r="J197" s="3158"/>
      <c r="K197" s="3158"/>
      <c r="L197" s="3158"/>
      <c r="M197" s="3158"/>
      <c r="N197" s="3158"/>
      <c r="O197" s="3158"/>
      <c r="P197" s="3158"/>
      <c r="Q197" s="3158"/>
      <c r="R197" s="3158"/>
      <c r="S197" s="3158"/>
      <c r="T197" s="3158"/>
      <c r="U197" s="3158"/>
      <c r="V197" s="3158"/>
      <c r="W197" s="3158"/>
      <c r="X197" s="3158"/>
      <c r="Y197" s="3158"/>
      <c r="Z197" s="3158"/>
      <c r="AA197" s="3158"/>
      <c r="AB197" s="3158"/>
      <c r="AC197" s="1350"/>
      <c r="AD197" s="3159"/>
      <c r="AE197" s="3159"/>
      <c r="AF197" s="3159"/>
      <c r="AG197" s="3159"/>
      <c r="AH197" s="3159"/>
      <c r="AI197" s="3159"/>
      <c r="AJ197" s="3159"/>
      <c r="AK197" s="1014"/>
    </row>
    <row r="198" spans="1:37">
      <c r="A198" s="1006"/>
      <c r="B198" s="3329" t="s">
        <v>1832</v>
      </c>
      <c r="C198" s="3329"/>
      <c r="D198" s="3329"/>
      <c r="E198" s="3329"/>
      <c r="F198" s="3329"/>
      <c r="G198" s="3329"/>
      <c r="H198" s="3329"/>
      <c r="I198" s="3329"/>
      <c r="J198" s="3329"/>
      <c r="K198" s="3329"/>
      <c r="L198" s="3329"/>
      <c r="M198" s="3329"/>
      <c r="N198" s="3329"/>
      <c r="O198" s="3329"/>
      <c r="P198" s="3329"/>
      <c r="Q198" s="3329"/>
      <c r="R198" s="3329"/>
      <c r="S198" s="3329"/>
      <c r="T198" s="3329"/>
      <c r="U198" s="3329"/>
      <c r="V198" s="3329"/>
      <c r="W198" s="3329"/>
      <c r="X198" s="3329"/>
      <c r="Y198" s="3329"/>
      <c r="Z198" s="3329"/>
      <c r="AA198" s="3329"/>
      <c r="AB198" s="3329"/>
      <c r="AC198" s="917"/>
      <c r="AD198" s="3189">
        <f>AB249</f>
        <v>3815228.2376991832</v>
      </c>
      <c r="AE198" s="3189"/>
      <c r="AF198" s="3189"/>
      <c r="AG198" s="3189"/>
      <c r="AH198" s="3189"/>
      <c r="AI198" s="3189"/>
      <c r="AJ198" s="3189"/>
      <c r="AK198" s="1014"/>
    </row>
    <row r="199" spans="1:37">
      <c r="A199" s="1006"/>
      <c r="B199" s="3328" t="s">
        <v>1795</v>
      </c>
      <c r="C199" s="3328"/>
      <c r="D199" s="3328"/>
      <c r="E199" s="3328"/>
      <c r="F199" s="3328"/>
      <c r="G199" s="3328"/>
      <c r="H199" s="3328"/>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1350"/>
      <c r="AD199" s="3190">
        <f>'Sources and Uses Budget'!B15</f>
        <v>145314</v>
      </c>
      <c r="AE199" s="3190"/>
      <c r="AF199" s="3190"/>
      <c r="AG199" s="3190"/>
      <c r="AH199" s="3190"/>
      <c r="AI199" s="3190"/>
      <c r="AJ199" s="3190"/>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94">
        <f>SUM(AD188:AJ198)-AD199</f>
        <v>19071853.237699185</v>
      </c>
      <c r="AE200" s="3194"/>
      <c r="AF200" s="3194"/>
      <c r="AG200" s="3194"/>
      <c r="AH200" s="3194"/>
      <c r="AI200" s="3194"/>
      <c r="AJ200" s="3194"/>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62" t="s">
        <v>1812</v>
      </c>
      <c r="J211" s="3162"/>
      <c r="K211" s="3162"/>
      <c r="L211" s="981"/>
      <c r="M211" s="981"/>
      <c r="N211" s="981"/>
      <c r="O211" s="981"/>
      <c r="P211" s="981"/>
      <c r="Q211" s="981"/>
      <c r="R211" s="981"/>
      <c r="S211" s="981"/>
      <c r="T211" s="3364" t="s">
        <v>1806</v>
      </c>
      <c r="U211" s="3364"/>
      <c r="V211" s="3364"/>
      <c r="W211" s="3364"/>
      <c r="X211" s="3364"/>
      <c r="Y211" s="3364"/>
      <c r="Z211" s="1354"/>
      <c r="AA211" s="1355"/>
      <c r="AB211" s="3177" t="s">
        <v>1807</v>
      </c>
      <c r="AC211" s="3177"/>
      <c r="AD211" s="3177"/>
      <c r="AE211" s="3177"/>
      <c r="AF211" s="3177"/>
      <c r="AG211" s="3177"/>
      <c r="AH211" s="1324"/>
      <c r="AI211" s="1324"/>
      <c r="AJ211" s="1324"/>
      <c r="AK211" s="1014"/>
    </row>
    <row r="212" spans="1:37">
      <c r="A212" s="1006"/>
      <c r="B212" s="3160" t="s">
        <v>1792</v>
      </c>
      <c r="C212" s="3160"/>
      <c r="D212" s="3160"/>
      <c r="E212" s="3160"/>
      <c r="F212" s="3160"/>
      <c r="G212" s="3160"/>
      <c r="I212" s="3161" t="s">
        <v>1813</v>
      </c>
      <c r="J212" s="3161"/>
      <c r="K212" s="3161"/>
      <c r="L212" s="1643"/>
      <c r="N212" s="3166" t="s">
        <v>1808</v>
      </c>
      <c r="O212" s="3166"/>
      <c r="P212" s="3166"/>
      <c r="Q212" s="3166"/>
      <c r="R212" s="3166"/>
      <c r="T212" s="3166" t="s">
        <v>1809</v>
      </c>
      <c r="U212" s="3166"/>
      <c r="V212" s="3166"/>
      <c r="W212" s="3166"/>
      <c r="X212" s="3166"/>
      <c r="Y212" s="3166"/>
      <c r="Z212" s="1356"/>
      <c r="AA212" s="1355"/>
      <c r="AB212" s="3331" t="s">
        <v>1810</v>
      </c>
      <c r="AC212" s="3331"/>
      <c r="AD212" s="3331"/>
      <c r="AE212" s="3331"/>
      <c r="AF212" s="3331"/>
      <c r="AG212" s="3331"/>
      <c r="AH212" s="1324"/>
      <c r="AI212" s="1324"/>
      <c r="AJ212" s="1324"/>
      <c r="AK212" s="1014"/>
    </row>
    <row r="213" spans="1:37">
      <c r="A213" s="1006"/>
      <c r="B213" s="3090" t="s">
        <v>329</v>
      </c>
      <c r="C213" s="3090"/>
      <c r="D213" s="3090"/>
      <c r="E213" s="3090"/>
      <c r="F213" s="3090"/>
      <c r="G213" s="3090"/>
      <c r="H213" s="1358"/>
      <c r="I213" s="3091">
        <v>7</v>
      </c>
      <c r="J213" s="3091"/>
      <c r="K213" s="3091"/>
      <c r="L213" s="1643"/>
      <c r="N213" s="3088">
        <v>579</v>
      </c>
      <c r="O213" s="3088"/>
      <c r="P213" s="3088"/>
      <c r="Q213" s="3088"/>
      <c r="R213" s="3088"/>
      <c r="T213" s="3089">
        <v>1519</v>
      </c>
      <c r="U213" s="3089"/>
      <c r="V213" s="3089"/>
      <c r="W213" s="3089"/>
      <c r="X213" s="3089"/>
      <c r="Y213" s="3089"/>
      <c r="Z213" s="1357"/>
      <c r="AA213" s="1357"/>
      <c r="AB213" s="3163">
        <f t="shared" ref="AB213:AB222" si="0">MAX(($T213-$N213)*$I213*12,0)</f>
        <v>78960</v>
      </c>
      <c r="AC213" s="3163"/>
      <c r="AD213" s="3163"/>
      <c r="AE213" s="3163"/>
      <c r="AF213" s="3163"/>
      <c r="AG213" s="3163"/>
      <c r="AH213" s="1324"/>
      <c r="AI213" s="1324"/>
      <c r="AJ213" s="1324"/>
      <c r="AK213" s="1014"/>
    </row>
    <row r="214" spans="1:37">
      <c r="A214" s="1006"/>
      <c r="B214" s="3090" t="s">
        <v>2672</v>
      </c>
      <c r="C214" s="3090"/>
      <c r="D214" s="3090"/>
      <c r="E214" s="3090"/>
      <c r="F214" s="3090"/>
      <c r="G214" s="3090"/>
      <c r="I214" s="3091">
        <v>9</v>
      </c>
      <c r="J214" s="3091"/>
      <c r="K214" s="3091"/>
      <c r="L214" s="1643"/>
      <c r="N214" s="3088">
        <v>608</v>
      </c>
      <c r="O214" s="3088"/>
      <c r="P214" s="3088"/>
      <c r="Q214" s="3088"/>
      <c r="R214" s="3088"/>
      <c r="T214" s="3089">
        <v>1864</v>
      </c>
      <c r="U214" s="3089"/>
      <c r="V214" s="3089"/>
      <c r="W214" s="3089"/>
      <c r="X214" s="3089"/>
      <c r="Y214" s="3089"/>
      <c r="Z214" s="1357"/>
      <c r="AA214" s="1357"/>
      <c r="AB214" s="3163">
        <f t="shared" si="0"/>
        <v>135648</v>
      </c>
      <c r="AC214" s="3163"/>
      <c r="AD214" s="3163"/>
      <c r="AE214" s="3163"/>
      <c r="AF214" s="3163"/>
      <c r="AG214" s="3163"/>
      <c r="AH214" s="1324"/>
      <c r="AI214" s="1324"/>
      <c r="AJ214" s="1324"/>
      <c r="AK214" s="1014"/>
    </row>
    <row r="215" spans="1:37">
      <c r="A215" s="1006"/>
      <c r="B215" s="3090" t="s">
        <v>329</v>
      </c>
      <c r="C215" s="3090"/>
      <c r="D215" s="3090"/>
      <c r="E215" s="3090"/>
      <c r="F215" s="3090"/>
      <c r="G215" s="3090"/>
      <c r="I215" s="3091">
        <v>1</v>
      </c>
      <c r="J215" s="3091"/>
      <c r="K215" s="3091"/>
      <c r="L215" s="1643"/>
      <c r="N215" s="3088">
        <v>579</v>
      </c>
      <c r="O215" s="3088"/>
      <c r="P215" s="3088"/>
      <c r="Q215" s="3088"/>
      <c r="R215" s="3088"/>
      <c r="T215" s="3089">
        <v>1519</v>
      </c>
      <c r="U215" s="3089"/>
      <c r="V215" s="3089"/>
      <c r="W215" s="3089"/>
      <c r="X215" s="3089"/>
      <c r="Y215" s="3089"/>
      <c r="Z215" s="1357"/>
      <c r="AA215" s="1357"/>
      <c r="AB215" s="3163">
        <f t="shared" si="0"/>
        <v>11280</v>
      </c>
      <c r="AC215" s="3163"/>
      <c r="AD215" s="3163"/>
      <c r="AE215" s="3163"/>
      <c r="AF215" s="3163"/>
      <c r="AG215" s="3163"/>
      <c r="AH215" s="1324"/>
      <c r="AI215" s="1324"/>
      <c r="AJ215" s="1324"/>
      <c r="AK215" s="1014"/>
    </row>
    <row r="216" spans="1:37">
      <c r="A216" s="1006"/>
      <c r="B216" s="3090" t="s">
        <v>2672</v>
      </c>
      <c r="C216" s="3090"/>
      <c r="D216" s="3090"/>
      <c r="E216" s="3090"/>
      <c r="F216" s="3090"/>
      <c r="G216" s="3090"/>
      <c r="I216" s="3091">
        <v>3</v>
      </c>
      <c r="J216" s="3091"/>
      <c r="K216" s="3091"/>
      <c r="L216" s="1643"/>
      <c r="N216" s="3088">
        <v>608</v>
      </c>
      <c r="O216" s="3088"/>
      <c r="P216" s="3088"/>
      <c r="Q216" s="3088"/>
      <c r="R216" s="3088"/>
      <c r="T216" s="3089">
        <v>1862</v>
      </c>
      <c r="U216" s="3089"/>
      <c r="V216" s="3089"/>
      <c r="W216" s="3089"/>
      <c r="X216" s="3089"/>
      <c r="Y216" s="3089"/>
      <c r="Z216" s="1357"/>
      <c r="AA216" s="1357"/>
      <c r="AB216" s="3163">
        <f t="shared" si="0"/>
        <v>45144</v>
      </c>
      <c r="AC216" s="3163"/>
      <c r="AD216" s="3163"/>
      <c r="AE216" s="3163"/>
      <c r="AF216" s="3163"/>
      <c r="AG216" s="3163"/>
      <c r="AH216" s="1324"/>
      <c r="AI216" s="1324"/>
      <c r="AJ216" s="1324"/>
      <c r="AK216" s="1014"/>
    </row>
    <row r="217" spans="1:37">
      <c r="A217" s="1006"/>
      <c r="B217" s="3090" t="s">
        <v>329</v>
      </c>
      <c r="C217" s="3090"/>
      <c r="D217" s="3090"/>
      <c r="E217" s="3090"/>
      <c r="F217" s="3090"/>
      <c r="G217" s="3090"/>
      <c r="I217" s="3091">
        <v>2</v>
      </c>
      <c r="J217" s="3091"/>
      <c r="K217" s="3091"/>
      <c r="L217" s="1655"/>
      <c r="N217" s="3088">
        <v>996</v>
      </c>
      <c r="O217" s="3088"/>
      <c r="P217" s="3088"/>
      <c r="Q217" s="3088"/>
      <c r="R217" s="3088"/>
      <c r="T217" s="3089">
        <v>1519</v>
      </c>
      <c r="U217" s="3089"/>
      <c r="V217" s="3089"/>
      <c r="W217" s="3089"/>
      <c r="X217" s="3089"/>
      <c r="Y217" s="3089"/>
      <c r="Z217" s="1357"/>
      <c r="AA217" s="1357"/>
      <c r="AB217" s="3163">
        <f t="shared" si="0"/>
        <v>12552</v>
      </c>
      <c r="AC217" s="3163"/>
      <c r="AD217" s="3163"/>
      <c r="AE217" s="3163"/>
      <c r="AF217" s="3163"/>
      <c r="AG217" s="3163"/>
      <c r="AH217" s="1324"/>
      <c r="AI217" s="1324"/>
      <c r="AJ217" s="1324"/>
      <c r="AK217" s="1014"/>
    </row>
    <row r="218" spans="1:37">
      <c r="A218" s="1006"/>
      <c r="B218" s="3090" t="s">
        <v>2672</v>
      </c>
      <c r="C218" s="3090"/>
      <c r="D218" s="3090"/>
      <c r="E218" s="3090"/>
      <c r="F218" s="3090"/>
      <c r="G218" s="3090"/>
      <c r="I218" s="3091">
        <v>13</v>
      </c>
      <c r="J218" s="3091"/>
      <c r="K218" s="3091"/>
      <c r="L218" s="1655"/>
      <c r="N218" s="3088">
        <v>1054</v>
      </c>
      <c r="O218" s="3088"/>
      <c r="P218" s="3088"/>
      <c r="Q218" s="3088"/>
      <c r="R218" s="3088"/>
      <c r="T218" s="3089">
        <v>1864</v>
      </c>
      <c r="U218" s="3089"/>
      <c r="V218" s="3089"/>
      <c r="W218" s="3089"/>
      <c r="X218" s="3089"/>
      <c r="Y218" s="3089"/>
      <c r="Z218" s="1357"/>
      <c r="AA218" s="1357"/>
      <c r="AB218" s="3163">
        <f t="shared" si="0"/>
        <v>126360</v>
      </c>
      <c r="AC218" s="3163"/>
      <c r="AD218" s="3163"/>
      <c r="AE218" s="3163"/>
      <c r="AF218" s="3163"/>
      <c r="AG218" s="3163"/>
      <c r="AH218" s="1324"/>
      <c r="AI218" s="1324"/>
      <c r="AJ218" s="1324"/>
      <c r="AK218" s="1014"/>
    </row>
    <row r="219" spans="1:37">
      <c r="A219" s="1006"/>
      <c r="B219" s="3330" t="s">
        <v>1348</v>
      </c>
      <c r="C219" s="3330"/>
      <c r="D219" s="3330"/>
      <c r="E219" s="3330"/>
      <c r="F219" s="3330"/>
      <c r="G219" s="3330"/>
      <c r="I219" s="3164"/>
      <c r="J219" s="3164"/>
      <c r="K219" s="3164"/>
      <c r="L219" s="1655"/>
      <c r="N219" s="3332"/>
      <c r="O219" s="3332"/>
      <c r="P219" s="3332"/>
      <c r="Q219" s="3332"/>
      <c r="R219" s="3332"/>
      <c r="T219" s="3167"/>
      <c r="U219" s="3167"/>
      <c r="V219" s="3167"/>
      <c r="W219" s="3167"/>
      <c r="X219" s="3167"/>
      <c r="Y219" s="3167"/>
      <c r="Z219" s="1357"/>
      <c r="AA219" s="1357"/>
      <c r="AB219" s="3163">
        <f t="shared" si="0"/>
        <v>0</v>
      </c>
      <c r="AC219" s="3163"/>
      <c r="AD219" s="3163"/>
      <c r="AE219" s="3163"/>
      <c r="AF219" s="3163"/>
      <c r="AG219" s="3163"/>
      <c r="AH219" s="1324"/>
      <c r="AI219" s="1324"/>
      <c r="AJ219" s="1324"/>
      <c r="AK219" s="1014"/>
    </row>
    <row r="220" spans="1:37">
      <c r="A220" s="1006"/>
      <c r="B220" s="3330" t="s">
        <v>1348</v>
      </c>
      <c r="C220" s="3330"/>
      <c r="D220" s="3330"/>
      <c r="E220" s="3330"/>
      <c r="F220" s="3330"/>
      <c r="G220" s="3330"/>
      <c r="I220" s="3164"/>
      <c r="J220" s="3164"/>
      <c r="K220" s="3164"/>
      <c r="L220" s="1655"/>
      <c r="N220" s="3332"/>
      <c r="O220" s="3332"/>
      <c r="P220" s="3332"/>
      <c r="Q220" s="3332"/>
      <c r="R220" s="3332"/>
      <c r="T220" s="3167"/>
      <c r="U220" s="3167"/>
      <c r="V220" s="3167"/>
      <c r="W220" s="3167"/>
      <c r="X220" s="3167"/>
      <c r="Y220" s="3167"/>
      <c r="Z220" s="1357"/>
      <c r="AA220" s="1357"/>
      <c r="AB220" s="3163">
        <f t="shared" si="0"/>
        <v>0</v>
      </c>
      <c r="AC220" s="3163"/>
      <c r="AD220" s="3163"/>
      <c r="AE220" s="3163"/>
      <c r="AF220" s="3163"/>
      <c r="AG220" s="3163"/>
      <c r="AH220" s="1324"/>
      <c r="AI220" s="1324"/>
      <c r="AJ220" s="1324"/>
      <c r="AK220" s="1014"/>
    </row>
    <row r="221" spans="1:37">
      <c r="A221" s="1006"/>
      <c r="B221" s="3330" t="s">
        <v>1348</v>
      </c>
      <c r="C221" s="3330"/>
      <c r="D221" s="3330"/>
      <c r="E221" s="3330"/>
      <c r="F221" s="3330"/>
      <c r="G221" s="3330"/>
      <c r="I221" s="3164"/>
      <c r="J221" s="3164"/>
      <c r="K221" s="3164"/>
      <c r="L221" s="1655"/>
      <c r="N221" s="3332"/>
      <c r="O221" s="3332"/>
      <c r="P221" s="3332"/>
      <c r="Q221" s="3332"/>
      <c r="R221" s="3332"/>
      <c r="T221" s="3167"/>
      <c r="U221" s="3167"/>
      <c r="V221" s="3167"/>
      <c r="W221" s="3167"/>
      <c r="X221" s="3167"/>
      <c r="Y221" s="3167"/>
      <c r="Z221" s="1357"/>
      <c r="AA221" s="1357"/>
      <c r="AB221" s="3163">
        <f t="shared" si="0"/>
        <v>0</v>
      </c>
      <c r="AC221" s="3163"/>
      <c r="AD221" s="3163"/>
      <c r="AE221" s="3163"/>
      <c r="AF221" s="3163"/>
      <c r="AG221" s="3163"/>
      <c r="AH221" s="1324"/>
      <c r="AI221" s="1324"/>
      <c r="AJ221" s="1324"/>
      <c r="AK221" s="1014"/>
    </row>
    <row r="222" spans="1:37">
      <c r="A222" s="1006"/>
      <c r="B222" s="3330" t="s">
        <v>1348</v>
      </c>
      <c r="C222" s="3330"/>
      <c r="D222" s="3330"/>
      <c r="E222" s="3330"/>
      <c r="F222" s="3330"/>
      <c r="G222" s="3330"/>
      <c r="I222" s="3165"/>
      <c r="J222" s="3165"/>
      <c r="K222" s="3165"/>
      <c r="L222" s="1655"/>
      <c r="N222" s="3332"/>
      <c r="O222" s="3332"/>
      <c r="P222" s="3332"/>
      <c r="Q222" s="3332"/>
      <c r="R222" s="3332"/>
      <c r="T222" s="3167"/>
      <c r="U222" s="3167"/>
      <c r="V222" s="3167"/>
      <c r="W222" s="3167"/>
      <c r="X222" s="3167"/>
      <c r="Y222" s="3167"/>
      <c r="Z222" s="1357"/>
      <c r="AA222" s="1357"/>
      <c r="AB222" s="3334">
        <f t="shared" si="0"/>
        <v>0</v>
      </c>
      <c r="AC222" s="3334"/>
      <c r="AD222" s="3334"/>
      <c r="AE222" s="3334"/>
      <c r="AF222" s="3334"/>
      <c r="AG222" s="333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63">
        <f>SUM(AB213:AB222)</f>
        <v>409944</v>
      </c>
      <c r="AC223" s="3163"/>
      <c r="AD223" s="3163"/>
      <c r="AE223" s="3163"/>
      <c r="AF223" s="3163"/>
      <c r="AG223" s="3163"/>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33"/>
      <c r="AC229" s="3333"/>
      <c r="AD229" s="3333"/>
      <c r="AE229" s="3333"/>
      <c r="AF229" s="3333"/>
      <c r="AG229" s="3333"/>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33"/>
      <c r="AC232" s="3333"/>
      <c r="AD232" s="3333"/>
      <c r="AE232" s="3333"/>
      <c r="AF232" s="3333"/>
      <c r="AG232" s="3333"/>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63"/>
      <c r="AC233" s="3363"/>
      <c r="AD233" s="3363"/>
      <c r="AE233" s="3363"/>
      <c r="AF233" s="3363"/>
      <c r="AG233" s="3363"/>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68">
        <f>IFERROR(AB232/AB233,0)</f>
        <v>0</v>
      </c>
      <c r="AC234" s="3168"/>
      <c r="AD234" s="3168"/>
      <c r="AE234" s="3168"/>
      <c r="AF234" s="3168"/>
      <c r="AG234" s="3168"/>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7">
        <f>MAX(AB229,AB234)</f>
        <v>0</v>
      </c>
      <c r="AC236" s="3327"/>
      <c r="AD236" s="3327"/>
      <c r="AE236" s="3327"/>
      <c r="AF236" s="3327"/>
      <c r="AG236" s="3327"/>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8">
        <f>AB223+AB236</f>
        <v>409944</v>
      </c>
      <c r="AC239" s="3178"/>
      <c r="AD239" s="3178"/>
      <c r="AE239" s="3178"/>
      <c r="AF239" s="3178"/>
      <c r="AG239" s="3178"/>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8">
        <v>0.05</v>
      </c>
      <c r="AC240" s="3198"/>
      <c r="AD240" s="3198"/>
      <c r="AE240" s="3198"/>
      <c r="AF240" s="3198"/>
      <c r="AG240" s="3198"/>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9">
        <f>AB239-(AB239*AB240)</f>
        <v>389446.8</v>
      </c>
      <c r="AC241" s="3199"/>
      <c r="AD241" s="3199"/>
      <c r="AE241" s="3199"/>
      <c r="AF241" s="3199"/>
      <c r="AG241" s="3199"/>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8">
        <f>AB241/AB247</f>
        <v>338649.39130434784</v>
      </c>
      <c r="AC243" s="3178"/>
      <c r="AD243" s="3178"/>
      <c r="AE243" s="3178"/>
      <c r="AF243" s="3178"/>
      <c r="AG243" s="3178"/>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7">
        <v>15</v>
      </c>
      <c r="AC245" s="3157"/>
      <c r="AD245" s="3157"/>
      <c r="AE245" s="3157"/>
      <c r="AF245" s="3157"/>
      <c r="AG245" s="3157"/>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00">
        <v>0.04</v>
      </c>
      <c r="AC246" s="3200"/>
      <c r="AD246" s="3200"/>
      <c r="AE246" s="3200"/>
      <c r="AF246" s="3200"/>
      <c r="AG246" s="3200"/>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9">
        <v>1.1499999999999999</v>
      </c>
      <c r="AC247" s="3169"/>
      <c r="AD247" s="3169"/>
      <c r="AE247" s="3169"/>
      <c r="AF247" s="3169"/>
      <c r="AG247" s="3169"/>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91">
        <f>PV(AB246/12,AB245*12,-AB243/12, ,0)</f>
        <v>3815228.2376991832</v>
      </c>
      <c r="AC249" s="3192"/>
      <c r="AD249" s="3192"/>
      <c r="AE249" s="3192"/>
      <c r="AF249" s="3192"/>
      <c r="AG249" s="3193"/>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95">
        <f>IFERROR(('Sources and Uses Budget'!D105/'Sources and Uses Budget'!B105),0)</f>
        <v>0</v>
      </c>
      <c r="AC255" s="3196"/>
      <c r="AD255" s="3196"/>
      <c r="AE255" s="3196"/>
      <c r="AF255" s="3196"/>
      <c r="AG255" s="3197"/>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85">
        <f>AD200*(1-AB255)</f>
        <v>19071853.237699185</v>
      </c>
      <c r="AH257" s="3185"/>
      <c r="AI257" s="3185"/>
      <c r="AJ257" s="3185"/>
      <c r="AK257" s="3185"/>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85">
        <f>'Sources and Uses Budget'!C105</f>
        <v>34874041</v>
      </c>
      <c r="AH258" s="3185"/>
      <c r="AI258" s="3185"/>
      <c r="AJ258" s="3185"/>
      <c r="AK258" s="318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6">
        <f>ROUNDDOWN(IF(AND(C281="Yes",AK78=10),((AG257*2)/AG258),AG257/AG258),2)</f>
        <v>0.54</v>
      </c>
      <c r="AH259" s="3186"/>
      <c r="AI259" s="3186"/>
      <c r="AJ259" s="3186"/>
      <c r="AK259" s="3186"/>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87">
        <f>IFERROR(IF(AG259=0,0,IF((AG259*100)&gt;8,8,(AG259*100))),0)</f>
        <v>8</v>
      </c>
      <c r="AL262" s="3187"/>
      <c r="AM262" s="3188"/>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79" t="s">
        <v>570</v>
      </c>
      <c r="D267" s="3179"/>
      <c r="E267" s="930"/>
      <c r="F267" s="3348" t="s">
        <v>2492</v>
      </c>
      <c r="G267" s="3349"/>
      <c r="H267" s="3349"/>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49"/>
      <c r="AD267" s="3350"/>
      <c r="AE267" s="933"/>
      <c r="AF267" s="1056"/>
      <c r="AG267" s="3180" t="s">
        <v>1559</v>
      </c>
      <c r="AH267" s="3180"/>
      <c r="AI267" s="3180"/>
      <c r="AJ267" s="3180"/>
      <c r="AK267" s="1016"/>
      <c r="AL267" s="1016"/>
      <c r="AM267" s="1016"/>
      <c r="AN267" s="1051"/>
      <c r="AO267" s="933"/>
      <c r="AS267" s="21"/>
      <c r="AT267" s="21"/>
    </row>
    <row r="268" spans="1:81" ht="13.7" customHeight="1">
      <c r="A268" s="1050"/>
      <c r="B268" s="1055"/>
      <c r="C268" s="1057"/>
      <c r="D268" s="933"/>
      <c r="E268" s="930"/>
      <c r="F268" s="3351"/>
      <c r="G268" s="3352"/>
      <c r="H268" s="3352"/>
      <c r="I268" s="3352"/>
      <c r="J268" s="3352"/>
      <c r="K268" s="3352"/>
      <c r="L268" s="3352"/>
      <c r="M268" s="3352"/>
      <c r="N268" s="3352"/>
      <c r="O268" s="3352"/>
      <c r="P268" s="3352"/>
      <c r="Q268" s="3352"/>
      <c r="R268" s="3352"/>
      <c r="S268" s="3352"/>
      <c r="T268" s="3352"/>
      <c r="U268" s="3352"/>
      <c r="V268" s="3352"/>
      <c r="W268" s="3352"/>
      <c r="X268" s="3352"/>
      <c r="Y268" s="3352"/>
      <c r="Z268" s="3352"/>
      <c r="AA268" s="3352"/>
      <c r="AB268" s="3352"/>
      <c r="AC268" s="3352"/>
      <c r="AD268" s="335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51"/>
      <c r="G269" s="3352"/>
      <c r="H269" s="3352"/>
      <c r="I269" s="3352"/>
      <c r="J269" s="3352"/>
      <c r="K269" s="3352"/>
      <c r="L269" s="3352"/>
      <c r="M269" s="3352"/>
      <c r="N269" s="3352"/>
      <c r="O269" s="3352"/>
      <c r="P269" s="3352"/>
      <c r="Q269" s="3352"/>
      <c r="R269" s="3352"/>
      <c r="S269" s="3352"/>
      <c r="T269" s="3352"/>
      <c r="U269" s="3352"/>
      <c r="V269" s="3352"/>
      <c r="W269" s="3352"/>
      <c r="X269" s="3352"/>
      <c r="Y269" s="3352"/>
      <c r="Z269" s="3352"/>
      <c r="AA269" s="3352"/>
      <c r="AB269" s="3352"/>
      <c r="AC269" s="3352"/>
      <c r="AD269" s="335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51"/>
      <c r="G270" s="3352"/>
      <c r="H270" s="3352"/>
      <c r="I270" s="3352"/>
      <c r="J270" s="3352"/>
      <c r="K270" s="3352"/>
      <c r="L270" s="3352"/>
      <c r="M270" s="3352"/>
      <c r="N270" s="3352"/>
      <c r="O270" s="3352"/>
      <c r="P270" s="3352"/>
      <c r="Q270" s="3352"/>
      <c r="R270" s="3352"/>
      <c r="S270" s="3352"/>
      <c r="T270" s="3352"/>
      <c r="U270" s="3352"/>
      <c r="V270" s="3352"/>
      <c r="W270" s="3352"/>
      <c r="X270" s="3352"/>
      <c r="Y270" s="3352"/>
      <c r="Z270" s="3352"/>
      <c r="AA270" s="3352"/>
      <c r="AB270" s="3352"/>
      <c r="AC270" s="3352"/>
      <c r="AD270" s="3353"/>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81"/>
      <c r="D271" s="3181"/>
      <c r="E271" s="930"/>
      <c r="F271" s="3354"/>
      <c r="G271" s="3355"/>
      <c r="H271" s="3355"/>
      <c r="I271" s="3355"/>
      <c r="J271" s="3355"/>
      <c r="K271" s="3355"/>
      <c r="L271" s="3355"/>
      <c r="M271" s="3355"/>
      <c r="N271" s="3355"/>
      <c r="O271" s="3355"/>
      <c r="P271" s="3355"/>
      <c r="Q271" s="3355"/>
      <c r="R271" s="3355"/>
      <c r="S271" s="3355"/>
      <c r="T271" s="3355"/>
      <c r="U271" s="3355"/>
      <c r="V271" s="3355"/>
      <c r="W271" s="3355"/>
      <c r="X271" s="3355"/>
      <c r="Y271" s="3355"/>
      <c r="Z271" s="3355"/>
      <c r="AA271" s="3355"/>
      <c r="AB271" s="3355"/>
      <c r="AC271" s="3355"/>
      <c r="AD271" s="3356"/>
      <c r="AE271" s="933"/>
      <c r="AF271" s="1056"/>
      <c r="AG271" s="3180"/>
      <c r="AH271" s="3180"/>
      <c r="AI271" s="3180"/>
      <c r="AJ271" s="3180"/>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87">
        <f>IF($C$267="yes",10,0)</f>
        <v>10</v>
      </c>
      <c r="AL274" s="3187"/>
      <c r="AM274" s="3188"/>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7" t="s">
        <v>1578</v>
      </c>
      <c r="B281" s="3207"/>
      <c r="C281" s="3174" t="s">
        <v>617</v>
      </c>
      <c r="D281" s="3179"/>
      <c r="E281" s="930"/>
      <c r="F281" s="3208" t="s">
        <v>1579</v>
      </c>
      <c r="G281" s="3209"/>
      <c r="H281" s="3209"/>
      <c r="I281" s="3209"/>
      <c r="J281" s="3209"/>
      <c r="K281" s="3209"/>
      <c r="L281" s="3209"/>
      <c r="M281" s="3209"/>
      <c r="N281" s="3209"/>
      <c r="O281" s="3209"/>
      <c r="P281" s="3209"/>
      <c r="Q281" s="3209"/>
      <c r="R281" s="3209"/>
      <c r="S281" s="3209"/>
      <c r="T281" s="3209"/>
      <c r="U281" s="3209"/>
      <c r="V281" s="3209"/>
      <c r="W281" s="3209"/>
      <c r="X281" s="3209"/>
      <c r="Y281" s="3209"/>
      <c r="Z281" s="3209"/>
      <c r="AA281" s="3209"/>
      <c r="AB281" s="3209"/>
      <c r="AC281" s="3209"/>
      <c r="AD281" s="3210"/>
      <c r="AE281" s="1068"/>
      <c r="AF281" s="933"/>
      <c r="AG281" s="3211" t="s">
        <v>2485</v>
      </c>
      <c r="AH281" s="3211"/>
      <c r="AI281" s="3211"/>
      <c r="AJ281" s="3211"/>
      <c r="AK281" s="3211"/>
      <c r="AL281" s="1016"/>
      <c r="AM281" s="1016"/>
      <c r="AN281" s="110"/>
      <c r="AO281" s="51"/>
      <c r="AP281" s="126"/>
      <c r="AS281" s="1065"/>
      <c r="AT281" s="1065"/>
      <c r="AU281" s="1065"/>
      <c r="AV281" s="1067"/>
      <c r="AW281" s="1067"/>
      <c r="AX281" s="112"/>
      <c r="AY281" s="112"/>
      <c r="AZ281" s="112"/>
      <c r="BA281" s="112"/>
    </row>
    <row r="282" spans="1:53">
      <c r="A282" s="1064"/>
      <c r="B282" s="1055"/>
      <c r="F282" s="3201"/>
      <c r="G282" s="3202"/>
      <c r="H282" s="3202"/>
      <c r="I282" s="3202"/>
      <c r="J282" s="3202"/>
      <c r="K282" s="3202"/>
      <c r="L282" s="3202"/>
      <c r="M282" s="3202"/>
      <c r="N282" s="3202"/>
      <c r="O282" s="3202"/>
      <c r="P282" s="3202"/>
      <c r="Q282" s="3202"/>
      <c r="R282" s="3202"/>
      <c r="S282" s="3202"/>
      <c r="T282" s="3202"/>
      <c r="U282" s="3202"/>
      <c r="V282" s="3202"/>
      <c r="W282" s="3202"/>
      <c r="X282" s="3202"/>
      <c r="Y282" s="3202"/>
      <c r="Z282" s="3202"/>
      <c r="AA282" s="3202"/>
      <c r="AB282" s="3202"/>
      <c r="AC282" s="3202"/>
      <c r="AD282" s="3203"/>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01"/>
      <c r="G283" s="3202"/>
      <c r="H283" s="3202"/>
      <c r="I283" s="3202"/>
      <c r="J283" s="3202"/>
      <c r="K283" s="3202"/>
      <c r="L283" s="3202"/>
      <c r="M283" s="3202"/>
      <c r="N283" s="3202"/>
      <c r="O283" s="3202"/>
      <c r="P283" s="3202"/>
      <c r="Q283" s="3202"/>
      <c r="R283" s="3202"/>
      <c r="S283" s="3202"/>
      <c r="T283" s="3202"/>
      <c r="U283" s="3202"/>
      <c r="V283" s="3202"/>
      <c r="W283" s="3202"/>
      <c r="X283" s="3202"/>
      <c r="Y283" s="3202"/>
      <c r="Z283" s="3202"/>
      <c r="AA283" s="3202"/>
      <c r="AB283" s="3202"/>
      <c r="AC283" s="3202"/>
      <c r="AD283" s="3203"/>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01" t="s">
        <v>2493</v>
      </c>
      <c r="G284" s="3202"/>
      <c r="H284" s="3202"/>
      <c r="I284" s="3202"/>
      <c r="J284" s="3202"/>
      <c r="K284" s="3202"/>
      <c r="L284" s="3202"/>
      <c r="M284" s="3202"/>
      <c r="N284" s="3202"/>
      <c r="O284" s="3202"/>
      <c r="P284" s="3202"/>
      <c r="Q284" s="3202"/>
      <c r="R284" s="3202"/>
      <c r="S284" s="3202"/>
      <c r="T284" s="3202"/>
      <c r="U284" s="3202"/>
      <c r="V284" s="3202"/>
      <c r="W284" s="3202"/>
      <c r="X284" s="3202"/>
      <c r="Y284" s="3202"/>
      <c r="Z284" s="3202"/>
      <c r="AA284" s="3202"/>
      <c r="AB284" s="3202"/>
      <c r="AC284" s="3202"/>
      <c r="AD284" s="3203"/>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01"/>
      <c r="G285" s="3202"/>
      <c r="H285" s="3202"/>
      <c r="I285" s="3202"/>
      <c r="J285" s="3202"/>
      <c r="K285" s="3202"/>
      <c r="L285" s="3202"/>
      <c r="M285" s="3202"/>
      <c r="N285" s="3202"/>
      <c r="O285" s="3202"/>
      <c r="P285" s="3202"/>
      <c r="Q285" s="3202"/>
      <c r="R285" s="3202"/>
      <c r="S285" s="3202"/>
      <c r="T285" s="3202"/>
      <c r="U285" s="3202"/>
      <c r="V285" s="3202"/>
      <c r="W285" s="3202"/>
      <c r="X285" s="3202"/>
      <c r="Y285" s="3202"/>
      <c r="Z285" s="3202"/>
      <c r="AA285" s="3202"/>
      <c r="AB285" s="3202"/>
      <c r="AC285" s="3202"/>
      <c r="AD285" s="3203"/>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01" t="s">
        <v>1580</v>
      </c>
      <c r="G286" s="3202"/>
      <c r="H286" s="3202"/>
      <c r="I286" s="3202"/>
      <c r="J286" s="3202"/>
      <c r="K286" s="3202"/>
      <c r="L286" s="3202"/>
      <c r="M286" s="3202"/>
      <c r="N286" s="3202"/>
      <c r="O286" s="3202"/>
      <c r="P286" s="3202"/>
      <c r="Q286" s="3202"/>
      <c r="R286" s="3202"/>
      <c r="S286" s="3202"/>
      <c r="T286" s="3202"/>
      <c r="U286" s="3202"/>
      <c r="V286" s="3202"/>
      <c r="W286" s="3202"/>
      <c r="X286" s="3202"/>
      <c r="Y286" s="3202"/>
      <c r="Z286" s="3202"/>
      <c r="AA286" s="3202"/>
      <c r="AB286" s="3202"/>
      <c r="AC286" s="3202"/>
      <c r="AD286" s="3203"/>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01"/>
      <c r="G287" s="3202"/>
      <c r="H287" s="3202"/>
      <c r="I287" s="3202"/>
      <c r="J287" s="3202"/>
      <c r="K287" s="3202"/>
      <c r="L287" s="3202"/>
      <c r="M287" s="3202"/>
      <c r="N287" s="3202"/>
      <c r="O287" s="3202"/>
      <c r="P287" s="3202"/>
      <c r="Q287" s="3202"/>
      <c r="R287" s="3202"/>
      <c r="S287" s="3202"/>
      <c r="T287" s="3202"/>
      <c r="U287" s="3202"/>
      <c r="V287" s="3202"/>
      <c r="W287" s="3202"/>
      <c r="X287" s="3202"/>
      <c r="Y287" s="3202"/>
      <c r="Z287" s="3202"/>
      <c r="AA287" s="3202"/>
      <c r="AB287" s="3202"/>
      <c r="AC287" s="3202"/>
      <c r="AD287" s="3203"/>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01" t="s">
        <v>1581</v>
      </c>
      <c r="G288" s="3202"/>
      <c r="H288" s="3202"/>
      <c r="I288" s="3202"/>
      <c r="J288" s="3202"/>
      <c r="K288" s="3202"/>
      <c r="L288" s="3202"/>
      <c r="M288" s="3202"/>
      <c r="N288" s="3202"/>
      <c r="O288" s="3202"/>
      <c r="P288" s="3202"/>
      <c r="Q288" s="3202"/>
      <c r="R288" s="3202"/>
      <c r="S288" s="3202"/>
      <c r="T288" s="3202"/>
      <c r="U288" s="3202"/>
      <c r="V288" s="3202"/>
      <c r="W288" s="3202"/>
      <c r="X288" s="3202"/>
      <c r="Y288" s="3202"/>
      <c r="Z288" s="3202"/>
      <c r="AA288" s="3202"/>
      <c r="AB288" s="3202"/>
      <c r="AC288" s="3202"/>
      <c r="AD288" s="3203"/>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04"/>
      <c r="G289" s="3205"/>
      <c r="H289" s="3205"/>
      <c r="I289" s="3205"/>
      <c r="J289" s="3205"/>
      <c r="K289" s="3205"/>
      <c r="L289" s="3205"/>
      <c r="M289" s="3205"/>
      <c r="N289" s="3205"/>
      <c r="O289" s="3205"/>
      <c r="P289" s="3205"/>
      <c r="Q289" s="3205"/>
      <c r="R289" s="3205"/>
      <c r="S289" s="3205"/>
      <c r="T289" s="3205"/>
      <c r="U289" s="3205"/>
      <c r="V289" s="3205"/>
      <c r="W289" s="3205"/>
      <c r="X289" s="3205"/>
      <c r="Y289" s="3205"/>
      <c r="Z289" s="3205"/>
      <c r="AA289" s="3205"/>
      <c r="AB289" s="3205"/>
      <c r="AC289" s="3205"/>
      <c r="AD289" s="3206"/>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7" t="s">
        <v>1582</v>
      </c>
      <c r="B291" s="3207"/>
      <c r="C291" s="3179" t="s">
        <v>570</v>
      </c>
      <c r="D291" s="3179"/>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105" t="s">
        <v>2487</v>
      </c>
      <c r="G292" s="3106"/>
      <c r="H292" s="3106"/>
      <c r="I292" s="3106"/>
      <c r="J292" s="3106"/>
      <c r="K292" s="3106"/>
      <c r="L292" s="3106"/>
      <c r="M292" s="3106"/>
      <c r="N292" s="3106"/>
      <c r="O292" s="3106"/>
      <c r="P292" s="3106"/>
      <c r="Q292" s="3106"/>
      <c r="R292" s="3106"/>
      <c r="S292" s="3106"/>
      <c r="T292" s="3106"/>
      <c r="U292" s="3106"/>
      <c r="V292" s="3106"/>
      <c r="W292" s="3106"/>
      <c r="X292" s="3106"/>
      <c r="Y292" s="3106"/>
      <c r="Z292" s="3106"/>
      <c r="AA292" s="3106"/>
      <c r="AB292" s="3106"/>
      <c r="AC292" s="3106"/>
      <c r="AD292" s="3107"/>
      <c r="AE292" s="934"/>
      <c r="AF292" s="934"/>
      <c r="AG292" s="934"/>
      <c r="AH292" s="934"/>
      <c r="AI292" s="934"/>
      <c r="AJ292" s="933"/>
      <c r="AK292" s="1016"/>
      <c r="AL292" s="1016"/>
      <c r="AM292" s="1016"/>
      <c r="AR292" s="1076"/>
    </row>
    <row r="293" spans="1:60" ht="15" customHeight="1">
      <c r="A293" s="1050"/>
      <c r="B293" s="934"/>
      <c r="C293" s="933"/>
      <c r="D293" s="934"/>
      <c r="E293" s="933"/>
      <c r="F293" s="3105"/>
      <c r="G293" s="3106"/>
      <c r="H293" s="3106"/>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106"/>
      <c r="AD293" s="3107"/>
      <c r="AE293" s="934"/>
      <c r="AF293" s="934"/>
      <c r="AG293" s="934"/>
      <c r="AH293" s="934"/>
      <c r="AI293" s="934"/>
      <c r="AJ293" s="933"/>
      <c r="AK293" s="1016"/>
      <c r="AL293" s="1016"/>
      <c r="AM293" s="1016"/>
      <c r="AR293" s="1076"/>
    </row>
    <row r="294" spans="1:60">
      <c r="A294" s="1050"/>
      <c r="B294" s="934"/>
      <c r="C294" s="933"/>
      <c r="D294" s="934"/>
      <c r="E294" s="933"/>
      <c r="F294" s="3105"/>
      <c r="G294" s="3106"/>
      <c r="H294" s="3106"/>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106"/>
      <c r="AD294" s="310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102"/>
      <c r="G295" s="3103"/>
      <c r="H295" s="3103"/>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103"/>
      <c r="AD295" s="3104"/>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7" t="s">
        <v>1585</v>
      </c>
      <c r="B299" s="3207"/>
      <c r="C299" s="3179" t="s">
        <v>617</v>
      </c>
      <c r="D299" s="3179"/>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01" t="s">
        <v>2494</v>
      </c>
      <c r="G300" s="3202"/>
      <c r="H300" s="3202"/>
      <c r="I300" s="3202"/>
      <c r="J300" s="3202"/>
      <c r="K300" s="3202"/>
      <c r="L300" s="3202"/>
      <c r="M300" s="3202"/>
      <c r="N300" s="3202"/>
      <c r="O300" s="3202"/>
      <c r="P300" s="3202"/>
      <c r="Q300" s="3202"/>
      <c r="R300" s="3202"/>
      <c r="S300" s="3202"/>
      <c r="T300" s="3202"/>
      <c r="U300" s="3202"/>
      <c r="V300" s="3202"/>
      <c r="W300" s="3202"/>
      <c r="X300" s="3202"/>
      <c r="Y300" s="3202"/>
      <c r="Z300" s="3202"/>
      <c r="AA300" s="3202"/>
      <c r="AB300" s="3202"/>
      <c r="AC300" s="3202"/>
      <c r="AD300" s="3203"/>
      <c r="AE300" s="934"/>
      <c r="AF300" s="934"/>
      <c r="AG300" s="1002"/>
      <c r="AH300" s="934"/>
      <c r="AI300" s="934"/>
      <c r="AJ300" s="933"/>
      <c r="AK300" s="1016"/>
      <c r="AL300" s="1016"/>
      <c r="AM300" s="1016"/>
      <c r="AN300" s="110"/>
      <c r="AO300" s="51"/>
      <c r="AP300" s="940" t="s">
        <v>1348</v>
      </c>
      <c r="AR300" s="21"/>
    </row>
    <row r="301" spans="1:60" s="21" customFormat="1" hidden="1">
      <c r="F301" s="3201"/>
      <c r="G301" s="3202"/>
      <c r="H301" s="3202"/>
      <c r="I301" s="3202"/>
      <c r="J301" s="3202"/>
      <c r="K301" s="3202"/>
      <c r="L301" s="3202"/>
      <c r="M301" s="3202"/>
      <c r="N301" s="3202"/>
      <c r="O301" s="3202"/>
      <c r="P301" s="3202"/>
      <c r="Q301" s="3202"/>
      <c r="R301" s="3202"/>
      <c r="S301" s="3202"/>
      <c r="T301" s="3202"/>
      <c r="U301" s="3202"/>
      <c r="V301" s="3202"/>
      <c r="W301" s="3202"/>
      <c r="X301" s="3202"/>
      <c r="Y301" s="3202"/>
      <c r="Z301" s="3202"/>
      <c r="AA301" s="3202"/>
      <c r="AB301" s="3202"/>
      <c r="AC301" s="3202"/>
      <c r="AD301" s="3203"/>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12" t="s">
        <v>1348</v>
      </c>
      <c r="G305" s="3213"/>
      <c r="H305" s="3213"/>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13"/>
      <c r="AD305" s="3214"/>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12"/>
      <c r="G306" s="3213"/>
      <c r="H306" s="3213"/>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13"/>
      <c r="AD306" s="3214"/>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12"/>
      <c r="G307" s="3213"/>
      <c r="H307" s="3213"/>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13"/>
      <c r="AD307" s="3214"/>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12"/>
      <c r="G308" s="3213"/>
      <c r="H308" s="3213"/>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13"/>
      <c r="AD308" s="3214"/>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15"/>
      <c r="G309" s="3216"/>
      <c r="H309" s="3216"/>
      <c r="I309" s="3216"/>
      <c r="J309" s="3216"/>
      <c r="K309" s="3216"/>
      <c r="L309" s="3216"/>
      <c r="M309" s="3216"/>
      <c r="N309" s="3216"/>
      <c r="O309" s="3216"/>
      <c r="P309" s="3216"/>
      <c r="Q309" s="3216"/>
      <c r="R309" s="3216"/>
      <c r="S309" s="3216"/>
      <c r="T309" s="3216"/>
      <c r="U309" s="3216"/>
      <c r="V309" s="3216"/>
      <c r="W309" s="3216"/>
      <c r="X309" s="3216"/>
      <c r="Y309" s="3216"/>
      <c r="Z309" s="3216"/>
      <c r="AA309" s="3216"/>
      <c r="AB309" s="3216"/>
      <c r="AC309" s="3216"/>
      <c r="AD309" s="3217"/>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18" t="s">
        <v>1348</v>
      </c>
      <c r="J313" s="3218"/>
      <c r="K313" s="3218"/>
      <c r="L313" s="3218"/>
      <c r="M313" s="3218"/>
      <c r="N313" s="3218"/>
      <c r="O313" s="3218"/>
      <c r="P313" s="3218"/>
      <c r="Q313" s="3218"/>
      <c r="R313" s="3218"/>
      <c r="S313" s="3218"/>
      <c r="T313" s="3218"/>
      <c r="U313" s="3218"/>
      <c r="V313" s="3218"/>
      <c r="W313" s="3218"/>
      <c r="X313" s="3218"/>
      <c r="Y313" s="3218"/>
      <c r="Z313" s="3218"/>
      <c r="AA313" s="3218"/>
      <c r="AB313" s="3218"/>
      <c r="AC313" s="3218"/>
      <c r="AD313" s="3219"/>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18"/>
      <c r="J314" s="3218"/>
      <c r="K314" s="3218"/>
      <c r="L314" s="3218"/>
      <c r="M314" s="3218"/>
      <c r="N314" s="3218"/>
      <c r="O314" s="3218"/>
      <c r="P314" s="3218"/>
      <c r="Q314" s="3218"/>
      <c r="R314" s="3218"/>
      <c r="S314" s="3218"/>
      <c r="T314" s="3218"/>
      <c r="U314" s="3218"/>
      <c r="V314" s="3218"/>
      <c r="W314" s="3218"/>
      <c r="X314" s="3218"/>
      <c r="Y314" s="3218"/>
      <c r="Z314" s="3218"/>
      <c r="AA314" s="3218"/>
      <c r="AB314" s="3218"/>
      <c r="AC314" s="3218"/>
      <c r="AD314" s="3219"/>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18"/>
      <c r="J315" s="3218"/>
      <c r="K315" s="3218"/>
      <c r="L315" s="3218"/>
      <c r="M315" s="3218"/>
      <c r="N315" s="3218"/>
      <c r="O315" s="3218"/>
      <c r="P315" s="3218"/>
      <c r="Q315" s="3218"/>
      <c r="R315" s="3218"/>
      <c r="S315" s="3218"/>
      <c r="T315" s="3218"/>
      <c r="U315" s="3218"/>
      <c r="V315" s="3218"/>
      <c r="W315" s="3218"/>
      <c r="X315" s="3218"/>
      <c r="Y315" s="3218"/>
      <c r="Z315" s="3218"/>
      <c r="AA315" s="3218"/>
      <c r="AB315" s="3218"/>
      <c r="AC315" s="3218"/>
      <c r="AD315" s="3219"/>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20"/>
      <c r="J316" s="3220"/>
      <c r="K316" s="3220"/>
      <c r="L316" s="3220"/>
      <c r="M316" s="3220"/>
      <c r="N316" s="3220"/>
      <c r="O316" s="3220"/>
      <c r="P316" s="3220"/>
      <c r="Q316" s="3220"/>
      <c r="R316" s="3220"/>
      <c r="S316" s="3220"/>
      <c r="T316" s="3220"/>
      <c r="U316" s="3220"/>
      <c r="V316" s="3220"/>
      <c r="W316" s="3220"/>
      <c r="X316" s="3220"/>
      <c r="Y316" s="3220"/>
      <c r="Z316" s="3220"/>
      <c r="AA316" s="3220"/>
      <c r="AB316" s="3220"/>
      <c r="AC316" s="3220"/>
      <c r="AD316" s="3221"/>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18" t="s">
        <v>1348</v>
      </c>
      <c r="J318" s="3218"/>
      <c r="K318" s="3218"/>
      <c r="L318" s="3218"/>
      <c r="M318" s="3218"/>
      <c r="N318" s="3218"/>
      <c r="O318" s="3218"/>
      <c r="P318" s="3218"/>
      <c r="Q318" s="3218"/>
      <c r="R318" s="3218"/>
      <c r="S318" s="3218"/>
      <c r="T318" s="3218"/>
      <c r="U318" s="3218"/>
      <c r="V318" s="3218"/>
      <c r="W318" s="3218"/>
      <c r="X318" s="3218"/>
      <c r="Y318" s="3218"/>
      <c r="Z318" s="3218"/>
      <c r="AA318" s="3218"/>
      <c r="AB318" s="3218"/>
      <c r="AC318" s="3218"/>
      <c r="AD318" s="3219"/>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8"/>
      <c r="J319" s="3218"/>
      <c r="K319" s="3218"/>
      <c r="L319" s="3218"/>
      <c r="M319" s="3218"/>
      <c r="N319" s="3218"/>
      <c r="O319" s="3218"/>
      <c r="P319" s="3218"/>
      <c r="Q319" s="3218"/>
      <c r="R319" s="3218"/>
      <c r="S319" s="3218"/>
      <c r="T319" s="3218"/>
      <c r="U319" s="3218"/>
      <c r="V319" s="3218"/>
      <c r="W319" s="3218"/>
      <c r="X319" s="3218"/>
      <c r="Y319" s="3218"/>
      <c r="Z319" s="3218"/>
      <c r="AA319" s="3218"/>
      <c r="AB319" s="3218"/>
      <c r="AC319" s="3218"/>
      <c r="AD319" s="3219"/>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20"/>
      <c r="J320" s="3220"/>
      <c r="K320" s="3220"/>
      <c r="L320" s="3220"/>
      <c r="M320" s="3220"/>
      <c r="N320" s="3220"/>
      <c r="O320" s="3220"/>
      <c r="P320" s="3220"/>
      <c r="Q320" s="3220"/>
      <c r="R320" s="3220"/>
      <c r="S320" s="3220"/>
      <c r="T320" s="3220"/>
      <c r="U320" s="3220"/>
      <c r="V320" s="3220"/>
      <c r="W320" s="3220"/>
      <c r="X320" s="3220"/>
      <c r="Y320" s="3220"/>
      <c r="Z320" s="3220"/>
      <c r="AA320" s="3220"/>
      <c r="AB320" s="3220"/>
      <c r="AC320" s="3220"/>
      <c r="AD320" s="3221"/>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07" t="s">
        <v>1588</v>
      </c>
      <c r="B322" s="3207"/>
      <c r="C322" s="3179" t="s">
        <v>617</v>
      </c>
      <c r="D322" s="3179"/>
      <c r="E322" s="930"/>
      <c r="F322" s="3099" t="s">
        <v>2495</v>
      </c>
      <c r="G322" s="3100"/>
      <c r="H322" s="3100"/>
      <c r="I322" s="3100"/>
      <c r="J322" s="3100"/>
      <c r="K322" s="3100"/>
      <c r="L322" s="3100"/>
      <c r="M322" s="3100"/>
      <c r="N322" s="3100"/>
      <c r="O322" s="3100"/>
      <c r="P322" s="3100"/>
      <c r="Q322" s="3100"/>
      <c r="R322" s="3100"/>
      <c r="S322" s="3100"/>
      <c r="T322" s="3100"/>
      <c r="U322" s="3100"/>
      <c r="V322" s="3100"/>
      <c r="W322" s="3100"/>
      <c r="X322" s="3100"/>
      <c r="Y322" s="3100"/>
      <c r="Z322" s="3100"/>
      <c r="AA322" s="3100"/>
      <c r="AB322" s="3100"/>
      <c r="AC322" s="3100"/>
      <c r="AD322" s="3101"/>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105"/>
      <c r="G323" s="3106"/>
      <c r="H323" s="3106"/>
      <c r="I323" s="3106"/>
      <c r="J323" s="3106"/>
      <c r="K323" s="3106"/>
      <c r="L323" s="3106"/>
      <c r="M323" s="3106"/>
      <c r="N323" s="3106"/>
      <c r="O323" s="3106"/>
      <c r="P323" s="3106"/>
      <c r="Q323" s="3106"/>
      <c r="R323" s="3106"/>
      <c r="S323" s="3106"/>
      <c r="T323" s="3106"/>
      <c r="U323" s="3106"/>
      <c r="V323" s="3106"/>
      <c r="W323" s="3106"/>
      <c r="X323" s="3106"/>
      <c r="Y323" s="3106"/>
      <c r="Z323" s="3106"/>
      <c r="AA323" s="3106"/>
      <c r="AB323" s="3106"/>
      <c r="AC323" s="3106"/>
      <c r="AD323" s="310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05"/>
      <c r="G324" s="3106"/>
      <c r="H324" s="3106"/>
      <c r="I324" s="3106"/>
      <c r="J324" s="3106"/>
      <c r="K324" s="3106"/>
      <c r="L324" s="3106"/>
      <c r="M324" s="3106"/>
      <c r="N324" s="3106"/>
      <c r="O324" s="3106"/>
      <c r="P324" s="3106"/>
      <c r="Q324" s="3106"/>
      <c r="R324" s="3106"/>
      <c r="S324" s="3106"/>
      <c r="T324" s="3106"/>
      <c r="U324" s="3106"/>
      <c r="V324" s="3106"/>
      <c r="W324" s="3106"/>
      <c r="X324" s="3106"/>
      <c r="Y324" s="3106"/>
      <c r="Z324" s="3106"/>
      <c r="AA324" s="3106"/>
      <c r="AB324" s="3106"/>
      <c r="AC324" s="3106"/>
      <c r="AD324" s="310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82">
        <f>AP284</f>
        <v>9</v>
      </c>
      <c r="AL327" s="3183"/>
      <c r="AM327" s="3184"/>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70" t="s">
        <v>1510</v>
      </c>
      <c r="AF330" s="3170"/>
      <c r="AG330" s="3170"/>
      <c r="AH330" s="3170"/>
      <c r="AI330" s="3170"/>
      <c r="AJ330" s="3170"/>
      <c r="AK330" s="317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22" t="s">
        <v>1654</v>
      </c>
      <c r="D332" s="3222"/>
      <c r="E332" s="3222"/>
      <c r="F332" s="3222"/>
      <c r="G332" s="3222"/>
      <c r="H332" s="3222"/>
      <c r="I332" s="3222"/>
      <c r="J332" s="3222"/>
      <c r="K332" s="3222"/>
      <c r="L332" s="3222"/>
      <c r="M332" s="3222"/>
      <c r="N332" s="3222"/>
      <c r="O332" s="3222"/>
      <c r="P332" s="3222"/>
      <c r="Q332" s="3222"/>
      <c r="R332" s="3222"/>
      <c r="S332" s="3222"/>
      <c r="T332" s="3222"/>
      <c r="U332" s="3222"/>
      <c r="V332" s="3222"/>
      <c r="W332" s="3222"/>
      <c r="X332" s="3222"/>
      <c r="Y332" s="3222"/>
      <c r="Z332" s="3222"/>
      <c r="AA332" s="3222"/>
      <c r="AB332" s="3222"/>
      <c r="AC332" s="3222"/>
      <c r="AD332" s="3222"/>
      <c r="AE332" s="3222"/>
      <c r="AF332" s="3222"/>
      <c r="AG332" s="3222"/>
      <c r="AH332" s="3222"/>
      <c r="AI332" s="3222"/>
      <c r="AJ332" s="3222"/>
      <c r="AK332" s="1017"/>
      <c r="AL332" s="1017"/>
      <c r="AM332" s="1017"/>
      <c r="AN332" s="990"/>
    </row>
    <row r="333" spans="1:60" s="933" customFormat="1" ht="12.75" customHeight="1">
      <c r="A333" s="1017"/>
      <c r="B333" s="1018"/>
      <c r="C333" s="3222"/>
      <c r="D333" s="3222"/>
      <c r="E333" s="3222"/>
      <c r="F333" s="3222"/>
      <c r="G333" s="3222"/>
      <c r="H333" s="3222"/>
      <c r="I333" s="3222"/>
      <c r="J333" s="3222"/>
      <c r="K333" s="3222"/>
      <c r="L333" s="3222"/>
      <c r="M333" s="3222"/>
      <c r="N333" s="3222"/>
      <c r="O333" s="3222"/>
      <c r="P333" s="3222"/>
      <c r="Q333" s="3222"/>
      <c r="R333" s="3222"/>
      <c r="S333" s="3222"/>
      <c r="T333" s="3222"/>
      <c r="U333" s="3222"/>
      <c r="V333" s="3222"/>
      <c r="W333" s="3222"/>
      <c r="X333" s="3222"/>
      <c r="Y333" s="3222"/>
      <c r="Z333" s="3222"/>
      <c r="AA333" s="3222"/>
      <c r="AB333" s="3222"/>
      <c r="AC333" s="3222"/>
      <c r="AD333" s="3222"/>
      <c r="AE333" s="3222"/>
      <c r="AF333" s="3222"/>
      <c r="AG333" s="3222"/>
      <c r="AH333" s="3222"/>
      <c r="AI333" s="3222"/>
      <c r="AJ333" s="3222"/>
      <c r="AK333" s="1017"/>
      <c r="AL333" s="1017"/>
      <c r="AM333" s="1017"/>
      <c r="AN333" s="990"/>
    </row>
    <row r="334" spans="1:60" s="933" customFormat="1" ht="12.75" customHeight="1">
      <c r="A334" s="1017"/>
      <c r="B334" s="1018"/>
      <c r="C334" s="3222"/>
      <c r="D334" s="3222"/>
      <c r="E334" s="3222"/>
      <c r="F334" s="3222"/>
      <c r="G334" s="3222"/>
      <c r="H334" s="3222"/>
      <c r="I334" s="3222"/>
      <c r="J334" s="3222"/>
      <c r="K334" s="3222"/>
      <c r="L334" s="3222"/>
      <c r="M334" s="3222"/>
      <c r="N334" s="3222"/>
      <c r="O334" s="3222"/>
      <c r="P334" s="3222"/>
      <c r="Q334" s="3222"/>
      <c r="R334" s="3222"/>
      <c r="S334" s="3222"/>
      <c r="T334" s="3222"/>
      <c r="U334" s="3222"/>
      <c r="V334" s="3222"/>
      <c r="W334" s="3222"/>
      <c r="X334" s="3222"/>
      <c r="Y334" s="3222"/>
      <c r="Z334" s="3222"/>
      <c r="AA334" s="3222"/>
      <c r="AB334" s="3222"/>
      <c r="AC334" s="3222"/>
      <c r="AD334" s="3222"/>
      <c r="AE334" s="3222"/>
      <c r="AF334" s="3222"/>
      <c r="AG334" s="3222"/>
      <c r="AH334" s="3222"/>
      <c r="AI334" s="3222"/>
      <c r="AJ334" s="3222"/>
      <c r="AK334" s="1017"/>
      <c r="AL334" s="1017"/>
      <c r="AM334" s="1017"/>
      <c r="AN334" s="990"/>
      <c r="AQ334" s="1125"/>
      <c r="AR334" s="992"/>
    </row>
    <row r="335" spans="1:60" s="933" customFormat="1" ht="12.75" customHeight="1">
      <c r="A335" s="1017"/>
      <c r="B335" s="1108"/>
      <c r="C335" s="3222"/>
      <c r="D335" s="3222"/>
      <c r="E335" s="3222"/>
      <c r="F335" s="3222"/>
      <c r="G335" s="3222"/>
      <c r="H335" s="3222"/>
      <c r="I335" s="3222"/>
      <c r="J335" s="3222"/>
      <c r="K335" s="3222"/>
      <c r="L335" s="3222"/>
      <c r="M335" s="3222"/>
      <c r="N335" s="3222"/>
      <c r="O335" s="3222"/>
      <c r="P335" s="3222"/>
      <c r="Q335" s="3222"/>
      <c r="R335" s="3222"/>
      <c r="S335" s="3222"/>
      <c r="T335" s="3222"/>
      <c r="U335" s="3222"/>
      <c r="V335" s="3222"/>
      <c r="W335" s="3222"/>
      <c r="X335" s="3222"/>
      <c r="Y335" s="3222"/>
      <c r="Z335" s="3222"/>
      <c r="AA335" s="3222"/>
      <c r="AB335" s="3222"/>
      <c r="AC335" s="3222"/>
      <c r="AD335" s="3222"/>
      <c r="AE335" s="3222"/>
      <c r="AF335" s="3222"/>
      <c r="AG335" s="3222"/>
      <c r="AH335" s="3222"/>
      <c r="AI335" s="3222"/>
      <c r="AJ335" s="3222"/>
      <c r="AK335" s="1017"/>
      <c r="AL335" s="1017"/>
      <c r="AM335" s="1017"/>
      <c r="AN335" s="990"/>
      <c r="AQ335" s="1125"/>
      <c r="AR335" s="992"/>
    </row>
    <row r="336" spans="1:60" s="933" customFormat="1" ht="12.4" customHeight="1">
      <c r="A336" s="1017"/>
      <c r="B336" s="1108"/>
      <c r="C336" s="3222"/>
      <c r="D336" s="3222"/>
      <c r="E336" s="3222"/>
      <c r="F336" s="3222"/>
      <c r="G336" s="3222"/>
      <c r="H336" s="3222"/>
      <c r="I336" s="3222"/>
      <c r="J336" s="3222"/>
      <c r="K336" s="3222"/>
      <c r="L336" s="3222"/>
      <c r="M336" s="3222"/>
      <c r="N336" s="3222"/>
      <c r="O336" s="3222"/>
      <c r="P336" s="3222"/>
      <c r="Q336" s="3222"/>
      <c r="R336" s="3222"/>
      <c r="S336" s="3222"/>
      <c r="T336" s="3222"/>
      <c r="U336" s="3222"/>
      <c r="V336" s="3222"/>
      <c r="W336" s="3222"/>
      <c r="X336" s="3222"/>
      <c r="Y336" s="3222"/>
      <c r="Z336" s="3222"/>
      <c r="AA336" s="3222"/>
      <c r="AB336" s="3222"/>
      <c r="AC336" s="3222"/>
      <c r="AD336" s="3222"/>
      <c r="AE336" s="3222"/>
      <c r="AF336" s="3222"/>
      <c r="AG336" s="3222"/>
      <c r="AH336" s="3222"/>
      <c r="AI336" s="3222"/>
      <c r="AJ336" s="3222"/>
      <c r="AK336" s="1017"/>
      <c r="AL336" s="1017"/>
      <c r="AM336" s="1017"/>
      <c r="AN336" s="990"/>
      <c r="AQ336" s="1125"/>
      <c r="AR336" s="1125"/>
    </row>
    <row r="337" spans="1:46" s="933" customFormat="1" ht="45.75" customHeight="1">
      <c r="A337" s="1017"/>
      <c r="B337" s="1108"/>
      <c r="C337" s="3222" t="s">
        <v>2591</v>
      </c>
      <c r="D337" s="3222"/>
      <c r="E337" s="3222"/>
      <c r="F337" s="3222"/>
      <c r="G337" s="3222"/>
      <c r="H337" s="3222"/>
      <c r="I337" s="3222"/>
      <c r="J337" s="3222"/>
      <c r="K337" s="3222"/>
      <c r="L337" s="3222"/>
      <c r="M337" s="3222"/>
      <c r="N337" s="3222"/>
      <c r="O337" s="3222"/>
      <c r="P337" s="3222"/>
      <c r="Q337" s="3222"/>
      <c r="R337" s="3222"/>
      <c r="S337" s="3222"/>
      <c r="T337" s="3222"/>
      <c r="U337" s="3222"/>
      <c r="V337" s="3222"/>
      <c r="W337" s="3222"/>
      <c r="X337" s="3222"/>
      <c r="Y337" s="3222"/>
      <c r="Z337" s="3222"/>
      <c r="AA337" s="3222"/>
      <c r="AB337" s="3222"/>
      <c r="AC337" s="3222"/>
      <c r="AD337" s="3222"/>
      <c r="AE337" s="3222"/>
      <c r="AF337" s="3222"/>
      <c r="AG337" s="3222"/>
      <c r="AH337" s="3222"/>
      <c r="AI337" s="3222"/>
      <c r="AJ337" s="3222"/>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22" t="s">
        <v>2182</v>
      </c>
      <c r="D339" s="3222"/>
      <c r="E339" s="3222"/>
      <c r="F339" s="3222"/>
      <c r="G339" s="3222"/>
      <c r="H339" s="3222"/>
      <c r="I339" s="3222"/>
      <c r="J339" s="3222"/>
      <c r="K339" s="3222"/>
      <c r="L339" s="3222"/>
      <c r="M339" s="3222"/>
      <c r="N339" s="3222"/>
      <c r="O339" s="3222"/>
      <c r="P339" s="3222"/>
      <c r="Q339" s="3222"/>
      <c r="R339" s="3222"/>
      <c r="S339" s="3222"/>
      <c r="T339" s="3222"/>
      <c r="U339" s="3222"/>
      <c r="V339" s="3222"/>
      <c r="W339" s="3222"/>
      <c r="X339" s="3222"/>
      <c r="Y339" s="3222"/>
      <c r="Z339" s="3222"/>
      <c r="AA339" s="3222"/>
      <c r="AB339" s="3222"/>
      <c r="AC339" s="3222"/>
      <c r="AD339" s="3222"/>
      <c r="AE339" s="3222"/>
      <c r="AF339" s="3222"/>
      <c r="AG339" s="3222"/>
      <c r="AH339" s="3222"/>
      <c r="AI339" s="3222"/>
      <c r="AJ339" s="3222"/>
      <c r="AK339" s="1017"/>
      <c r="AL339" s="1017"/>
      <c r="AM339" s="1017"/>
      <c r="AN339" s="990"/>
      <c r="AQ339" s="1125"/>
      <c r="AR339" s="1125"/>
    </row>
    <row r="340" spans="1:46" s="933" customFormat="1" ht="30" customHeight="1">
      <c r="A340" s="1017"/>
      <c r="B340" s="1108"/>
      <c r="C340" s="3222"/>
      <c r="D340" s="3222"/>
      <c r="E340" s="3222"/>
      <c r="F340" s="3222"/>
      <c r="G340" s="3222"/>
      <c r="H340" s="3222"/>
      <c r="I340" s="3222"/>
      <c r="J340" s="3222"/>
      <c r="K340" s="3222"/>
      <c r="L340" s="3222"/>
      <c r="M340" s="3222"/>
      <c r="N340" s="3222"/>
      <c r="O340" s="3222"/>
      <c r="P340" s="3222"/>
      <c r="Q340" s="3222"/>
      <c r="R340" s="3222"/>
      <c r="S340" s="3222"/>
      <c r="T340" s="3222"/>
      <c r="U340" s="3222"/>
      <c r="V340" s="3222"/>
      <c r="W340" s="3222"/>
      <c r="X340" s="3222"/>
      <c r="Y340" s="3222"/>
      <c r="Z340" s="3222"/>
      <c r="AA340" s="3222"/>
      <c r="AB340" s="3222"/>
      <c r="AC340" s="3222"/>
      <c r="AD340" s="3222"/>
      <c r="AE340" s="3222"/>
      <c r="AF340" s="3222"/>
      <c r="AG340" s="3222"/>
      <c r="AH340" s="3222"/>
      <c r="AI340" s="3222"/>
      <c r="AJ340" s="3222"/>
      <c r="AK340" s="1017"/>
      <c r="AL340" s="1017"/>
      <c r="AM340" s="1017"/>
      <c r="AN340" s="990"/>
      <c r="AQ340" s="992"/>
      <c r="AR340" s="1125"/>
    </row>
    <row r="341" spans="1:46" s="933" customFormat="1" ht="12.75" customHeight="1">
      <c r="A341" s="1017"/>
      <c r="B341" s="1108"/>
      <c r="C341" s="3222"/>
      <c r="D341" s="3222"/>
      <c r="E341" s="3222"/>
      <c r="F341" s="3222"/>
      <c r="G341" s="3222"/>
      <c r="H341" s="3222"/>
      <c r="I341" s="3222"/>
      <c r="J341" s="3222"/>
      <c r="K341" s="3222"/>
      <c r="L341" s="3222"/>
      <c r="M341" s="3222"/>
      <c r="N341" s="3222"/>
      <c r="O341" s="3222"/>
      <c r="P341" s="3222"/>
      <c r="Q341" s="3222"/>
      <c r="R341" s="3222"/>
      <c r="S341" s="3222"/>
      <c r="T341" s="3222"/>
      <c r="U341" s="3222"/>
      <c r="V341" s="3222"/>
      <c r="W341" s="3222"/>
      <c r="X341" s="3222"/>
      <c r="Y341" s="3222"/>
      <c r="Z341" s="3222"/>
      <c r="AA341" s="3222"/>
      <c r="AB341" s="3222"/>
      <c r="AC341" s="3222"/>
      <c r="AD341" s="3222"/>
      <c r="AE341" s="3222"/>
      <c r="AF341" s="3222"/>
      <c r="AG341" s="3222"/>
      <c r="AH341" s="3222"/>
      <c r="AI341" s="3222"/>
      <c r="AJ341" s="3222"/>
      <c r="AK341" s="1017"/>
      <c r="AL341" s="1017"/>
      <c r="AM341" s="1017"/>
      <c r="AN341" s="990"/>
      <c r="AQ341" s="992"/>
      <c r="AR341" s="1125"/>
    </row>
    <row r="342" spans="1:46" s="933" customFormat="1" ht="12.75" customHeight="1">
      <c r="A342" s="1017"/>
      <c r="B342" s="1108"/>
      <c r="C342" s="3222" t="s">
        <v>1655</v>
      </c>
      <c r="D342" s="3222"/>
      <c r="E342" s="3222"/>
      <c r="F342" s="3222"/>
      <c r="G342" s="3222"/>
      <c r="H342" s="3222"/>
      <c r="I342" s="3222"/>
      <c r="J342" s="3222"/>
      <c r="K342" s="3222"/>
      <c r="L342" s="3222"/>
      <c r="M342" s="3222"/>
      <c r="N342" s="3222"/>
      <c r="O342" s="3222"/>
      <c r="P342" s="3222"/>
      <c r="Q342" s="3222"/>
      <c r="R342" s="3222"/>
      <c r="S342" s="3222"/>
      <c r="T342" s="3222"/>
      <c r="U342" s="3222"/>
      <c r="V342" s="3222"/>
      <c r="W342" s="3222"/>
      <c r="X342" s="3222"/>
      <c r="Y342" s="3222"/>
      <c r="Z342" s="3222"/>
      <c r="AA342" s="3222"/>
      <c r="AB342" s="3222"/>
      <c r="AC342" s="3222"/>
      <c r="AD342" s="3222"/>
      <c r="AE342" s="3222"/>
      <c r="AF342" s="3222"/>
      <c r="AG342" s="3222"/>
      <c r="AH342" s="3222"/>
      <c r="AI342" s="3222"/>
      <c r="AJ342" s="3222"/>
      <c r="AK342" s="1017"/>
      <c r="AL342" s="1017"/>
      <c r="AM342" s="1017"/>
      <c r="AN342" s="990"/>
      <c r="AQ342" s="1125"/>
      <c r="AR342" s="1125"/>
    </row>
    <row r="343" spans="1:46" s="933" customFormat="1" ht="12.75" customHeight="1">
      <c r="A343" s="1017"/>
      <c r="B343" s="1108"/>
      <c r="C343" s="3222"/>
      <c r="D343" s="3222"/>
      <c r="E343" s="3222"/>
      <c r="F343" s="3222"/>
      <c r="G343" s="3222"/>
      <c r="H343" s="3222"/>
      <c r="I343" s="3222"/>
      <c r="J343" s="3222"/>
      <c r="K343" s="3222"/>
      <c r="L343" s="3222"/>
      <c r="M343" s="3222"/>
      <c r="N343" s="3222"/>
      <c r="O343" s="3222"/>
      <c r="P343" s="3222"/>
      <c r="Q343" s="3222"/>
      <c r="R343" s="3222"/>
      <c r="S343" s="3222"/>
      <c r="T343" s="3222"/>
      <c r="U343" s="3222"/>
      <c r="V343" s="3222"/>
      <c r="W343" s="3222"/>
      <c r="X343" s="3222"/>
      <c r="Y343" s="3222"/>
      <c r="Z343" s="3222"/>
      <c r="AA343" s="3222"/>
      <c r="AB343" s="3222"/>
      <c r="AC343" s="3222"/>
      <c r="AD343" s="3222"/>
      <c r="AE343" s="3222"/>
      <c r="AF343" s="3222"/>
      <c r="AG343" s="3222"/>
      <c r="AH343" s="3222"/>
      <c r="AI343" s="3222"/>
      <c r="AJ343" s="3222"/>
      <c r="AK343" s="1017"/>
      <c r="AL343" s="1017"/>
      <c r="AM343" s="1017"/>
      <c r="AN343" s="990"/>
      <c r="AQ343" s="1125"/>
      <c r="AR343" s="1125"/>
    </row>
    <row r="344" spans="1:46" s="933" customFormat="1" ht="13.15" customHeight="1">
      <c r="A344" s="1017"/>
      <c r="B344" s="1108"/>
      <c r="C344" s="3222"/>
      <c r="D344" s="3222"/>
      <c r="E344" s="3222"/>
      <c r="F344" s="3222"/>
      <c r="G344" s="3222"/>
      <c r="H344" s="3222"/>
      <c r="I344" s="3222"/>
      <c r="J344" s="3222"/>
      <c r="K344" s="3222"/>
      <c r="L344" s="3222"/>
      <c r="M344" s="3222"/>
      <c r="N344" s="3222"/>
      <c r="O344" s="3222"/>
      <c r="P344" s="3222"/>
      <c r="Q344" s="3222"/>
      <c r="R344" s="3222"/>
      <c r="S344" s="3222"/>
      <c r="T344" s="3222"/>
      <c r="U344" s="3222"/>
      <c r="V344" s="3222"/>
      <c r="W344" s="3222"/>
      <c r="X344" s="3222"/>
      <c r="Y344" s="3222"/>
      <c r="Z344" s="3222"/>
      <c r="AA344" s="3222"/>
      <c r="AB344" s="3222"/>
      <c r="AC344" s="3222"/>
      <c r="AD344" s="3222"/>
      <c r="AE344" s="3222"/>
      <c r="AF344" s="3222"/>
      <c r="AG344" s="3222"/>
      <c r="AH344" s="3222"/>
      <c r="AI344" s="3222"/>
      <c r="AJ344" s="3222"/>
      <c r="AK344" s="1017"/>
      <c r="AL344" s="1017"/>
      <c r="AM344" s="1017"/>
      <c r="AN344" s="990"/>
      <c r="AQ344" s="1125"/>
      <c r="AR344" s="1125"/>
    </row>
    <row r="345" spans="1:46" s="933" customFormat="1" ht="12.75" customHeight="1">
      <c r="A345" s="1017"/>
      <c r="B345" s="1108"/>
      <c r="C345" s="3222"/>
      <c r="D345" s="3222"/>
      <c r="E345" s="3222"/>
      <c r="F345" s="3222"/>
      <c r="G345" s="3222"/>
      <c r="H345" s="3222"/>
      <c r="I345" s="3222"/>
      <c r="J345" s="3222"/>
      <c r="K345" s="3222"/>
      <c r="L345" s="3222"/>
      <c r="M345" s="3222"/>
      <c r="N345" s="3222"/>
      <c r="O345" s="3222"/>
      <c r="P345" s="3222"/>
      <c r="Q345" s="3222"/>
      <c r="R345" s="3222"/>
      <c r="S345" s="3222"/>
      <c r="T345" s="3222"/>
      <c r="U345" s="3222"/>
      <c r="V345" s="3222"/>
      <c r="W345" s="3222"/>
      <c r="X345" s="3222"/>
      <c r="Y345" s="3222"/>
      <c r="Z345" s="3222"/>
      <c r="AA345" s="3222"/>
      <c r="AB345" s="3222"/>
      <c r="AC345" s="3222"/>
      <c r="AD345" s="3222"/>
      <c r="AE345" s="3222"/>
      <c r="AF345" s="3222"/>
      <c r="AG345" s="3222"/>
      <c r="AH345" s="3222"/>
      <c r="AI345" s="3222"/>
      <c r="AJ345" s="3222"/>
      <c r="AK345" s="1017"/>
      <c r="AL345" s="1017"/>
      <c r="AM345" s="1017"/>
      <c r="AN345" s="990"/>
      <c r="AO345" s="1140"/>
      <c r="AP345" s="1140"/>
      <c r="AQ345" s="1125"/>
      <c r="AR345" s="992"/>
    </row>
    <row r="346" spans="1:46" s="933" customFormat="1" ht="11.85" customHeight="1">
      <c r="A346" s="1017"/>
      <c r="B346" s="1108"/>
      <c r="C346" s="3222"/>
      <c r="D346" s="3222"/>
      <c r="E346" s="3222"/>
      <c r="F346" s="3222"/>
      <c r="G346" s="3222"/>
      <c r="H346" s="3222"/>
      <c r="I346" s="3222"/>
      <c r="J346" s="3222"/>
      <c r="K346" s="3222"/>
      <c r="L346" s="3222"/>
      <c r="M346" s="3222"/>
      <c r="N346" s="3222"/>
      <c r="O346" s="3222"/>
      <c r="P346" s="3222"/>
      <c r="Q346" s="3222"/>
      <c r="R346" s="3222"/>
      <c r="S346" s="3222"/>
      <c r="T346" s="3222"/>
      <c r="U346" s="3222"/>
      <c r="V346" s="3222"/>
      <c r="W346" s="3222"/>
      <c r="X346" s="3222"/>
      <c r="Y346" s="3222"/>
      <c r="Z346" s="3222"/>
      <c r="AA346" s="3222"/>
      <c r="AB346" s="3222"/>
      <c r="AC346" s="3222"/>
      <c r="AD346" s="3222"/>
      <c r="AE346" s="3222"/>
      <c r="AF346" s="3222"/>
      <c r="AG346" s="3222"/>
      <c r="AH346" s="3222"/>
      <c r="AI346" s="3222"/>
      <c r="AJ346" s="3222"/>
      <c r="AK346" s="1017"/>
      <c r="AL346" s="1017"/>
      <c r="AM346" s="1017"/>
      <c r="AN346" s="990"/>
      <c r="AO346" s="1141" t="s">
        <v>117</v>
      </c>
      <c r="AP346" s="1142">
        <f>IF(C370="Yes",5,0)</f>
        <v>5</v>
      </c>
      <c r="AQ346" s="992"/>
      <c r="AR346" s="992"/>
      <c r="AS346" s="922" t="s">
        <v>1656</v>
      </c>
    </row>
    <row r="347" spans="1:46" s="933" customFormat="1" ht="12.75" customHeight="1">
      <c r="A347" s="1017"/>
      <c r="B347" s="1108"/>
      <c r="C347" s="3222"/>
      <c r="D347" s="3222"/>
      <c r="E347" s="3222"/>
      <c r="F347" s="3222"/>
      <c r="G347" s="3222"/>
      <c r="H347" s="3222"/>
      <c r="I347" s="3222"/>
      <c r="J347" s="3222"/>
      <c r="K347" s="3222"/>
      <c r="L347" s="3222"/>
      <c r="M347" s="3222"/>
      <c r="N347" s="3222"/>
      <c r="O347" s="3222"/>
      <c r="P347" s="3222"/>
      <c r="Q347" s="3222"/>
      <c r="R347" s="3222"/>
      <c r="S347" s="3222"/>
      <c r="T347" s="3222"/>
      <c r="U347" s="3222"/>
      <c r="V347" s="3222"/>
      <c r="W347" s="3222"/>
      <c r="X347" s="3222"/>
      <c r="Y347" s="3222"/>
      <c r="Z347" s="3222"/>
      <c r="AA347" s="3222"/>
      <c r="AB347" s="3222"/>
      <c r="AC347" s="3222"/>
      <c r="AD347" s="3222"/>
      <c r="AE347" s="3222"/>
      <c r="AF347" s="3222"/>
      <c r="AG347" s="3222"/>
      <c r="AH347" s="3222"/>
      <c r="AI347" s="3222"/>
      <c r="AJ347" s="3222"/>
      <c r="AK347" s="1017"/>
      <c r="AL347" s="1017"/>
      <c r="AM347" s="1017"/>
      <c r="AN347" s="990"/>
      <c r="AO347" s="1141" t="s">
        <v>118</v>
      </c>
      <c r="AP347" s="1142">
        <f>IF(C378="Yes",5,0)</f>
        <v>0</v>
      </c>
      <c r="AQ347" s="992"/>
      <c r="AR347" s="992"/>
      <c r="AS347" s="3240">
        <f>IF(Application!D210="Non-Targeted",(SUM(AQ355+AQ364)),AS351)</f>
        <v>10</v>
      </c>
      <c r="AT347" s="3240"/>
    </row>
    <row r="348" spans="1:46" s="933" customFormat="1" ht="12.75" customHeight="1">
      <c r="A348" s="1017"/>
      <c r="B348" s="1108"/>
      <c r="C348" s="3222"/>
      <c r="D348" s="3222"/>
      <c r="E348" s="3222"/>
      <c r="F348" s="3222"/>
      <c r="G348" s="3222"/>
      <c r="H348" s="3222"/>
      <c r="I348" s="3222"/>
      <c r="J348" s="3222"/>
      <c r="K348" s="3222"/>
      <c r="L348" s="3222"/>
      <c r="M348" s="3222"/>
      <c r="N348" s="3222"/>
      <c r="O348" s="3222"/>
      <c r="P348" s="3222"/>
      <c r="Q348" s="3222"/>
      <c r="R348" s="3222"/>
      <c r="S348" s="3222"/>
      <c r="T348" s="3222"/>
      <c r="U348" s="3222"/>
      <c r="V348" s="3222"/>
      <c r="W348" s="3222"/>
      <c r="X348" s="3222"/>
      <c r="Y348" s="3222"/>
      <c r="Z348" s="3222"/>
      <c r="AA348" s="3222"/>
      <c r="AB348" s="3222"/>
      <c r="AC348" s="3222"/>
      <c r="AD348" s="3222"/>
      <c r="AE348" s="3222"/>
      <c r="AF348" s="3222"/>
      <c r="AG348" s="3222"/>
      <c r="AH348" s="3222"/>
      <c r="AI348" s="3222"/>
      <c r="AJ348" s="3222"/>
      <c r="AK348" s="1017"/>
      <c r="AL348" s="1017"/>
      <c r="AM348" s="1017"/>
      <c r="AN348" s="990"/>
      <c r="AO348" s="1141" t="s">
        <v>124</v>
      </c>
      <c r="AP348" s="1142">
        <f>IF(C386="Yes",7,0)</f>
        <v>0</v>
      </c>
      <c r="AS348" s="922" t="s">
        <v>1657</v>
      </c>
    </row>
    <row r="349" spans="1:46" s="933" customFormat="1" ht="12.75" customHeight="1">
      <c r="A349" s="1017"/>
      <c r="B349" s="1108"/>
      <c r="C349" s="3222"/>
      <c r="D349" s="3222"/>
      <c r="E349" s="3222"/>
      <c r="F349" s="3222"/>
      <c r="G349" s="3222"/>
      <c r="H349" s="3222"/>
      <c r="I349" s="3222"/>
      <c r="J349" s="3222"/>
      <c r="K349" s="3222"/>
      <c r="L349" s="3222"/>
      <c r="M349" s="3222"/>
      <c r="N349" s="3222"/>
      <c r="O349" s="3222"/>
      <c r="P349" s="3222"/>
      <c r="Q349" s="3222"/>
      <c r="R349" s="3222"/>
      <c r="S349" s="3222"/>
      <c r="T349" s="3222"/>
      <c r="U349" s="3222"/>
      <c r="V349" s="3222"/>
      <c r="W349" s="3222"/>
      <c r="X349" s="3222"/>
      <c r="Y349" s="3222"/>
      <c r="Z349" s="3222"/>
      <c r="AA349" s="3222"/>
      <c r="AB349" s="3222"/>
      <c r="AC349" s="3222"/>
      <c r="AD349" s="3222"/>
      <c r="AE349" s="3222"/>
      <c r="AF349" s="3222"/>
      <c r="AG349" s="3222"/>
      <c r="AH349" s="3222"/>
      <c r="AI349" s="3222"/>
      <c r="AJ349" s="3222"/>
      <c r="AK349" s="1017"/>
      <c r="AL349" s="1017"/>
      <c r="AM349" s="1017"/>
      <c r="AN349" s="990"/>
      <c r="AO349" s="990"/>
      <c r="AP349" s="1142">
        <f>IF(C388="Yes",5,0)</f>
        <v>5</v>
      </c>
      <c r="AS349" s="3240">
        <f>IF(AND(AQ355&gt;0,AQ364&gt;0),(AQ355+AQ364)/2,0)</f>
        <v>10</v>
      </c>
      <c r="AT349" s="3240"/>
    </row>
    <row r="350" spans="1:46" s="933" customFormat="1" ht="12.75" customHeight="1">
      <c r="A350" s="1017"/>
      <c r="B350" s="1108"/>
      <c r="C350" s="3222"/>
      <c r="D350" s="3222"/>
      <c r="E350" s="3222"/>
      <c r="F350" s="3222"/>
      <c r="G350" s="3222"/>
      <c r="H350" s="3222"/>
      <c r="I350" s="3222"/>
      <c r="J350" s="3222"/>
      <c r="K350" s="3222"/>
      <c r="L350" s="3222"/>
      <c r="M350" s="3222"/>
      <c r="N350" s="3222"/>
      <c r="O350" s="3222"/>
      <c r="P350" s="3222"/>
      <c r="Q350" s="3222"/>
      <c r="R350" s="3222"/>
      <c r="S350" s="3222"/>
      <c r="T350" s="3222"/>
      <c r="U350" s="3222"/>
      <c r="V350" s="3222"/>
      <c r="W350" s="3222"/>
      <c r="X350" s="3222"/>
      <c r="Y350" s="3222"/>
      <c r="Z350" s="3222"/>
      <c r="AA350" s="3222"/>
      <c r="AB350" s="3222"/>
      <c r="AC350" s="3222"/>
      <c r="AD350" s="3222"/>
      <c r="AE350" s="3222"/>
      <c r="AF350" s="3222"/>
      <c r="AG350" s="3222"/>
      <c r="AH350" s="3222"/>
      <c r="AI350" s="3222"/>
      <c r="AJ350" s="3222"/>
      <c r="AK350" s="1017"/>
      <c r="AL350" s="1017"/>
      <c r="AM350" s="1017"/>
      <c r="AN350" s="990"/>
      <c r="AO350" s="1141" t="s">
        <v>607</v>
      </c>
      <c r="AP350" s="1142">
        <f>IF(C396="Yes",5,0)</f>
        <v>0</v>
      </c>
      <c r="AQ350" s="992"/>
      <c r="AR350" s="992"/>
      <c r="AS350" s="922" t="s">
        <v>2200</v>
      </c>
    </row>
    <row r="351" spans="1:46" s="933" customFormat="1" ht="12.75" customHeight="1">
      <c r="A351" s="1017"/>
      <c r="B351" s="1108"/>
      <c r="C351" s="3241" t="s">
        <v>1658</v>
      </c>
      <c r="D351" s="3241"/>
      <c r="E351" s="3241"/>
      <c r="F351" s="3241"/>
      <c r="G351" s="3241"/>
      <c r="H351" s="3241"/>
      <c r="I351" s="3241"/>
      <c r="J351" s="3241"/>
      <c r="K351" s="3241"/>
      <c r="L351" s="3241"/>
      <c r="M351" s="3241"/>
      <c r="N351" s="3241"/>
      <c r="O351" s="3241"/>
      <c r="P351" s="3241"/>
      <c r="Q351" s="3241"/>
      <c r="R351" s="3241"/>
      <c r="S351" s="3241"/>
      <c r="T351" s="3241"/>
      <c r="U351" s="3241"/>
      <c r="V351" s="3241"/>
      <c r="W351" s="3241"/>
      <c r="X351" s="3241"/>
      <c r="Y351" s="3241"/>
      <c r="Z351" s="3241"/>
      <c r="AA351" s="3241"/>
      <c r="AB351" s="3241"/>
      <c r="AC351" s="3241"/>
      <c r="AD351" s="3241"/>
      <c r="AE351" s="3241"/>
      <c r="AF351" s="3241"/>
      <c r="AG351" s="3241"/>
      <c r="AH351" s="3241"/>
      <c r="AI351" s="3241"/>
      <c r="AJ351" s="3241"/>
      <c r="AK351" s="1017"/>
      <c r="AL351" s="1017"/>
      <c r="AM351" s="1017"/>
      <c r="AN351" s="990"/>
      <c r="AO351" s="990"/>
      <c r="AP351" s="1142">
        <f>IF(C398="Yes",3,0)</f>
        <v>0</v>
      </c>
      <c r="AS351" s="3240">
        <f>IF(AQ355=0,AQ364,AQ355)</f>
        <v>10</v>
      </c>
      <c r="AT351" s="3240"/>
    </row>
    <row r="352" spans="1:46" s="933" customFormat="1" ht="12.75" customHeight="1">
      <c r="A352" s="1017"/>
      <c r="B352" s="1108"/>
      <c r="C352" s="3241"/>
      <c r="D352" s="3241"/>
      <c r="E352" s="3241"/>
      <c r="F352" s="3241"/>
      <c r="G352" s="3241"/>
      <c r="H352" s="3241"/>
      <c r="I352" s="3241"/>
      <c r="J352" s="3241"/>
      <c r="K352" s="3241"/>
      <c r="L352" s="3241"/>
      <c r="M352" s="3241"/>
      <c r="N352" s="3241"/>
      <c r="O352" s="3241"/>
      <c r="P352" s="3241"/>
      <c r="Q352" s="3241"/>
      <c r="R352" s="3241"/>
      <c r="S352" s="3241"/>
      <c r="T352" s="3241"/>
      <c r="U352" s="3241"/>
      <c r="V352" s="3241"/>
      <c r="W352" s="3241"/>
      <c r="X352" s="3241"/>
      <c r="Y352" s="3241"/>
      <c r="Z352" s="3241"/>
      <c r="AA352" s="3241"/>
      <c r="AB352" s="3241"/>
      <c r="AC352" s="3241"/>
      <c r="AD352" s="3241"/>
      <c r="AE352" s="3241"/>
      <c r="AF352" s="3241"/>
      <c r="AG352" s="3241"/>
      <c r="AH352" s="3241"/>
      <c r="AI352" s="3241"/>
      <c r="AJ352" s="3241"/>
      <c r="AK352" s="1017"/>
      <c r="AL352" s="1017"/>
      <c r="AM352" s="1017"/>
      <c r="AN352" s="990"/>
      <c r="AO352" s="1141" t="s">
        <v>805</v>
      </c>
      <c r="AP352" s="1142">
        <f>IF(C401="Yes",5,0)</f>
        <v>0</v>
      </c>
    </row>
    <row r="353" spans="1:81" s="933" customFormat="1" ht="12.75" customHeight="1">
      <c r="A353" s="1017"/>
      <c r="B353" s="1108"/>
      <c r="C353" s="3241"/>
      <c r="D353" s="3241"/>
      <c r="E353" s="3241"/>
      <c r="F353" s="3241"/>
      <c r="G353" s="3241"/>
      <c r="H353" s="3241"/>
      <c r="I353" s="3241"/>
      <c r="J353" s="3241"/>
      <c r="K353" s="3241"/>
      <c r="L353" s="3241"/>
      <c r="M353" s="3241"/>
      <c r="N353" s="3241"/>
      <c r="O353" s="3241"/>
      <c r="P353" s="3241"/>
      <c r="Q353" s="3241"/>
      <c r="R353" s="3241"/>
      <c r="S353" s="3241"/>
      <c r="T353" s="3241"/>
      <c r="U353" s="3241"/>
      <c r="V353" s="3241"/>
      <c r="W353" s="3241"/>
      <c r="X353" s="3241"/>
      <c r="Y353" s="3241"/>
      <c r="Z353" s="3241"/>
      <c r="AA353" s="3241"/>
      <c r="AB353" s="3241"/>
      <c r="AC353" s="3241"/>
      <c r="AD353" s="3241"/>
      <c r="AE353" s="3241"/>
      <c r="AF353" s="3241"/>
      <c r="AG353" s="3241"/>
      <c r="AH353" s="3241"/>
      <c r="AI353" s="3241"/>
      <c r="AJ353" s="3241"/>
      <c r="AK353" s="1017"/>
      <c r="AL353" s="1017"/>
      <c r="AM353" s="1017"/>
      <c r="AN353" s="990"/>
      <c r="AO353" s="1141" t="s">
        <v>610</v>
      </c>
      <c r="AP353" s="1142">
        <f>IF(C410="Yes",5,0)</f>
        <v>0</v>
      </c>
    </row>
    <row r="354" spans="1:81" s="933" customFormat="1" ht="11.85" customHeight="1">
      <c r="A354" s="1017"/>
      <c r="B354" s="1108"/>
      <c r="C354" s="3241"/>
      <c r="D354" s="3241"/>
      <c r="E354" s="3241"/>
      <c r="F354" s="3241"/>
      <c r="G354" s="3241"/>
      <c r="H354" s="3241"/>
      <c r="I354" s="3241"/>
      <c r="J354" s="3241"/>
      <c r="K354" s="3241"/>
      <c r="L354" s="3241"/>
      <c r="M354" s="3241"/>
      <c r="N354" s="3241"/>
      <c r="O354" s="3241"/>
      <c r="P354" s="3241"/>
      <c r="Q354" s="3241"/>
      <c r="R354" s="3241"/>
      <c r="S354" s="3241"/>
      <c r="T354" s="3241"/>
      <c r="U354" s="3241"/>
      <c r="V354" s="3241"/>
      <c r="W354" s="3241"/>
      <c r="X354" s="3241"/>
      <c r="Y354" s="3241"/>
      <c r="Z354" s="3241"/>
      <c r="AA354" s="3241"/>
      <c r="AB354" s="3241"/>
      <c r="AC354" s="3241"/>
      <c r="AD354" s="3241"/>
      <c r="AE354" s="3241"/>
      <c r="AF354" s="3241"/>
      <c r="AG354" s="3241"/>
      <c r="AH354" s="3241"/>
      <c r="AI354" s="3241"/>
      <c r="AJ354" s="3241"/>
      <c r="AK354" s="1017"/>
      <c r="AL354" s="1017"/>
      <c r="AM354" s="1017"/>
      <c r="AN354" s="990"/>
      <c r="AO354" s="1143"/>
      <c r="AP354" s="1144">
        <f>IF(C412="Yes",3,0)</f>
        <v>0</v>
      </c>
    </row>
    <row r="355" spans="1:81" s="933" customFormat="1" ht="12.4" customHeight="1">
      <c r="A355" s="1017"/>
      <c r="B355" s="1108"/>
      <c r="C355" s="3241"/>
      <c r="D355" s="3241"/>
      <c r="E355" s="3241"/>
      <c r="F355" s="3241"/>
      <c r="G355" s="3241"/>
      <c r="H355" s="3241"/>
      <c r="I355" s="3241"/>
      <c r="J355" s="3241"/>
      <c r="K355" s="3241"/>
      <c r="L355" s="3241"/>
      <c r="M355" s="3241"/>
      <c r="N355" s="3241"/>
      <c r="O355" s="3241"/>
      <c r="P355" s="3241"/>
      <c r="Q355" s="3241"/>
      <c r="R355" s="3241"/>
      <c r="S355" s="3241"/>
      <c r="T355" s="3241"/>
      <c r="U355" s="3241"/>
      <c r="V355" s="3241"/>
      <c r="W355" s="3241"/>
      <c r="X355" s="3241"/>
      <c r="Y355" s="3241"/>
      <c r="Z355" s="3241"/>
      <c r="AA355" s="3241"/>
      <c r="AB355" s="3241"/>
      <c r="AC355" s="3241"/>
      <c r="AD355" s="3241"/>
      <c r="AE355" s="3241"/>
      <c r="AF355" s="3241"/>
      <c r="AG355" s="3241"/>
      <c r="AH355" s="3241"/>
      <c r="AI355" s="3241"/>
      <c r="AJ355" s="3241"/>
      <c r="AK355" s="1017"/>
      <c r="AL355" s="1017"/>
      <c r="AM355" s="1017"/>
      <c r="AN355" s="990"/>
      <c r="AO355" s="1145" t="s">
        <v>232</v>
      </c>
      <c r="AP355" s="1146">
        <f>SUM(AP346:AP354)</f>
        <v>10</v>
      </c>
      <c r="AQ355" s="3242">
        <f>IF(AP355&gt;0,AP355,0)</f>
        <v>10</v>
      </c>
      <c r="AR355" s="3242"/>
    </row>
    <row r="356" spans="1:81" s="933" customFormat="1" ht="12.75" customHeight="1">
      <c r="A356" s="1017"/>
      <c r="B356" s="1108"/>
      <c r="C356" s="3241"/>
      <c r="D356" s="3241"/>
      <c r="E356" s="3241"/>
      <c r="F356" s="3241"/>
      <c r="G356" s="3241"/>
      <c r="H356" s="3241"/>
      <c r="I356" s="3241"/>
      <c r="J356" s="3241"/>
      <c r="K356" s="3241"/>
      <c r="L356" s="3241"/>
      <c r="M356" s="3241"/>
      <c r="N356" s="3241"/>
      <c r="O356" s="3241"/>
      <c r="P356" s="3241"/>
      <c r="Q356" s="3241"/>
      <c r="R356" s="3241"/>
      <c r="S356" s="3241"/>
      <c r="T356" s="3241"/>
      <c r="U356" s="3241"/>
      <c r="V356" s="3241"/>
      <c r="W356" s="3241"/>
      <c r="X356" s="3241"/>
      <c r="Y356" s="3241"/>
      <c r="Z356" s="3241"/>
      <c r="AA356" s="3241"/>
      <c r="AB356" s="3241"/>
      <c r="AC356" s="3241"/>
      <c r="AD356" s="3241"/>
      <c r="AE356" s="3241"/>
      <c r="AF356" s="3241"/>
      <c r="AG356" s="3241"/>
      <c r="AH356" s="3241"/>
      <c r="AI356" s="3241"/>
      <c r="AJ356" s="324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5</v>
      </c>
    </row>
    <row r="358" spans="1:81" s="933" customFormat="1" ht="12.75" customHeight="1">
      <c r="A358" s="1017"/>
      <c r="B358" s="1108"/>
      <c r="C358" s="3222" t="s">
        <v>1659</v>
      </c>
      <c r="D358" s="3222"/>
      <c r="E358" s="3222"/>
      <c r="F358" s="3222"/>
      <c r="G358" s="3222"/>
      <c r="H358" s="3222"/>
      <c r="I358" s="3222"/>
      <c r="J358" s="3222"/>
      <c r="K358" s="3222"/>
      <c r="L358" s="3222"/>
      <c r="M358" s="3222"/>
      <c r="N358" s="3222"/>
      <c r="O358" s="3222"/>
      <c r="P358" s="3222"/>
      <c r="Q358" s="3222"/>
      <c r="R358" s="3222"/>
      <c r="S358" s="3222"/>
      <c r="T358" s="3222"/>
      <c r="U358" s="3222"/>
      <c r="V358" s="3222"/>
      <c r="W358" s="3222"/>
      <c r="X358" s="3222"/>
      <c r="Y358" s="3222"/>
      <c r="Z358" s="3222"/>
      <c r="AA358" s="3222"/>
      <c r="AB358" s="3222"/>
      <c r="AC358" s="3222"/>
      <c r="AD358" s="3222"/>
      <c r="AE358" s="3222"/>
      <c r="AF358" s="3222"/>
      <c r="AG358" s="3222"/>
      <c r="AH358" s="3222"/>
      <c r="AI358" s="3222"/>
      <c r="AJ358" s="3222"/>
      <c r="AK358" s="1017"/>
      <c r="AL358" s="1017"/>
      <c r="AM358" s="1017"/>
      <c r="AN358" s="990"/>
      <c r="AO358" s="1141" t="s">
        <v>481</v>
      </c>
      <c r="AP358" s="1142">
        <f>IF(C431="Yes",5,0)</f>
        <v>5</v>
      </c>
    </row>
    <row r="359" spans="1:81" s="933" customFormat="1" ht="12.75" customHeight="1">
      <c r="A359" s="1017"/>
      <c r="B359" s="1108"/>
      <c r="C359" s="3222"/>
      <c r="D359" s="3222"/>
      <c r="E359" s="3222"/>
      <c r="F359" s="3222"/>
      <c r="G359" s="3222"/>
      <c r="H359" s="3222"/>
      <c r="I359" s="3222"/>
      <c r="J359" s="3222"/>
      <c r="K359" s="3222"/>
      <c r="L359" s="3222"/>
      <c r="M359" s="3222"/>
      <c r="N359" s="3222"/>
      <c r="O359" s="3222"/>
      <c r="P359" s="3222"/>
      <c r="Q359" s="3222"/>
      <c r="R359" s="3222"/>
      <c r="S359" s="3222"/>
      <c r="T359" s="3222"/>
      <c r="U359" s="3222"/>
      <c r="V359" s="3222"/>
      <c r="W359" s="3222"/>
      <c r="X359" s="3222"/>
      <c r="Y359" s="3222"/>
      <c r="Z359" s="3222"/>
      <c r="AA359" s="3222"/>
      <c r="AB359" s="3222"/>
      <c r="AC359" s="3222"/>
      <c r="AD359" s="3222"/>
      <c r="AE359" s="3222"/>
      <c r="AF359" s="3222"/>
      <c r="AG359" s="3222"/>
      <c r="AH359" s="3222"/>
      <c r="AI359" s="3222"/>
      <c r="AJ359" s="3222"/>
      <c r="AK359" s="1017"/>
      <c r="AL359" s="1017"/>
      <c r="AM359" s="1017"/>
      <c r="AN359" s="990"/>
      <c r="AO359" s="1141" t="s">
        <v>486</v>
      </c>
      <c r="AP359" s="1142">
        <f>IF(C438="Yes",5,0)</f>
        <v>0</v>
      </c>
    </row>
    <row r="360" spans="1:81" s="933" customFormat="1" ht="68.099999999999994" customHeight="1">
      <c r="A360" s="1017"/>
      <c r="B360" s="1108"/>
      <c r="C360" s="3222"/>
      <c r="D360" s="3222"/>
      <c r="E360" s="3222"/>
      <c r="F360" s="3222"/>
      <c r="G360" s="3222"/>
      <c r="H360" s="3222"/>
      <c r="I360" s="3222"/>
      <c r="J360" s="3222"/>
      <c r="K360" s="3222"/>
      <c r="L360" s="3222"/>
      <c r="M360" s="3222"/>
      <c r="N360" s="3222"/>
      <c r="O360" s="3222"/>
      <c r="P360" s="3222"/>
      <c r="Q360" s="3222"/>
      <c r="R360" s="3222"/>
      <c r="S360" s="3222"/>
      <c r="T360" s="3222"/>
      <c r="U360" s="3222"/>
      <c r="V360" s="3222"/>
      <c r="W360" s="3222"/>
      <c r="X360" s="3222"/>
      <c r="Y360" s="3222"/>
      <c r="Z360" s="3222"/>
      <c r="AA360" s="3222"/>
      <c r="AB360" s="3222"/>
      <c r="AC360" s="3222"/>
      <c r="AD360" s="3222"/>
      <c r="AE360" s="3222"/>
      <c r="AF360" s="3222"/>
      <c r="AG360" s="3222"/>
      <c r="AH360" s="3222"/>
      <c r="AI360" s="3222"/>
      <c r="AJ360" s="3222"/>
      <c r="AK360" s="1017"/>
      <c r="AL360" s="1017"/>
      <c r="AM360" s="1017"/>
      <c r="AN360" s="990"/>
      <c r="AO360" s="1141" t="s">
        <v>672</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38">
        <f>Application!CS663-U363</f>
        <v>12</v>
      </c>
      <c r="V362" s="3338"/>
      <c r="W362" s="3338"/>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39">
        <f>Application!AG756</f>
        <v>35</v>
      </c>
      <c r="V363" s="3339"/>
      <c r="W363" s="3339"/>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10</v>
      </c>
      <c r="AQ364" s="3242">
        <f>IF(AP364&gt;0,AP364,0)</f>
        <v>10</v>
      </c>
      <c r="AR364" s="3242"/>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26" t="s">
        <v>1664</v>
      </c>
      <c r="G366" s="3226"/>
      <c r="H366" s="3226"/>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26"/>
      <c r="AD366" s="3226"/>
      <c r="AE366" s="3226"/>
      <c r="AF366" s="3226"/>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7"/>
      <c r="G367" s="3227"/>
      <c r="H367" s="3227"/>
      <c r="I367" s="3227"/>
      <c r="J367" s="3227"/>
      <c r="K367" s="3227"/>
      <c r="L367" s="3227"/>
      <c r="M367" s="3227"/>
      <c r="N367" s="3227"/>
      <c r="O367" s="3227"/>
      <c r="P367" s="3227"/>
      <c r="Q367" s="3227"/>
      <c r="R367" s="3227"/>
      <c r="S367" s="3227"/>
      <c r="T367" s="3227"/>
      <c r="U367" s="3227"/>
      <c r="V367" s="3227"/>
      <c r="W367" s="3227"/>
      <c r="X367" s="3227"/>
      <c r="Y367" s="3227"/>
      <c r="Z367" s="3227"/>
      <c r="AA367" s="3227"/>
      <c r="AB367" s="3227"/>
      <c r="AC367" s="3227"/>
      <c r="AD367" s="3227"/>
      <c r="AE367" s="3227"/>
      <c r="AF367" s="3227"/>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7"/>
      <c r="G368" s="3227"/>
      <c r="H368" s="3227"/>
      <c r="I368" s="3227"/>
      <c r="J368" s="3227"/>
      <c r="K368" s="3227"/>
      <c r="L368" s="3227"/>
      <c r="M368" s="3227"/>
      <c r="N368" s="3227"/>
      <c r="O368" s="3227"/>
      <c r="P368" s="3227"/>
      <c r="Q368" s="3227"/>
      <c r="R368" s="3227"/>
      <c r="S368" s="3227"/>
      <c r="T368" s="3227"/>
      <c r="U368" s="3227"/>
      <c r="V368" s="3227"/>
      <c r="W368" s="3227"/>
      <c r="X368" s="3227"/>
      <c r="Y368" s="3227"/>
      <c r="Z368" s="3227"/>
      <c r="AA368" s="3227"/>
      <c r="AB368" s="3227"/>
      <c r="AC368" s="3227"/>
      <c r="AD368" s="3227"/>
      <c r="AE368" s="3227"/>
      <c r="AF368" s="3227"/>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7"/>
      <c r="G369" s="3227"/>
      <c r="H369" s="3227"/>
      <c r="I369" s="3227"/>
      <c r="J369" s="3227"/>
      <c r="K369" s="3227"/>
      <c r="L369" s="3227"/>
      <c r="M369" s="3227"/>
      <c r="N369" s="3227"/>
      <c r="O369" s="3227"/>
      <c r="P369" s="3227"/>
      <c r="Q369" s="3227"/>
      <c r="R369" s="3227"/>
      <c r="S369" s="3227"/>
      <c r="T369" s="3227"/>
      <c r="U369" s="3227"/>
      <c r="V369" s="3227"/>
      <c r="W369" s="3227"/>
      <c r="X369" s="3227"/>
      <c r="Y369" s="3227"/>
      <c r="Z369" s="3227"/>
      <c r="AA369" s="3227"/>
      <c r="AB369" s="3227"/>
      <c r="AC369" s="3227"/>
      <c r="AD369" s="3227"/>
      <c r="AE369" s="3227"/>
      <c r="AF369" s="3227"/>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23" t="s">
        <v>570</v>
      </c>
      <c r="D370" s="3179"/>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24" t="s">
        <v>1666</v>
      </c>
      <c r="AG370" s="3224"/>
      <c r="AH370" s="3224"/>
      <c r="AI370" s="3224"/>
      <c r="AJ370" s="3224"/>
      <c r="AK370" s="3224"/>
      <c r="AL370" s="322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26" t="s">
        <v>1667</v>
      </c>
      <c r="G373" s="3226"/>
      <c r="H373" s="3226"/>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26"/>
      <c r="AD373" s="3226"/>
      <c r="AE373" s="3226"/>
      <c r="AF373" s="3226"/>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7"/>
      <c r="G374" s="3227"/>
      <c r="H374" s="3227"/>
      <c r="I374" s="3227"/>
      <c r="J374" s="3227"/>
      <c r="K374" s="3227"/>
      <c r="L374" s="3227"/>
      <c r="M374" s="3227"/>
      <c r="N374" s="3227"/>
      <c r="O374" s="3227"/>
      <c r="P374" s="3227"/>
      <c r="Q374" s="3227"/>
      <c r="R374" s="3227"/>
      <c r="S374" s="3227"/>
      <c r="T374" s="3227"/>
      <c r="U374" s="3227"/>
      <c r="V374" s="3227"/>
      <c r="W374" s="3227"/>
      <c r="X374" s="3227"/>
      <c r="Y374" s="3227"/>
      <c r="Z374" s="3227"/>
      <c r="AA374" s="3227"/>
      <c r="AB374" s="3227"/>
      <c r="AC374" s="3227"/>
      <c r="AD374" s="3227"/>
      <c r="AE374" s="3227"/>
      <c r="AF374" s="3227"/>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7"/>
      <c r="G375" s="3227"/>
      <c r="H375" s="3227"/>
      <c r="I375" s="3227"/>
      <c r="J375" s="3227"/>
      <c r="K375" s="3227"/>
      <c r="L375" s="3227"/>
      <c r="M375" s="3227"/>
      <c r="N375" s="3227"/>
      <c r="O375" s="3227"/>
      <c r="P375" s="3227"/>
      <c r="Q375" s="3227"/>
      <c r="R375" s="3227"/>
      <c r="S375" s="3227"/>
      <c r="T375" s="3227"/>
      <c r="U375" s="3227"/>
      <c r="V375" s="3227"/>
      <c r="W375" s="3227"/>
      <c r="X375" s="3227"/>
      <c r="Y375" s="3227"/>
      <c r="Z375" s="3227"/>
      <c r="AA375" s="3227"/>
      <c r="AB375" s="3227"/>
      <c r="AC375" s="3227"/>
      <c r="AD375" s="3227"/>
      <c r="AE375" s="3227"/>
      <c r="AF375" s="3227"/>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7"/>
      <c r="G376" s="3227"/>
      <c r="H376" s="3227"/>
      <c r="I376" s="3227"/>
      <c r="J376" s="3227"/>
      <c r="K376" s="3227"/>
      <c r="L376" s="3227"/>
      <c r="M376" s="3227"/>
      <c r="N376" s="3227"/>
      <c r="O376" s="3227"/>
      <c r="P376" s="3227"/>
      <c r="Q376" s="3227"/>
      <c r="R376" s="3227"/>
      <c r="S376" s="3227"/>
      <c r="T376" s="3227"/>
      <c r="U376" s="3227"/>
      <c r="V376" s="3227"/>
      <c r="W376" s="3227"/>
      <c r="X376" s="3227"/>
      <c r="Y376" s="3227"/>
      <c r="Z376" s="3227"/>
      <c r="AA376" s="3227"/>
      <c r="AB376" s="3227"/>
      <c r="AC376" s="3227"/>
      <c r="AD376" s="3227"/>
      <c r="AE376" s="3227"/>
      <c r="AF376" s="3227"/>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7"/>
      <c r="G377" s="3227"/>
      <c r="H377" s="3227"/>
      <c r="I377" s="3227"/>
      <c r="J377" s="3227"/>
      <c r="K377" s="3227"/>
      <c r="L377" s="3227"/>
      <c r="M377" s="3227"/>
      <c r="N377" s="3227"/>
      <c r="O377" s="3227"/>
      <c r="P377" s="3227"/>
      <c r="Q377" s="3227"/>
      <c r="R377" s="3227"/>
      <c r="S377" s="3227"/>
      <c r="T377" s="3227"/>
      <c r="U377" s="3227"/>
      <c r="V377" s="3227"/>
      <c r="W377" s="3227"/>
      <c r="X377" s="3227"/>
      <c r="Y377" s="3227"/>
      <c r="Z377" s="3227"/>
      <c r="AA377" s="3227"/>
      <c r="AB377" s="3227"/>
      <c r="AC377" s="3227"/>
      <c r="AD377" s="3227"/>
      <c r="AE377" s="3227"/>
      <c r="AF377" s="3227"/>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23" t="s">
        <v>617</v>
      </c>
      <c r="D378" s="3179"/>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24" t="s">
        <v>1666</v>
      </c>
      <c r="AG378" s="3224"/>
      <c r="AH378" s="3224"/>
      <c r="AI378" s="3224"/>
      <c r="AJ378" s="3224"/>
      <c r="AK378" s="3224"/>
      <c r="AL378" s="322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26" t="s">
        <v>1669</v>
      </c>
      <c r="G381" s="3226"/>
      <c r="H381" s="3226"/>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26"/>
      <c r="AD381" s="3226"/>
      <c r="AE381" s="3226"/>
      <c r="AF381" s="3226"/>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7"/>
      <c r="G382" s="3227"/>
      <c r="H382" s="3227"/>
      <c r="I382" s="3227"/>
      <c r="J382" s="3227"/>
      <c r="K382" s="3227"/>
      <c r="L382" s="3227"/>
      <c r="M382" s="3227"/>
      <c r="N382" s="3227"/>
      <c r="O382" s="3227"/>
      <c r="P382" s="3227"/>
      <c r="Q382" s="3227"/>
      <c r="R382" s="3227"/>
      <c r="S382" s="3227"/>
      <c r="T382" s="3227"/>
      <c r="U382" s="3227"/>
      <c r="V382" s="3227"/>
      <c r="W382" s="3227"/>
      <c r="X382" s="3227"/>
      <c r="Y382" s="3227"/>
      <c r="Z382" s="3227"/>
      <c r="AA382" s="3227"/>
      <c r="AB382" s="3227"/>
      <c r="AC382" s="3227"/>
      <c r="AD382" s="3227"/>
      <c r="AE382" s="3227"/>
      <c r="AF382" s="3227"/>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7"/>
      <c r="G383" s="3227"/>
      <c r="H383" s="3227"/>
      <c r="I383" s="3227"/>
      <c r="J383" s="3227"/>
      <c r="K383" s="3227"/>
      <c r="L383" s="3227"/>
      <c r="M383" s="3227"/>
      <c r="N383" s="3227"/>
      <c r="O383" s="3227"/>
      <c r="P383" s="3227"/>
      <c r="Q383" s="3227"/>
      <c r="R383" s="3227"/>
      <c r="S383" s="3227"/>
      <c r="T383" s="3227"/>
      <c r="U383" s="3227"/>
      <c r="V383" s="3227"/>
      <c r="W383" s="3227"/>
      <c r="X383" s="3227"/>
      <c r="Y383" s="3227"/>
      <c r="Z383" s="3227"/>
      <c r="AA383" s="3227"/>
      <c r="AB383" s="3227"/>
      <c r="AC383" s="3227"/>
      <c r="AD383" s="3227"/>
      <c r="AE383" s="3227"/>
      <c r="AF383" s="3227"/>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7"/>
      <c r="G384" s="3227"/>
      <c r="H384" s="3227"/>
      <c r="I384" s="3227"/>
      <c r="J384" s="3227"/>
      <c r="K384" s="3227"/>
      <c r="L384" s="3227"/>
      <c r="M384" s="3227"/>
      <c r="N384" s="3227"/>
      <c r="O384" s="3227"/>
      <c r="P384" s="3227"/>
      <c r="Q384" s="3227"/>
      <c r="R384" s="3227"/>
      <c r="S384" s="3227"/>
      <c r="T384" s="3227"/>
      <c r="U384" s="3227"/>
      <c r="V384" s="3227"/>
      <c r="W384" s="3227"/>
      <c r="X384" s="3227"/>
      <c r="Y384" s="3227"/>
      <c r="Z384" s="3227"/>
      <c r="AA384" s="3227"/>
      <c r="AB384" s="3227"/>
      <c r="AC384" s="3227"/>
      <c r="AD384" s="3227"/>
      <c r="AE384" s="3227"/>
      <c r="AF384" s="3227"/>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7"/>
      <c r="G385" s="3227"/>
      <c r="H385" s="3227"/>
      <c r="I385" s="3227"/>
      <c r="J385" s="3227"/>
      <c r="K385" s="3227"/>
      <c r="L385" s="3227"/>
      <c r="M385" s="3227"/>
      <c r="N385" s="3227"/>
      <c r="O385" s="3227"/>
      <c r="P385" s="3227"/>
      <c r="Q385" s="3227"/>
      <c r="R385" s="3227"/>
      <c r="S385" s="3227"/>
      <c r="T385" s="3227"/>
      <c r="U385" s="3227"/>
      <c r="V385" s="3227"/>
      <c r="W385" s="3227"/>
      <c r="X385" s="3227"/>
      <c r="Y385" s="3227"/>
      <c r="Z385" s="3227"/>
      <c r="AA385" s="3227"/>
      <c r="AB385" s="3227"/>
      <c r="AC385" s="3227"/>
      <c r="AD385" s="3227"/>
      <c r="AE385" s="3227"/>
      <c r="AF385" s="3227"/>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23" t="s">
        <v>617</v>
      </c>
      <c r="D386" s="3179"/>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24" t="s">
        <v>1671</v>
      </c>
      <c r="AG386" s="3224"/>
      <c r="AH386" s="3224"/>
      <c r="AI386" s="3224"/>
      <c r="AJ386" s="3224"/>
      <c r="AK386" s="3224"/>
      <c r="AL386" s="322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23" t="s">
        <v>570</v>
      </c>
      <c r="D388" s="3179"/>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24" t="s">
        <v>1666</v>
      </c>
      <c r="AG388" s="3224"/>
      <c r="AH388" s="3224"/>
      <c r="AI388" s="3224"/>
      <c r="AJ388" s="3224"/>
      <c r="AK388" s="3224"/>
      <c r="AL388" s="322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26" t="s">
        <v>1675</v>
      </c>
      <c r="G392" s="3226"/>
      <c r="H392" s="3226"/>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26"/>
      <c r="AD392" s="3226"/>
      <c r="AE392" s="3226"/>
      <c r="AF392" s="3226"/>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7"/>
      <c r="G393" s="3227"/>
      <c r="H393" s="3227"/>
      <c r="I393" s="3227"/>
      <c r="J393" s="3227"/>
      <c r="K393" s="3227"/>
      <c r="L393" s="3227"/>
      <c r="M393" s="3227"/>
      <c r="N393" s="3227"/>
      <c r="O393" s="3227"/>
      <c r="P393" s="3227"/>
      <c r="Q393" s="3227"/>
      <c r="R393" s="3227"/>
      <c r="S393" s="3227"/>
      <c r="T393" s="3227"/>
      <c r="U393" s="3227"/>
      <c r="V393" s="3227"/>
      <c r="W393" s="3227"/>
      <c r="X393" s="3227"/>
      <c r="Y393" s="3227"/>
      <c r="Z393" s="3227"/>
      <c r="AA393" s="3227"/>
      <c r="AB393" s="3227"/>
      <c r="AC393" s="3227"/>
      <c r="AD393" s="3227"/>
      <c r="AE393" s="3227"/>
      <c r="AF393" s="3227"/>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7"/>
      <c r="G394" s="3227"/>
      <c r="H394" s="3227"/>
      <c r="I394" s="3227"/>
      <c r="J394" s="3227"/>
      <c r="K394" s="3227"/>
      <c r="L394" s="3227"/>
      <c r="M394" s="3227"/>
      <c r="N394" s="3227"/>
      <c r="O394" s="3227"/>
      <c r="P394" s="3227"/>
      <c r="Q394" s="3227"/>
      <c r="R394" s="3227"/>
      <c r="S394" s="3227"/>
      <c r="T394" s="3227"/>
      <c r="U394" s="3227"/>
      <c r="V394" s="3227"/>
      <c r="W394" s="3227"/>
      <c r="X394" s="3227"/>
      <c r="Y394" s="3227"/>
      <c r="Z394" s="3227"/>
      <c r="AA394" s="3227"/>
      <c r="AB394" s="3227"/>
      <c r="AC394" s="3227"/>
      <c r="AD394" s="3227"/>
      <c r="AE394" s="3227"/>
      <c r="AF394" s="3227"/>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7"/>
      <c r="G395" s="3227"/>
      <c r="H395" s="3227"/>
      <c r="I395" s="3227"/>
      <c r="J395" s="3227"/>
      <c r="K395" s="3227"/>
      <c r="L395" s="3227"/>
      <c r="M395" s="3227"/>
      <c r="N395" s="3227"/>
      <c r="O395" s="3227"/>
      <c r="P395" s="3227"/>
      <c r="Q395" s="3227"/>
      <c r="R395" s="3227"/>
      <c r="S395" s="3227"/>
      <c r="T395" s="3227"/>
      <c r="U395" s="3227"/>
      <c r="V395" s="3227"/>
      <c r="W395" s="3227"/>
      <c r="X395" s="3227"/>
      <c r="Y395" s="3227"/>
      <c r="Z395" s="3227"/>
      <c r="AA395" s="3227"/>
      <c r="AB395" s="3227"/>
      <c r="AC395" s="3227"/>
      <c r="AD395" s="3227"/>
      <c r="AE395" s="3227"/>
      <c r="AF395" s="3227"/>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23" t="s">
        <v>617</v>
      </c>
      <c r="D396" s="3179"/>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24" t="s">
        <v>1666</v>
      </c>
      <c r="AG396" s="3224"/>
      <c r="AH396" s="3224"/>
      <c r="AI396" s="3224"/>
      <c r="AJ396" s="3224"/>
      <c r="AK396" s="3224"/>
      <c r="AL396" s="322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23" t="s">
        <v>617</v>
      </c>
      <c r="D398" s="3179"/>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24" t="s">
        <v>1678</v>
      </c>
      <c r="AG398" s="3224"/>
      <c r="AH398" s="3224"/>
      <c r="AI398" s="3224"/>
      <c r="AJ398" s="3224"/>
      <c r="AK398" s="3224"/>
      <c r="AL398" s="322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23" t="s">
        <v>617</v>
      </c>
      <c r="D401" s="3179"/>
      <c r="E401" s="1164" t="s">
        <v>1679</v>
      </c>
      <c r="F401" s="3226" t="s">
        <v>1680</v>
      </c>
      <c r="G401" s="3226"/>
      <c r="H401" s="3226"/>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26"/>
      <c r="AD401" s="3226"/>
      <c r="AE401" s="3226"/>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7"/>
      <c r="G402" s="3227"/>
      <c r="H402" s="3227"/>
      <c r="I402" s="3227"/>
      <c r="J402" s="3227"/>
      <c r="K402" s="3227"/>
      <c r="L402" s="3227"/>
      <c r="M402" s="3227"/>
      <c r="N402" s="3227"/>
      <c r="O402" s="3227"/>
      <c r="P402" s="3227"/>
      <c r="Q402" s="3227"/>
      <c r="R402" s="3227"/>
      <c r="S402" s="3227"/>
      <c r="T402" s="3227"/>
      <c r="U402" s="3227"/>
      <c r="V402" s="3227"/>
      <c r="W402" s="3227"/>
      <c r="X402" s="3227"/>
      <c r="Y402" s="3227"/>
      <c r="Z402" s="3227"/>
      <c r="AA402" s="3227"/>
      <c r="AB402" s="3227"/>
      <c r="AC402" s="3227"/>
      <c r="AD402" s="3227"/>
      <c r="AE402" s="3227"/>
      <c r="AF402" s="3228" t="s">
        <v>1666</v>
      </c>
      <c r="AG402" s="3228"/>
      <c r="AH402" s="3228"/>
      <c r="AI402" s="3228"/>
      <c r="AJ402" s="3228"/>
      <c r="AK402" s="3228"/>
      <c r="AL402" s="3229"/>
      <c r="AM402" s="1124"/>
      <c r="AN402" s="990"/>
      <c r="BS402" s="1124"/>
      <c r="BT402" s="1124"/>
      <c r="BY402" s="1124"/>
      <c r="BZ402" s="1124"/>
      <c r="CA402" s="1124"/>
      <c r="CB402" s="1124"/>
      <c r="CC402" s="1124"/>
    </row>
    <row r="403" spans="1:81" s="933" customFormat="1" ht="12.75" customHeight="1">
      <c r="A403" s="917"/>
      <c r="B403" s="51"/>
      <c r="C403" s="1182"/>
      <c r="D403" s="112"/>
      <c r="E403" s="1136"/>
      <c r="F403" s="3227"/>
      <c r="G403" s="3227"/>
      <c r="H403" s="3227"/>
      <c r="I403" s="3227"/>
      <c r="J403" s="3227"/>
      <c r="K403" s="3227"/>
      <c r="L403" s="3227"/>
      <c r="M403" s="3227"/>
      <c r="N403" s="3227"/>
      <c r="O403" s="3227"/>
      <c r="P403" s="3227"/>
      <c r="Q403" s="3227"/>
      <c r="R403" s="3227"/>
      <c r="S403" s="3227"/>
      <c r="T403" s="3227"/>
      <c r="U403" s="3227"/>
      <c r="V403" s="3227"/>
      <c r="W403" s="3227"/>
      <c r="X403" s="3227"/>
      <c r="Y403" s="3227"/>
      <c r="Z403" s="3227"/>
      <c r="AA403" s="3227"/>
      <c r="AB403" s="3227"/>
      <c r="AC403" s="3227"/>
      <c r="AD403" s="3227"/>
      <c r="AE403" s="3227"/>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43"/>
      <c r="G404" s="3243"/>
      <c r="H404" s="3243"/>
      <c r="I404" s="3243"/>
      <c r="J404" s="3243"/>
      <c r="K404" s="3243"/>
      <c r="L404" s="3243"/>
      <c r="M404" s="3243"/>
      <c r="N404" s="3243"/>
      <c r="O404" s="3243"/>
      <c r="P404" s="3243"/>
      <c r="Q404" s="3243"/>
      <c r="R404" s="3243"/>
      <c r="S404" s="3243"/>
      <c r="T404" s="3243"/>
      <c r="U404" s="3243"/>
      <c r="V404" s="3243"/>
      <c r="W404" s="3243"/>
      <c r="X404" s="3243"/>
      <c r="Y404" s="3243"/>
      <c r="Z404" s="3243"/>
      <c r="AA404" s="3243"/>
      <c r="AB404" s="3243"/>
      <c r="AC404" s="3243"/>
      <c r="AD404" s="3243"/>
      <c r="AE404" s="3243"/>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44" t="s">
        <v>1682</v>
      </c>
      <c r="G406" s="3244"/>
      <c r="H406" s="3244"/>
      <c r="I406" s="3244"/>
      <c r="J406" s="3244"/>
      <c r="K406" s="3244"/>
      <c r="L406" s="3244"/>
      <c r="M406" s="3244"/>
      <c r="N406" s="3244"/>
      <c r="O406" s="3244"/>
      <c r="P406" s="3244"/>
      <c r="Q406" s="3244"/>
      <c r="R406" s="3244"/>
      <c r="S406" s="3244"/>
      <c r="T406" s="3244"/>
      <c r="U406" s="3244"/>
      <c r="V406" s="3244"/>
      <c r="W406" s="3244"/>
      <c r="X406" s="3244"/>
      <c r="Y406" s="3244"/>
      <c r="Z406" s="3244"/>
      <c r="AA406" s="3244"/>
      <c r="AB406" s="3244"/>
      <c r="AC406" s="3244"/>
      <c r="AD406" s="3244"/>
      <c r="AE406" s="3244"/>
      <c r="AF406" s="1201"/>
      <c r="AG406" s="1201"/>
      <c r="AH406" s="1201"/>
      <c r="AI406" s="1201"/>
      <c r="AJ406" s="1201"/>
      <c r="AK406" s="1201"/>
      <c r="AL406" s="1202"/>
      <c r="AM406" s="1124"/>
    </row>
    <row r="407" spans="1:81">
      <c r="A407" s="917"/>
      <c r="C407" s="1182"/>
      <c r="D407" s="112"/>
      <c r="E407" s="1136"/>
      <c r="F407" s="3245"/>
      <c r="G407" s="3245"/>
      <c r="H407" s="3245"/>
      <c r="I407" s="3245"/>
      <c r="J407" s="3245"/>
      <c r="K407" s="3245"/>
      <c r="L407" s="3245"/>
      <c r="M407" s="3245"/>
      <c r="N407" s="3245"/>
      <c r="O407" s="3245"/>
      <c r="P407" s="3245"/>
      <c r="Q407" s="3245"/>
      <c r="R407" s="3245"/>
      <c r="S407" s="3245"/>
      <c r="T407" s="3245"/>
      <c r="U407" s="3245"/>
      <c r="V407" s="3245"/>
      <c r="W407" s="3245"/>
      <c r="X407" s="3245"/>
      <c r="Y407" s="3245"/>
      <c r="Z407" s="3245"/>
      <c r="AA407" s="3245"/>
      <c r="AB407" s="3245"/>
      <c r="AC407" s="3245"/>
      <c r="AD407" s="3245"/>
      <c r="AE407" s="3245"/>
      <c r="AF407" s="1203"/>
      <c r="AG407" s="981"/>
      <c r="AH407" s="1015"/>
      <c r="AI407" s="1015"/>
      <c r="AJ407" s="1015"/>
      <c r="AK407" s="1015"/>
      <c r="AL407" s="1183"/>
      <c r="AM407" s="1124"/>
    </row>
    <row r="408" spans="1:81" s="933" customFormat="1" ht="12.75" customHeight="1">
      <c r="A408" s="917"/>
      <c r="B408" s="51"/>
      <c r="C408" s="1182"/>
      <c r="D408" s="112"/>
      <c r="E408" s="1136"/>
      <c r="F408" s="3245"/>
      <c r="G408" s="3245"/>
      <c r="H408" s="3245"/>
      <c r="I408" s="3245"/>
      <c r="J408" s="3245"/>
      <c r="K408" s="3245"/>
      <c r="L408" s="3245"/>
      <c r="M408" s="3245"/>
      <c r="N408" s="3245"/>
      <c r="O408" s="3245"/>
      <c r="P408" s="3245"/>
      <c r="Q408" s="3245"/>
      <c r="R408" s="3245"/>
      <c r="S408" s="3245"/>
      <c r="T408" s="3245"/>
      <c r="U408" s="3245"/>
      <c r="V408" s="3245"/>
      <c r="W408" s="3245"/>
      <c r="X408" s="3245"/>
      <c r="Y408" s="3245"/>
      <c r="Z408" s="3245"/>
      <c r="AA408" s="3245"/>
      <c r="AB408" s="3245"/>
      <c r="AC408" s="3245"/>
      <c r="AD408" s="3245"/>
      <c r="AE408" s="3245"/>
      <c r="AF408" s="1015"/>
      <c r="AG408" s="1015"/>
      <c r="AH408" s="1015"/>
      <c r="AI408" s="1015"/>
      <c r="AJ408" s="1015"/>
      <c r="AK408" s="1015"/>
      <c r="AL408" s="1183"/>
      <c r="AM408" s="1124"/>
      <c r="AN408" s="990"/>
    </row>
    <row r="409" spans="1:81" s="933" customFormat="1" ht="12.75" customHeight="1">
      <c r="A409" s="917"/>
      <c r="B409" s="51"/>
      <c r="C409" s="1191"/>
      <c r="D409" s="1015"/>
      <c r="E409" s="1015"/>
      <c r="F409" s="3245"/>
      <c r="G409" s="3245"/>
      <c r="H409" s="3245"/>
      <c r="I409" s="3245"/>
      <c r="J409" s="3245"/>
      <c r="K409" s="3245"/>
      <c r="L409" s="3245"/>
      <c r="M409" s="3245"/>
      <c r="N409" s="3245"/>
      <c r="O409" s="3245"/>
      <c r="P409" s="3245"/>
      <c r="Q409" s="3245"/>
      <c r="R409" s="3245"/>
      <c r="S409" s="3245"/>
      <c r="T409" s="3245"/>
      <c r="U409" s="3245"/>
      <c r="V409" s="3245"/>
      <c r="W409" s="3245"/>
      <c r="X409" s="3245"/>
      <c r="Y409" s="3245"/>
      <c r="Z409" s="3245"/>
      <c r="AA409" s="3245"/>
      <c r="AB409" s="3245"/>
      <c r="AC409" s="3245"/>
      <c r="AD409" s="3245"/>
      <c r="AE409" s="3245"/>
      <c r="AF409" s="1015"/>
      <c r="AG409" s="1015"/>
      <c r="AH409" s="1015"/>
      <c r="AI409" s="1015"/>
      <c r="AJ409" s="1015"/>
      <c r="AK409" s="1015"/>
      <c r="AL409" s="1183"/>
      <c r="AM409" s="1124"/>
      <c r="AN409" s="990"/>
    </row>
    <row r="410" spans="1:81" s="933" customFormat="1" ht="12.75" customHeight="1">
      <c r="A410" s="917"/>
      <c r="B410" s="51"/>
      <c r="C410" s="3223" t="s">
        <v>617</v>
      </c>
      <c r="D410" s="3179"/>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8" t="s">
        <v>1666</v>
      </c>
      <c r="AG410" s="3228"/>
      <c r="AH410" s="3228"/>
      <c r="AI410" s="3228"/>
      <c r="AJ410" s="3228"/>
      <c r="AK410" s="3228"/>
      <c r="AL410" s="3229"/>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23" t="s">
        <v>617</v>
      </c>
      <c r="D412" s="3179"/>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8" t="s">
        <v>1678</v>
      </c>
      <c r="AG412" s="3228"/>
      <c r="AH412" s="3228"/>
      <c r="AI412" s="3228"/>
      <c r="AJ412" s="3228"/>
      <c r="AK412" s="3228"/>
      <c r="AL412" s="3229"/>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26" t="s">
        <v>1687</v>
      </c>
      <c r="G416" s="3226"/>
      <c r="H416" s="3226"/>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26"/>
      <c r="AD416" s="3226"/>
      <c r="AE416" s="3226"/>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7"/>
      <c r="G417" s="3227"/>
      <c r="H417" s="3227"/>
      <c r="I417" s="3227"/>
      <c r="J417" s="3227"/>
      <c r="K417" s="3227"/>
      <c r="L417" s="3227"/>
      <c r="M417" s="3227"/>
      <c r="N417" s="3227"/>
      <c r="O417" s="3227"/>
      <c r="P417" s="3227"/>
      <c r="Q417" s="3227"/>
      <c r="R417" s="3227"/>
      <c r="S417" s="3227"/>
      <c r="T417" s="3227"/>
      <c r="U417" s="3227"/>
      <c r="V417" s="3227"/>
      <c r="W417" s="3227"/>
      <c r="X417" s="3227"/>
      <c r="Y417" s="3227"/>
      <c r="Z417" s="3227"/>
      <c r="AA417" s="3227"/>
      <c r="AB417" s="3227"/>
      <c r="AC417" s="3227"/>
      <c r="AD417" s="3227"/>
      <c r="AE417" s="3227"/>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27"/>
      <c r="G418" s="3227"/>
      <c r="H418" s="3227"/>
      <c r="I418" s="3227"/>
      <c r="J418" s="3227"/>
      <c r="K418" s="3227"/>
      <c r="L418" s="3227"/>
      <c r="M418" s="3227"/>
      <c r="N418" s="3227"/>
      <c r="O418" s="3227"/>
      <c r="P418" s="3227"/>
      <c r="Q418" s="3227"/>
      <c r="R418" s="3227"/>
      <c r="S418" s="3227"/>
      <c r="T418" s="3227"/>
      <c r="U418" s="3227"/>
      <c r="V418" s="3227"/>
      <c r="W418" s="3227"/>
      <c r="X418" s="3227"/>
      <c r="Y418" s="3227"/>
      <c r="Z418" s="3227"/>
      <c r="AA418" s="3227"/>
      <c r="AB418" s="3227"/>
      <c r="AC418" s="3227"/>
      <c r="AD418" s="3227"/>
      <c r="AE418" s="3227"/>
      <c r="AF418" s="1015"/>
      <c r="AG418" s="1015"/>
      <c r="AH418" s="1015"/>
      <c r="AI418" s="1015"/>
      <c r="AJ418" s="1015"/>
      <c r="AK418" s="1015"/>
      <c r="AL418" s="1183"/>
      <c r="AM418" s="1124"/>
      <c r="AN418" s="990"/>
      <c r="AO418" s="1015"/>
      <c r="AP418" s="1015"/>
    </row>
    <row r="419" spans="1:60" s="933" customFormat="1" ht="12.75" customHeight="1">
      <c r="A419" s="917"/>
      <c r="B419" s="51"/>
      <c r="C419" s="3223" t="s">
        <v>570</v>
      </c>
      <c r="D419" s="3179"/>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8" t="s">
        <v>1666</v>
      </c>
      <c r="AG419" s="3228"/>
      <c r="AH419" s="3228"/>
      <c r="AI419" s="3228"/>
      <c r="AJ419" s="3228"/>
      <c r="AK419" s="3228"/>
      <c r="AL419" s="3229"/>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26" t="s">
        <v>1690</v>
      </c>
      <c r="G422" s="3226"/>
      <c r="H422" s="3226"/>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26"/>
      <c r="AD422" s="3226"/>
      <c r="AE422" s="3226"/>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7"/>
      <c r="G423" s="3227"/>
      <c r="H423" s="3227"/>
      <c r="I423" s="3227"/>
      <c r="J423" s="3227"/>
      <c r="K423" s="3227"/>
      <c r="L423" s="3227"/>
      <c r="M423" s="3227"/>
      <c r="N423" s="3227"/>
      <c r="O423" s="3227"/>
      <c r="P423" s="3227"/>
      <c r="Q423" s="3227"/>
      <c r="R423" s="3227"/>
      <c r="S423" s="3227"/>
      <c r="T423" s="3227"/>
      <c r="U423" s="3227"/>
      <c r="V423" s="3227"/>
      <c r="W423" s="3227"/>
      <c r="X423" s="3227"/>
      <c r="Y423" s="3227"/>
      <c r="Z423" s="3227"/>
      <c r="AA423" s="3227"/>
      <c r="AB423" s="3227"/>
      <c r="AC423" s="3227"/>
      <c r="AD423" s="3227"/>
      <c r="AE423" s="3227"/>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7"/>
      <c r="G424" s="3227"/>
      <c r="H424" s="3227"/>
      <c r="I424" s="3227"/>
      <c r="J424" s="3227"/>
      <c r="K424" s="3227"/>
      <c r="L424" s="3227"/>
      <c r="M424" s="3227"/>
      <c r="N424" s="3227"/>
      <c r="O424" s="3227"/>
      <c r="P424" s="3227"/>
      <c r="Q424" s="3227"/>
      <c r="R424" s="3227"/>
      <c r="S424" s="3227"/>
      <c r="T424" s="3227"/>
      <c r="U424" s="3227"/>
      <c r="V424" s="3227"/>
      <c r="W424" s="3227"/>
      <c r="X424" s="3227"/>
      <c r="Y424" s="3227"/>
      <c r="Z424" s="3227"/>
      <c r="AA424" s="3227"/>
      <c r="AB424" s="3227"/>
      <c r="AC424" s="3227"/>
      <c r="AD424" s="3227"/>
      <c r="AE424" s="3227"/>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7"/>
      <c r="G425" s="3227"/>
      <c r="H425" s="3227"/>
      <c r="I425" s="3227"/>
      <c r="J425" s="3227"/>
      <c r="K425" s="3227"/>
      <c r="L425" s="3227"/>
      <c r="M425" s="3227"/>
      <c r="N425" s="3227"/>
      <c r="O425" s="3227"/>
      <c r="P425" s="3227"/>
      <c r="Q425" s="3227"/>
      <c r="R425" s="3227"/>
      <c r="S425" s="3227"/>
      <c r="T425" s="3227"/>
      <c r="U425" s="3227"/>
      <c r="V425" s="3227"/>
      <c r="W425" s="3227"/>
      <c r="X425" s="3227"/>
      <c r="Y425" s="3227"/>
      <c r="Z425" s="3227"/>
      <c r="AA425" s="3227"/>
      <c r="AB425" s="3227"/>
      <c r="AC425" s="3227"/>
      <c r="AD425" s="3227"/>
      <c r="AE425" s="3227"/>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7"/>
      <c r="G426" s="3227"/>
      <c r="H426" s="3227"/>
      <c r="I426" s="3227"/>
      <c r="J426" s="3227"/>
      <c r="K426" s="3227"/>
      <c r="L426" s="3227"/>
      <c r="M426" s="3227"/>
      <c r="N426" s="3227"/>
      <c r="O426" s="3227"/>
      <c r="P426" s="3227"/>
      <c r="Q426" s="3227"/>
      <c r="R426" s="3227"/>
      <c r="S426" s="3227"/>
      <c r="T426" s="3227"/>
      <c r="U426" s="3227"/>
      <c r="V426" s="3227"/>
      <c r="W426" s="3227"/>
      <c r="X426" s="3227"/>
      <c r="Y426" s="3227"/>
      <c r="Z426" s="3227"/>
      <c r="AA426" s="3227"/>
      <c r="AB426" s="3227"/>
      <c r="AC426" s="3227"/>
      <c r="AD426" s="3227"/>
      <c r="AE426" s="3227"/>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7"/>
      <c r="G427" s="3227"/>
      <c r="H427" s="3227"/>
      <c r="I427" s="3227"/>
      <c r="J427" s="3227"/>
      <c r="K427" s="3227"/>
      <c r="L427" s="3227"/>
      <c r="M427" s="3227"/>
      <c r="N427" s="3227"/>
      <c r="O427" s="3227"/>
      <c r="P427" s="3227"/>
      <c r="Q427" s="3227"/>
      <c r="R427" s="3227"/>
      <c r="S427" s="3227"/>
      <c r="T427" s="3227"/>
      <c r="U427" s="3227"/>
      <c r="V427" s="3227"/>
      <c r="W427" s="3227"/>
      <c r="X427" s="3227"/>
      <c r="Y427" s="3227"/>
      <c r="Z427" s="3227"/>
      <c r="AA427" s="3227"/>
      <c r="AB427" s="3227"/>
      <c r="AC427" s="3227"/>
      <c r="AD427" s="3227"/>
      <c r="AE427" s="3227"/>
      <c r="AF427" s="1214"/>
      <c r="AG427" s="1214"/>
      <c r="AH427" s="1214"/>
      <c r="AI427" s="1214"/>
      <c r="AJ427" s="1214"/>
      <c r="AK427" s="1214"/>
      <c r="AL427" s="1215"/>
      <c r="AM427" s="1124"/>
      <c r="AN427" s="990"/>
    </row>
    <row r="428" spans="1:60" s="933" customFormat="1" ht="12.75" customHeight="1">
      <c r="A428" s="917"/>
      <c r="B428" s="51"/>
      <c r="C428" s="1216"/>
      <c r="D428" s="1181"/>
      <c r="E428" s="1168"/>
      <c r="F428" s="3227"/>
      <c r="G428" s="3227"/>
      <c r="H428" s="3227"/>
      <c r="I428" s="3227"/>
      <c r="J428" s="3227"/>
      <c r="K428" s="3227"/>
      <c r="L428" s="3227"/>
      <c r="M428" s="3227"/>
      <c r="N428" s="3227"/>
      <c r="O428" s="3227"/>
      <c r="P428" s="3227"/>
      <c r="Q428" s="3227"/>
      <c r="R428" s="3227"/>
      <c r="S428" s="3227"/>
      <c r="T428" s="3227"/>
      <c r="U428" s="3227"/>
      <c r="V428" s="3227"/>
      <c r="W428" s="3227"/>
      <c r="X428" s="3227"/>
      <c r="Y428" s="3227"/>
      <c r="Z428" s="3227"/>
      <c r="AA428" s="3227"/>
      <c r="AB428" s="3227"/>
      <c r="AC428" s="3227"/>
      <c r="AD428" s="3227"/>
      <c r="AE428" s="3227"/>
      <c r="AF428" s="1214"/>
      <c r="AG428" s="1214"/>
      <c r="AH428" s="1214"/>
      <c r="AI428" s="1214"/>
      <c r="AJ428" s="1214"/>
      <c r="AK428" s="1214"/>
      <c r="AL428" s="1215"/>
      <c r="AM428" s="1124"/>
      <c r="AN428" s="990"/>
    </row>
    <row r="429" spans="1:60" s="933" customFormat="1" ht="12.75" customHeight="1">
      <c r="A429" s="917"/>
      <c r="B429" s="51"/>
      <c r="C429" s="1216"/>
      <c r="D429" s="1181"/>
      <c r="E429" s="1168"/>
      <c r="F429" s="3227"/>
      <c r="G429" s="3227"/>
      <c r="H429" s="3227"/>
      <c r="I429" s="3227"/>
      <c r="J429" s="3227"/>
      <c r="K429" s="3227"/>
      <c r="L429" s="3227"/>
      <c r="M429" s="3227"/>
      <c r="N429" s="3227"/>
      <c r="O429" s="3227"/>
      <c r="P429" s="3227"/>
      <c r="Q429" s="3227"/>
      <c r="R429" s="3227"/>
      <c r="S429" s="3227"/>
      <c r="T429" s="3227"/>
      <c r="U429" s="3227"/>
      <c r="V429" s="3227"/>
      <c r="W429" s="3227"/>
      <c r="X429" s="3227"/>
      <c r="Y429" s="3227"/>
      <c r="Z429" s="3227"/>
      <c r="AA429" s="3227"/>
      <c r="AB429" s="3227"/>
      <c r="AC429" s="3227"/>
      <c r="AD429" s="3227"/>
      <c r="AE429" s="3227"/>
      <c r="AF429" s="1214"/>
      <c r="AG429" s="1214"/>
      <c r="AH429" s="1214"/>
      <c r="AI429" s="1214"/>
      <c r="AJ429" s="1214"/>
      <c r="AK429" s="1214"/>
      <c r="AL429" s="1215"/>
      <c r="AM429" s="1124"/>
      <c r="AN429" s="990"/>
    </row>
    <row r="430" spans="1:60" s="933" customFormat="1" ht="17.25" customHeight="1">
      <c r="A430" s="917"/>
      <c r="B430" s="51"/>
      <c r="C430" s="1216"/>
      <c r="D430" s="1181"/>
      <c r="E430" s="1168"/>
      <c r="F430" s="3227"/>
      <c r="G430" s="3227"/>
      <c r="H430" s="3227"/>
      <c r="I430" s="3227"/>
      <c r="J430" s="3227"/>
      <c r="K430" s="3227"/>
      <c r="L430" s="3227"/>
      <c r="M430" s="3227"/>
      <c r="N430" s="3227"/>
      <c r="O430" s="3227"/>
      <c r="P430" s="3227"/>
      <c r="Q430" s="3227"/>
      <c r="R430" s="3227"/>
      <c r="S430" s="3227"/>
      <c r="T430" s="3227"/>
      <c r="U430" s="3227"/>
      <c r="V430" s="3227"/>
      <c r="W430" s="3227"/>
      <c r="X430" s="3227"/>
      <c r="Y430" s="3227"/>
      <c r="Z430" s="3227"/>
      <c r="AA430" s="3227"/>
      <c r="AB430" s="3227"/>
      <c r="AC430" s="3227"/>
      <c r="AD430" s="3227"/>
      <c r="AE430" s="3227"/>
      <c r="AF430" s="1015"/>
      <c r="AG430" s="1015"/>
      <c r="AH430" s="1015"/>
      <c r="AI430" s="1015"/>
      <c r="AJ430" s="1015"/>
      <c r="AK430" s="1015"/>
      <c r="AL430" s="1183"/>
      <c r="AM430" s="1124"/>
      <c r="AN430" s="990"/>
    </row>
    <row r="431" spans="1:60" s="933" customFormat="1" ht="12.75" customHeight="1">
      <c r="A431" s="917"/>
      <c r="B431" s="51"/>
      <c r="C431" s="3223" t="s">
        <v>570</v>
      </c>
      <c r="D431" s="3179"/>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8" t="s">
        <v>1666</v>
      </c>
      <c r="AG431" s="3228"/>
      <c r="AH431" s="3228"/>
      <c r="AI431" s="3228"/>
      <c r="AJ431" s="3228"/>
      <c r="AK431" s="3228"/>
      <c r="AL431" s="3229"/>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26" t="s">
        <v>1693</v>
      </c>
      <c r="G434" s="3226"/>
      <c r="H434" s="3226"/>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26"/>
      <c r="AD434" s="3226"/>
      <c r="AE434" s="3226"/>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7"/>
      <c r="G435" s="3227"/>
      <c r="H435" s="3227"/>
      <c r="I435" s="3227"/>
      <c r="J435" s="3227"/>
      <c r="K435" s="3227"/>
      <c r="L435" s="3227"/>
      <c r="M435" s="3227"/>
      <c r="N435" s="3227"/>
      <c r="O435" s="3227"/>
      <c r="P435" s="3227"/>
      <c r="Q435" s="3227"/>
      <c r="R435" s="3227"/>
      <c r="S435" s="3227"/>
      <c r="T435" s="3227"/>
      <c r="U435" s="3227"/>
      <c r="V435" s="3227"/>
      <c r="W435" s="3227"/>
      <c r="X435" s="3227"/>
      <c r="Y435" s="3227"/>
      <c r="Z435" s="3227"/>
      <c r="AA435" s="3227"/>
      <c r="AB435" s="3227"/>
      <c r="AC435" s="3227"/>
      <c r="AD435" s="3227"/>
      <c r="AE435" s="3227"/>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27"/>
      <c r="G436" s="3227"/>
      <c r="H436" s="3227"/>
      <c r="I436" s="3227"/>
      <c r="J436" s="3227"/>
      <c r="K436" s="3227"/>
      <c r="L436" s="3227"/>
      <c r="M436" s="3227"/>
      <c r="N436" s="3227"/>
      <c r="O436" s="3227"/>
      <c r="P436" s="3227"/>
      <c r="Q436" s="3227"/>
      <c r="R436" s="3227"/>
      <c r="S436" s="3227"/>
      <c r="T436" s="3227"/>
      <c r="U436" s="3227"/>
      <c r="V436" s="3227"/>
      <c r="W436" s="3227"/>
      <c r="X436" s="3227"/>
      <c r="Y436" s="3227"/>
      <c r="Z436" s="3227"/>
      <c r="AA436" s="3227"/>
      <c r="AB436" s="3227"/>
      <c r="AC436" s="3227"/>
      <c r="AD436" s="3227"/>
      <c r="AE436" s="3227"/>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27"/>
      <c r="G437" s="3227"/>
      <c r="H437" s="3227"/>
      <c r="I437" s="3227"/>
      <c r="J437" s="3227"/>
      <c r="K437" s="3227"/>
      <c r="L437" s="3227"/>
      <c r="M437" s="3227"/>
      <c r="N437" s="3227"/>
      <c r="O437" s="3227"/>
      <c r="P437" s="3227"/>
      <c r="Q437" s="3227"/>
      <c r="R437" s="3227"/>
      <c r="S437" s="3227"/>
      <c r="T437" s="3227"/>
      <c r="U437" s="3227"/>
      <c r="V437" s="3227"/>
      <c r="W437" s="3227"/>
      <c r="X437" s="3227"/>
      <c r="Y437" s="3227"/>
      <c r="Z437" s="3227"/>
      <c r="AA437" s="3227"/>
      <c r="AB437" s="3227"/>
      <c r="AC437" s="3227"/>
      <c r="AD437" s="3227"/>
      <c r="AE437" s="3227"/>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23" t="s">
        <v>617</v>
      </c>
      <c r="D438" s="3179"/>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8" t="s">
        <v>1666</v>
      </c>
      <c r="AG438" s="3228"/>
      <c r="AH438" s="3228"/>
      <c r="AI438" s="3228"/>
      <c r="AJ438" s="3228"/>
      <c r="AK438" s="3228"/>
      <c r="AL438" s="3229"/>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30" t="s">
        <v>617</v>
      </c>
      <c r="D442" s="3231"/>
      <c r="E442" s="1164" t="s">
        <v>1702</v>
      </c>
      <c r="F442" s="3226" t="s">
        <v>1703</v>
      </c>
      <c r="G442" s="3226"/>
      <c r="H442" s="3226"/>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26"/>
      <c r="AD442" s="3226"/>
      <c r="AE442" s="3226"/>
      <c r="AF442" s="3246" t="s">
        <v>1666</v>
      </c>
      <c r="AG442" s="3246"/>
      <c r="AH442" s="3246"/>
      <c r="AI442" s="3246"/>
      <c r="AJ442" s="3246"/>
      <c r="AK442" s="3246"/>
      <c r="AL442" s="3247"/>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7"/>
      <c r="G443" s="3227"/>
      <c r="H443" s="3227"/>
      <c r="I443" s="3227"/>
      <c r="J443" s="3227"/>
      <c r="K443" s="3227"/>
      <c r="L443" s="3227"/>
      <c r="M443" s="3227"/>
      <c r="N443" s="3227"/>
      <c r="O443" s="3227"/>
      <c r="P443" s="3227"/>
      <c r="Q443" s="3227"/>
      <c r="R443" s="3227"/>
      <c r="S443" s="3227"/>
      <c r="T443" s="3227"/>
      <c r="U443" s="3227"/>
      <c r="V443" s="3227"/>
      <c r="W443" s="3227"/>
      <c r="X443" s="3227"/>
      <c r="Y443" s="3227"/>
      <c r="Z443" s="3227"/>
      <c r="AA443" s="3227"/>
      <c r="AB443" s="3227"/>
      <c r="AC443" s="3227"/>
      <c r="AD443" s="3227"/>
      <c r="AE443" s="3227"/>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43"/>
      <c r="G444" s="3243"/>
      <c r="H444" s="3243"/>
      <c r="I444" s="3243"/>
      <c r="J444" s="3243"/>
      <c r="K444" s="3243"/>
      <c r="L444" s="3243"/>
      <c r="M444" s="3243"/>
      <c r="N444" s="3243"/>
      <c r="O444" s="3243"/>
      <c r="P444" s="3243"/>
      <c r="Q444" s="3243"/>
      <c r="R444" s="3243"/>
      <c r="S444" s="3243"/>
      <c r="T444" s="3243"/>
      <c r="U444" s="3243"/>
      <c r="V444" s="3243"/>
      <c r="W444" s="3243"/>
      <c r="X444" s="3243"/>
      <c r="Y444" s="3243"/>
      <c r="Z444" s="3243"/>
      <c r="AA444" s="3243"/>
      <c r="AB444" s="3243"/>
      <c r="AC444" s="3243"/>
      <c r="AD444" s="3243"/>
      <c r="AE444" s="3243"/>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23" t="s">
        <v>617</v>
      </c>
      <c r="D446" s="3179"/>
      <c r="E446" s="1164" t="s">
        <v>1708</v>
      </c>
      <c r="F446" s="3226" t="s">
        <v>1709</v>
      </c>
      <c r="G446" s="3226"/>
      <c r="H446" s="3226"/>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26"/>
      <c r="AD446" s="3226"/>
      <c r="AE446" s="3226"/>
      <c r="AF446" s="3246" t="s">
        <v>1666</v>
      </c>
      <c r="AG446" s="3246"/>
      <c r="AH446" s="3246"/>
      <c r="AI446" s="3246"/>
      <c r="AJ446" s="3246"/>
      <c r="AK446" s="3246"/>
      <c r="AL446" s="3247"/>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27"/>
      <c r="G447" s="3227"/>
      <c r="H447" s="3227"/>
      <c r="I447" s="3227"/>
      <c r="J447" s="3227"/>
      <c r="K447" s="3227"/>
      <c r="L447" s="3227"/>
      <c r="M447" s="3227"/>
      <c r="N447" s="3227"/>
      <c r="O447" s="3227"/>
      <c r="P447" s="3227"/>
      <c r="Q447" s="3227"/>
      <c r="R447" s="3227"/>
      <c r="S447" s="3227"/>
      <c r="T447" s="3227"/>
      <c r="U447" s="3227"/>
      <c r="V447" s="3227"/>
      <c r="W447" s="3227"/>
      <c r="X447" s="3227"/>
      <c r="Y447" s="3227"/>
      <c r="Z447" s="3227"/>
      <c r="AA447" s="3227"/>
      <c r="AB447" s="3227"/>
      <c r="AC447" s="3227"/>
      <c r="AD447" s="3227"/>
      <c r="AE447" s="3227"/>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7"/>
      <c r="G448" s="3227"/>
      <c r="H448" s="3227"/>
      <c r="I448" s="3227"/>
      <c r="J448" s="3227"/>
      <c r="K448" s="3227"/>
      <c r="L448" s="3227"/>
      <c r="M448" s="3227"/>
      <c r="N448" s="3227"/>
      <c r="O448" s="3227"/>
      <c r="P448" s="3227"/>
      <c r="Q448" s="3227"/>
      <c r="R448" s="3227"/>
      <c r="S448" s="3227"/>
      <c r="T448" s="3227"/>
      <c r="U448" s="3227"/>
      <c r="V448" s="3227"/>
      <c r="W448" s="3227"/>
      <c r="X448" s="3227"/>
      <c r="Y448" s="3227"/>
      <c r="Z448" s="3227"/>
      <c r="AA448" s="3227"/>
      <c r="AB448" s="3227"/>
      <c r="AC448" s="3227"/>
      <c r="AD448" s="3227"/>
      <c r="AE448" s="3227"/>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43"/>
      <c r="G449" s="3243"/>
      <c r="H449" s="3243"/>
      <c r="I449" s="3243"/>
      <c r="J449" s="3243"/>
      <c r="K449" s="3243"/>
      <c r="L449" s="3243"/>
      <c r="M449" s="3243"/>
      <c r="N449" s="3243"/>
      <c r="O449" s="3243"/>
      <c r="P449" s="3243"/>
      <c r="Q449" s="3243"/>
      <c r="R449" s="3243"/>
      <c r="S449" s="3243"/>
      <c r="T449" s="3243"/>
      <c r="U449" s="3243"/>
      <c r="V449" s="3243"/>
      <c r="W449" s="3243"/>
      <c r="X449" s="3243"/>
      <c r="Y449" s="3243"/>
      <c r="Z449" s="3243"/>
      <c r="AA449" s="3243"/>
      <c r="AB449" s="3243"/>
      <c r="AC449" s="3243"/>
      <c r="AD449" s="3243"/>
      <c r="AE449" s="324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44" t="s">
        <v>1712</v>
      </c>
      <c r="G451" s="3244"/>
      <c r="H451" s="3244"/>
      <c r="I451" s="3244"/>
      <c r="J451" s="3244"/>
      <c r="K451" s="3244"/>
      <c r="L451" s="3244"/>
      <c r="M451" s="3244"/>
      <c r="N451" s="3244"/>
      <c r="O451" s="3244"/>
      <c r="P451" s="3244"/>
      <c r="Q451" s="3244"/>
      <c r="R451" s="3244"/>
      <c r="S451" s="3244"/>
      <c r="T451" s="3244"/>
      <c r="U451" s="3244"/>
      <c r="V451" s="3244"/>
      <c r="W451" s="3244"/>
      <c r="X451" s="3244"/>
      <c r="Y451" s="3244"/>
      <c r="Z451" s="3244"/>
      <c r="AA451" s="3244"/>
      <c r="AB451" s="3244"/>
      <c r="AC451" s="3244"/>
      <c r="AD451" s="3244"/>
      <c r="AE451" s="3244"/>
      <c r="AF451" s="3244"/>
      <c r="AG451" s="1198"/>
      <c r="AH451" s="1163"/>
      <c r="AI451" s="1163"/>
      <c r="AJ451" s="1163"/>
      <c r="AK451" s="1163"/>
      <c r="AL451" s="1199"/>
      <c r="AM451" s="1124"/>
      <c r="AN451" s="990"/>
    </row>
    <row r="452" spans="1:49" s="933" customFormat="1" ht="12.75" customHeight="1">
      <c r="A452" s="917"/>
      <c r="B452" s="51"/>
      <c r="C452" s="1182"/>
      <c r="D452" s="112"/>
      <c r="E452" s="1136"/>
      <c r="F452" s="3245"/>
      <c r="G452" s="3245"/>
      <c r="H452" s="3245"/>
      <c r="I452" s="3245"/>
      <c r="J452" s="3245"/>
      <c r="K452" s="3245"/>
      <c r="L452" s="3245"/>
      <c r="M452" s="3245"/>
      <c r="N452" s="3245"/>
      <c r="O452" s="3245"/>
      <c r="P452" s="3245"/>
      <c r="Q452" s="3245"/>
      <c r="R452" s="3245"/>
      <c r="S452" s="3245"/>
      <c r="T452" s="3245"/>
      <c r="U452" s="3245"/>
      <c r="V452" s="3245"/>
      <c r="W452" s="3245"/>
      <c r="X452" s="3245"/>
      <c r="Y452" s="3245"/>
      <c r="Z452" s="3245"/>
      <c r="AA452" s="3245"/>
      <c r="AB452" s="3245"/>
      <c r="AC452" s="3245"/>
      <c r="AD452" s="3245"/>
      <c r="AE452" s="3245"/>
      <c r="AF452" s="3245"/>
      <c r="AG452" s="1015"/>
      <c r="AH452" s="1015"/>
      <c r="AI452" s="1015"/>
      <c r="AJ452" s="1015"/>
      <c r="AK452" s="1015"/>
      <c r="AL452" s="1183"/>
      <c r="AM452" s="1124"/>
      <c r="AN452" s="990"/>
    </row>
    <row r="453" spans="1:49" s="933" customFormat="1" ht="12.75" customHeight="1">
      <c r="A453" s="917"/>
      <c r="B453" s="51"/>
      <c r="C453" s="1191"/>
      <c r="D453" s="1015"/>
      <c r="E453" s="1015"/>
      <c r="F453" s="3245"/>
      <c r="G453" s="3245"/>
      <c r="H453" s="3245"/>
      <c r="I453" s="3245"/>
      <c r="J453" s="3245"/>
      <c r="K453" s="3245"/>
      <c r="L453" s="3245"/>
      <c r="M453" s="3245"/>
      <c r="N453" s="3245"/>
      <c r="O453" s="3245"/>
      <c r="P453" s="3245"/>
      <c r="Q453" s="3245"/>
      <c r="R453" s="3245"/>
      <c r="S453" s="3245"/>
      <c r="T453" s="3245"/>
      <c r="U453" s="3245"/>
      <c r="V453" s="3245"/>
      <c r="W453" s="3245"/>
      <c r="X453" s="3245"/>
      <c r="Y453" s="3245"/>
      <c r="Z453" s="3245"/>
      <c r="AA453" s="3245"/>
      <c r="AB453" s="3245"/>
      <c r="AC453" s="3245"/>
      <c r="AD453" s="3245"/>
      <c r="AE453" s="3245"/>
      <c r="AF453" s="3245"/>
      <c r="AG453" s="1015"/>
      <c r="AH453" s="1015"/>
      <c r="AI453" s="1015"/>
      <c r="AJ453" s="1015"/>
      <c r="AK453" s="1015"/>
      <c r="AL453" s="1183"/>
      <c r="AM453" s="1124"/>
      <c r="AN453" s="990"/>
    </row>
    <row r="454" spans="1:49" s="933" customFormat="1" ht="12.75" customHeight="1">
      <c r="A454" s="917"/>
      <c r="B454" s="51"/>
      <c r="C454" s="1191"/>
      <c r="D454" s="1015"/>
      <c r="E454" s="1015"/>
      <c r="F454" s="3245"/>
      <c r="G454" s="3245"/>
      <c r="H454" s="3245"/>
      <c r="I454" s="3245"/>
      <c r="J454" s="3245"/>
      <c r="K454" s="3245"/>
      <c r="L454" s="3245"/>
      <c r="M454" s="3245"/>
      <c r="N454" s="3245"/>
      <c r="O454" s="3245"/>
      <c r="P454" s="3245"/>
      <c r="Q454" s="3245"/>
      <c r="R454" s="3245"/>
      <c r="S454" s="3245"/>
      <c r="T454" s="3245"/>
      <c r="U454" s="3245"/>
      <c r="V454" s="3245"/>
      <c r="W454" s="3245"/>
      <c r="X454" s="3245"/>
      <c r="Y454" s="3245"/>
      <c r="Z454" s="3245"/>
      <c r="AA454" s="3245"/>
      <c r="AB454" s="3245"/>
      <c r="AC454" s="3245"/>
      <c r="AD454" s="3245"/>
      <c r="AE454" s="3245"/>
      <c r="AF454" s="3245"/>
      <c r="AG454" s="1015"/>
      <c r="AH454" s="1015"/>
      <c r="AI454" s="1015"/>
      <c r="AJ454" s="1015"/>
      <c r="AK454" s="1015"/>
      <c r="AL454" s="1183"/>
      <c r="AM454" s="1124"/>
      <c r="AN454" s="990"/>
    </row>
    <row r="455" spans="1:49" s="933" customFormat="1" ht="12.75" customHeight="1">
      <c r="A455" s="917"/>
      <c r="B455" s="51"/>
      <c r="C455" s="3223" t="s">
        <v>617</v>
      </c>
      <c r="D455" s="3179"/>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24" t="s">
        <v>1666</v>
      </c>
      <c r="AG455" s="3224"/>
      <c r="AH455" s="3224"/>
      <c r="AI455" s="3224"/>
      <c r="AJ455" s="3224"/>
      <c r="AK455" s="3224"/>
      <c r="AL455" s="322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82">
        <f>IF(Application!D213="N/A",AS347,AS349)</f>
        <v>10</v>
      </c>
      <c r="AL458" s="3183"/>
      <c r="AM458" s="3184"/>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60" t="s">
        <v>1716</v>
      </c>
      <c r="AF461" s="3260"/>
      <c r="AG461" s="3260"/>
      <c r="AH461" s="3260"/>
      <c r="AI461" s="3260"/>
      <c r="AJ461" s="3260"/>
      <c r="AK461" s="3260"/>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48" t="s">
        <v>617</v>
      </c>
      <c r="D467" s="3249"/>
      <c r="E467" s="1238" t="s">
        <v>532</v>
      </c>
      <c r="F467" s="3250" t="s">
        <v>1722</v>
      </c>
      <c r="G467" s="3250"/>
      <c r="H467" s="3250"/>
      <c r="I467" s="3250"/>
      <c r="J467" s="3250"/>
      <c r="K467" s="3250"/>
      <c r="L467" s="3250"/>
      <c r="M467" s="3250"/>
      <c r="N467" s="3250"/>
      <c r="O467" s="3250"/>
      <c r="P467" s="3250"/>
      <c r="Q467" s="3250"/>
      <c r="R467" s="3250"/>
      <c r="S467" s="3250"/>
      <c r="T467" s="3250"/>
      <c r="U467" s="3250"/>
      <c r="V467" s="3250"/>
      <c r="W467" s="3250"/>
      <c r="X467" s="3250"/>
      <c r="Y467" s="3250"/>
      <c r="Z467" s="3250"/>
      <c r="AA467" s="3250"/>
      <c r="AB467" s="3250"/>
      <c r="AC467" s="3250"/>
      <c r="AD467" s="3250"/>
      <c r="AE467" s="3250"/>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51"/>
      <c r="G468" s="3251"/>
      <c r="H468" s="3251"/>
      <c r="I468" s="3251"/>
      <c r="J468" s="3251"/>
      <c r="K468" s="3251"/>
      <c r="L468" s="3251"/>
      <c r="M468" s="3251"/>
      <c r="N468" s="3251"/>
      <c r="O468" s="3251"/>
      <c r="P468" s="3251"/>
      <c r="Q468" s="3251"/>
      <c r="R468" s="3251"/>
      <c r="S468" s="3251"/>
      <c r="T468" s="3251"/>
      <c r="U468" s="3251"/>
      <c r="V468" s="3251"/>
      <c r="W468" s="3251"/>
      <c r="X468" s="3251"/>
      <c r="Y468" s="3251"/>
      <c r="Z468" s="3251"/>
      <c r="AA468" s="3251"/>
      <c r="AB468" s="3251"/>
      <c r="AC468" s="3251"/>
      <c r="AD468" s="3251"/>
      <c r="AE468" s="3251"/>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57" t="s">
        <v>617</v>
      </c>
      <c r="G469" s="3257"/>
      <c r="H469" s="3257"/>
      <c r="I469" s="3257"/>
      <c r="J469" s="3257"/>
      <c r="K469" s="3257"/>
      <c r="L469" s="3257"/>
      <c r="M469" s="3257"/>
      <c r="N469" s="3257"/>
      <c r="O469" s="3257"/>
      <c r="P469" s="3257"/>
      <c r="Q469" s="3257"/>
      <c r="R469" s="3257"/>
      <c r="S469" s="3257"/>
      <c r="T469" s="3257"/>
      <c r="U469" s="3257"/>
      <c r="V469" s="3257"/>
      <c r="W469" s="3257"/>
      <c r="X469" s="3257"/>
      <c r="Y469" s="3257"/>
      <c r="Z469" s="3257"/>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58" t="s">
        <v>570</v>
      </c>
      <c r="D471" s="3259"/>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2" t="s">
        <v>617</v>
      </c>
      <c r="W474" s="3252"/>
      <c r="X474" s="3252"/>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2" t="s">
        <v>617</v>
      </c>
      <c r="W476" s="3252"/>
      <c r="X476" s="3252"/>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2" t="s">
        <v>617</v>
      </c>
      <c r="W481" s="3252"/>
      <c r="X481" s="3252"/>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68"/>
      <c r="E484" s="3268"/>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2" t="s">
        <v>617</v>
      </c>
      <c r="W485" s="3252"/>
      <c r="X485" s="3252"/>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2" t="s">
        <v>617</v>
      </c>
      <c r="W487" s="3252"/>
      <c r="X487" s="3252"/>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8" t="s">
        <v>617</v>
      </c>
      <c r="D490" s="3249"/>
      <c r="E490" s="1238" t="s">
        <v>532</v>
      </c>
      <c r="F490" s="3250" t="s">
        <v>1722</v>
      </c>
      <c r="G490" s="3250"/>
      <c r="H490" s="3250"/>
      <c r="I490" s="3250"/>
      <c r="J490" s="3250"/>
      <c r="K490" s="3250"/>
      <c r="L490" s="3250"/>
      <c r="M490" s="3250"/>
      <c r="N490" s="3250"/>
      <c r="O490" s="3250"/>
      <c r="P490" s="3250"/>
      <c r="Q490" s="3250"/>
      <c r="R490" s="3250"/>
      <c r="S490" s="3250"/>
      <c r="T490" s="3250"/>
      <c r="U490" s="3250"/>
      <c r="V490" s="3250"/>
      <c r="W490" s="3250"/>
      <c r="X490" s="3250"/>
      <c r="Y490" s="3250"/>
      <c r="Z490" s="3250"/>
      <c r="AA490" s="3250"/>
      <c r="AB490" s="3250"/>
      <c r="AC490" s="3250"/>
      <c r="AD490" s="3250"/>
      <c r="AE490" s="3250"/>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51"/>
      <c r="G491" s="3251"/>
      <c r="H491" s="3251"/>
      <c r="I491" s="3251"/>
      <c r="J491" s="3251"/>
      <c r="K491" s="3251"/>
      <c r="L491" s="3251"/>
      <c r="M491" s="3251"/>
      <c r="N491" s="3251"/>
      <c r="O491" s="3251"/>
      <c r="P491" s="3251"/>
      <c r="Q491" s="3251"/>
      <c r="R491" s="3251"/>
      <c r="S491" s="3251"/>
      <c r="T491" s="3251"/>
      <c r="U491" s="3251"/>
      <c r="V491" s="3251"/>
      <c r="W491" s="3251"/>
      <c r="X491" s="3251"/>
      <c r="Y491" s="3251"/>
      <c r="Z491" s="3251"/>
      <c r="AA491" s="3251"/>
      <c r="AB491" s="3251"/>
      <c r="AC491" s="3251"/>
      <c r="AD491" s="3251"/>
      <c r="AE491" s="3251"/>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74" t="s">
        <v>617</v>
      </c>
      <c r="G492" s="3274"/>
      <c r="H492" s="3274"/>
      <c r="I492" s="3274"/>
      <c r="J492" s="3274"/>
      <c r="K492" s="3274"/>
      <c r="L492" s="3274"/>
      <c r="M492" s="3274"/>
      <c r="N492" s="3274"/>
      <c r="O492" s="3274"/>
      <c r="P492" s="3274"/>
      <c r="Q492" s="3274"/>
      <c r="R492" s="3274"/>
      <c r="S492" s="3274"/>
      <c r="T492" s="3274"/>
      <c r="U492" s="3274"/>
      <c r="V492" s="3274"/>
      <c r="W492" s="3274"/>
      <c r="X492" s="3274"/>
      <c r="Y492" s="3274"/>
      <c r="Z492" s="3274"/>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8" t="s">
        <v>617</v>
      </c>
      <c r="D494" s="3249"/>
      <c r="E494" s="1238" t="s">
        <v>787</v>
      </c>
      <c r="F494" s="3275" t="s">
        <v>1744</v>
      </c>
      <c r="G494" s="3275"/>
      <c r="H494" s="3275"/>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75"/>
      <c r="AD494" s="3275"/>
      <c r="AE494" s="3275"/>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76"/>
      <c r="G495" s="3276"/>
      <c r="H495" s="3276"/>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76"/>
      <c r="AD495" s="3276"/>
      <c r="AE495" s="3276"/>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77" t="s">
        <v>617</v>
      </c>
      <c r="G497" s="3277"/>
      <c r="H497" s="3277"/>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8" t="s">
        <v>617</v>
      </c>
      <c r="D499" s="3249"/>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7"/>
      <c r="D501" s="3268"/>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9" t="s">
        <v>617</v>
      </c>
      <c r="H502" s="3269"/>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69"/>
      <c r="AD502" s="3269"/>
      <c r="AE502" s="3269"/>
      <c r="AF502" s="3269"/>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70" t="s">
        <v>617</v>
      </c>
      <c r="D504" s="3271"/>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70" t="s">
        <v>617</v>
      </c>
      <c r="D508" s="3271"/>
      <c r="E508" s="1015"/>
      <c r="F508" s="1280" t="s">
        <v>1752</v>
      </c>
      <c r="G508" s="3272" t="s">
        <v>1753</v>
      </c>
      <c r="H508" s="3272"/>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72"/>
      <c r="AD508" s="3272"/>
      <c r="AE508" s="3272"/>
      <c r="AF508" s="3272"/>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3"/>
      <c r="H509" s="3273"/>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73"/>
      <c r="AD509" s="3273"/>
      <c r="AE509" s="3273"/>
      <c r="AF509" s="3273"/>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3" t="s">
        <v>617</v>
      </c>
      <c r="D512" s="3254"/>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5" t="s">
        <v>617</v>
      </c>
      <c r="G513" s="3255"/>
      <c r="H513" s="3255"/>
      <c r="I513" s="3255"/>
      <c r="J513" s="3255"/>
      <c r="K513" s="3255"/>
      <c r="L513" s="3255"/>
      <c r="M513" s="3255"/>
      <c r="N513" s="3255"/>
      <c r="O513" s="3255"/>
      <c r="P513" s="3255"/>
      <c r="Q513" s="3255"/>
      <c r="R513" s="3255"/>
      <c r="S513" s="3255"/>
      <c r="T513" s="3255"/>
      <c r="U513" s="3255"/>
      <c r="V513" s="3255"/>
      <c r="W513" s="3255"/>
      <c r="X513" s="3255"/>
      <c r="Y513" s="3255"/>
      <c r="Z513" s="3255"/>
      <c r="AA513" s="3255"/>
      <c r="AB513" s="3255"/>
      <c r="AC513" s="3255"/>
      <c r="AD513" s="3255"/>
      <c r="AE513" s="3255"/>
      <c r="AF513" s="3255"/>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6"/>
      <c r="G514" s="3256"/>
      <c r="H514" s="3256"/>
      <c r="I514" s="3256"/>
      <c r="J514" s="3256"/>
      <c r="K514" s="3256"/>
      <c r="L514" s="3256"/>
      <c r="M514" s="3256"/>
      <c r="N514" s="3256"/>
      <c r="O514" s="3256"/>
      <c r="P514" s="3256"/>
      <c r="Q514" s="3256"/>
      <c r="R514" s="3256"/>
      <c r="S514" s="3256"/>
      <c r="T514" s="3256"/>
      <c r="U514" s="3256"/>
      <c r="V514" s="3256"/>
      <c r="W514" s="3256"/>
      <c r="X514" s="3256"/>
      <c r="Y514" s="3256"/>
      <c r="Z514" s="3256"/>
      <c r="AA514" s="3256"/>
      <c r="AB514" s="3256"/>
      <c r="AC514" s="3256"/>
      <c r="AD514" s="3256"/>
      <c r="AE514" s="3256"/>
      <c r="AF514" s="3256"/>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82">
        <f>SUM(AG468:AG513)</f>
        <v>0</v>
      </c>
      <c r="AL524" s="3183"/>
      <c r="AM524" s="3184"/>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70" t="s">
        <v>1765</v>
      </c>
      <c r="AF527" s="3170"/>
      <c r="AG527" s="3170"/>
      <c r="AH527" s="3170"/>
      <c r="AI527" s="3170"/>
      <c r="AJ527" s="3170"/>
      <c r="AK527" s="3170"/>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9" t="s">
        <v>570</v>
      </c>
      <c r="D530" s="3179"/>
      <c r="E530" s="934"/>
      <c r="F530" s="3261" t="s">
        <v>1766</v>
      </c>
      <c r="G530" s="3262"/>
      <c r="H530" s="3262"/>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62"/>
      <c r="AD530" s="3262"/>
      <c r="AE530" s="3262"/>
      <c r="AF530" s="3262"/>
      <c r="AG530" s="3262"/>
      <c r="AH530" s="3262"/>
      <c r="AI530" s="3262"/>
      <c r="AJ530" s="3262"/>
      <c r="AK530" s="3262"/>
      <c r="AL530" s="3263"/>
      <c r="AM530" s="995"/>
      <c r="AN530" s="990"/>
    </row>
    <row r="531" spans="1:49" s="933" customFormat="1" ht="12.75" customHeight="1">
      <c r="A531" s="1002"/>
      <c r="B531" s="1002"/>
      <c r="C531" s="934"/>
      <c r="D531" s="934"/>
      <c r="E531" s="934"/>
      <c r="F531" s="3264"/>
      <c r="G531" s="3265"/>
      <c r="H531" s="3265"/>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65"/>
      <c r="AD531" s="3265"/>
      <c r="AE531" s="3265"/>
      <c r="AF531" s="3265"/>
      <c r="AG531" s="3265"/>
      <c r="AH531" s="3265"/>
      <c r="AI531" s="3265"/>
      <c r="AJ531" s="3265"/>
      <c r="AK531" s="3265"/>
      <c r="AL531" s="326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9" t="s">
        <v>617</v>
      </c>
      <c r="D533" s="3179"/>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41" t="s">
        <v>1768</v>
      </c>
      <c r="G534" s="3342"/>
      <c r="H534" s="3342"/>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42"/>
      <c r="AD534" s="3342"/>
      <c r="AE534" s="3342"/>
      <c r="AF534" s="3342"/>
      <c r="AG534" s="3342"/>
      <c r="AH534" s="3342"/>
      <c r="AI534" s="3342"/>
      <c r="AJ534" s="3342"/>
      <c r="AK534" s="3342"/>
      <c r="AL534" s="3343"/>
      <c r="AM534" s="995"/>
      <c r="AN534" s="990"/>
      <c r="AS534" s="1382"/>
      <c r="AT534" s="1382"/>
      <c r="AU534" s="1382"/>
      <c r="AV534" s="1382"/>
      <c r="AW534" s="1382"/>
    </row>
    <row r="535" spans="1:49" s="933" customFormat="1" ht="12.75" customHeight="1">
      <c r="A535" s="1016"/>
      <c r="B535" s="1295"/>
      <c r="C535" s="1295"/>
      <c r="D535" s="1295"/>
      <c r="E535" s="1295"/>
      <c r="F535" s="3341"/>
      <c r="G535" s="3342"/>
      <c r="H535" s="3342"/>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42"/>
      <c r="AD535" s="3342"/>
      <c r="AE535" s="3342"/>
      <c r="AF535" s="3342"/>
      <c r="AG535" s="3342"/>
      <c r="AH535" s="3342"/>
      <c r="AI535" s="3342"/>
      <c r="AJ535" s="3342"/>
      <c r="AK535" s="3342"/>
      <c r="AL535" s="3343"/>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41" t="s">
        <v>1769</v>
      </c>
      <c r="G537" s="3342"/>
      <c r="H537" s="3342"/>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42"/>
      <c r="AD537" s="3342"/>
      <c r="AE537" s="3342"/>
      <c r="AF537" s="3342"/>
      <c r="AG537" s="3342"/>
      <c r="AH537" s="3342"/>
      <c r="AI537" s="3342"/>
      <c r="AJ537" s="3342"/>
      <c r="AK537" s="3342"/>
      <c r="AL537" s="1304"/>
      <c r="AM537" s="995"/>
      <c r="AN537" s="990"/>
      <c r="AT537" s="1079"/>
      <c r="AU537" s="1079"/>
      <c r="AV537" s="1079"/>
    </row>
    <row r="538" spans="1:49" s="933" customFormat="1" ht="12.75" customHeight="1">
      <c r="A538" s="1016"/>
      <c r="B538" s="1295"/>
      <c r="C538" s="1295"/>
      <c r="D538" s="1295"/>
      <c r="E538" s="1295"/>
      <c r="F538" s="3344"/>
      <c r="G538" s="3345"/>
      <c r="H538" s="3345"/>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45"/>
      <c r="AD538" s="3345"/>
      <c r="AE538" s="3345"/>
      <c r="AF538" s="3345"/>
      <c r="AG538" s="3345"/>
      <c r="AH538" s="3345"/>
      <c r="AI538" s="3345"/>
      <c r="AJ538" s="3345"/>
      <c r="AK538" s="3345"/>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36">
        <f>Application!AJ975</f>
        <v>18071338</v>
      </c>
      <c r="AQ539" s="3336"/>
      <c r="AR539" s="3336"/>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85">
        <f>'Sources and Uses Budget'!S107+'Sources and Uses Budget'!T107</f>
        <v>29359319</v>
      </c>
      <c r="AG540" s="3185"/>
      <c r="AH540" s="3185"/>
      <c r="AI540" s="3185"/>
      <c r="AJ540" s="3185"/>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6">
        <f>AP548</f>
        <v>40008419.399999999</v>
      </c>
      <c r="AG541" s="3346"/>
      <c r="AH541" s="3346"/>
      <c r="AI541" s="3346"/>
      <c r="AJ541" s="3346"/>
      <c r="AK541" s="995"/>
      <c r="AL541" s="995"/>
      <c r="AM541" s="995"/>
      <c r="AN541" s="990"/>
      <c r="AP541" s="3336">
        <f>Application!AJ1024</f>
        <v>8312815.4800000004</v>
      </c>
      <c r="AQ541" s="3336"/>
      <c r="AR541" s="3336"/>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7">
        <f>ROUNDDOWN(IF(C533="YES",((1-(AF540/AF541))*2),(1-(AF540/AF541))),2)</f>
        <v>0.26</v>
      </c>
      <c r="AG542" s="3347"/>
      <c r="AH542" s="3347"/>
      <c r="AI542" s="3347"/>
      <c r="AJ542" s="3347"/>
      <c r="AK542" s="995"/>
      <c r="AL542" s="995"/>
      <c r="AM542" s="995"/>
      <c r="AN542" s="990"/>
      <c r="AP542" s="3340">
        <f>Application!AJ1028</f>
        <v>15179923.92</v>
      </c>
      <c r="AQ542" s="3340"/>
      <c r="AR542" s="3340"/>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35">
        <f>IF(((AP541+AP542)/AP539)&gt;0.8,0.8,((AP541+AP542)/AP539))</f>
        <v>0.8</v>
      </c>
      <c r="AQ543" s="3335"/>
      <c r="AR543" s="3335"/>
    </row>
    <row r="544" spans="1:49" s="933" customFormat="1" ht="12.75" customHeight="1">
      <c r="A544" s="1038"/>
      <c r="B544" s="3285" t="s">
        <v>2499</v>
      </c>
      <c r="C544" s="3286"/>
      <c r="D544" s="3286"/>
      <c r="E544" s="3286"/>
      <c r="F544" s="3286"/>
      <c r="G544" s="3286"/>
      <c r="H544" s="3286"/>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86"/>
      <c r="AD544" s="3286"/>
      <c r="AE544" s="3286"/>
      <c r="AF544" s="3286"/>
      <c r="AG544" s="3286"/>
      <c r="AH544" s="3286"/>
      <c r="AI544" s="3286"/>
      <c r="AJ544" s="3287"/>
      <c r="AK544" s="995"/>
      <c r="AL544" s="995"/>
      <c r="AM544" s="995"/>
      <c r="AN544" s="990"/>
    </row>
    <row r="545" spans="1:44" s="933" customFormat="1" ht="12.75" customHeight="1">
      <c r="A545" s="1038"/>
      <c r="B545" s="3288"/>
      <c r="C545" s="3289"/>
      <c r="D545" s="3289"/>
      <c r="E545" s="3289"/>
      <c r="F545" s="3289"/>
      <c r="G545" s="3289"/>
      <c r="H545" s="3289"/>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89"/>
      <c r="AD545" s="3289"/>
      <c r="AE545" s="3289"/>
      <c r="AF545" s="3289"/>
      <c r="AG545" s="3289"/>
      <c r="AH545" s="3289"/>
      <c r="AI545" s="3289"/>
      <c r="AJ545" s="3290"/>
      <c r="AK545" s="995"/>
      <c r="AL545" s="995"/>
      <c r="AM545" s="995"/>
      <c r="AN545" s="990"/>
      <c r="AP545" s="3336">
        <f>AP546-AP541-AP542</f>
        <v>25551349</v>
      </c>
      <c r="AQ545" s="3337"/>
      <c r="AR545" s="3337"/>
    </row>
    <row r="546" spans="1:44" s="933" customFormat="1" ht="12.75" customHeight="1">
      <c r="A546" s="1038"/>
      <c r="B546" s="3291"/>
      <c r="C546" s="3292"/>
      <c r="D546" s="3292"/>
      <c r="E546" s="3292"/>
      <c r="F546" s="3292"/>
      <c r="G546" s="3292"/>
      <c r="H546" s="3292"/>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92"/>
      <c r="AD546" s="3292"/>
      <c r="AE546" s="3292"/>
      <c r="AF546" s="3292"/>
      <c r="AG546" s="3292"/>
      <c r="AH546" s="3292"/>
      <c r="AI546" s="3292"/>
      <c r="AJ546" s="3293"/>
      <c r="AK546" s="995"/>
      <c r="AL546" s="995"/>
      <c r="AM546" s="995"/>
      <c r="AN546" s="990"/>
      <c r="AP546" s="3336">
        <f>Application!AJ1032</f>
        <v>49044088.400000006</v>
      </c>
      <c r="AQ546" s="3336"/>
      <c r="AR546" s="3336"/>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94">
        <f>IFERROR(IF(AF542=0,0,IF((AF542*100)&gt;12,12,(AF542*100))),0)</f>
        <v>12</v>
      </c>
      <c r="AL548" s="3294"/>
      <c r="AM548" s="3295"/>
      <c r="AN548" s="990"/>
      <c r="AP548" s="3357">
        <f>AP545+(AP539*AP543)</f>
        <v>40008419.399999999</v>
      </c>
      <c r="AQ548" s="3358"/>
      <c r="AR548" s="3359"/>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70" t="s">
        <v>1510</v>
      </c>
      <c r="AF551" s="3170"/>
      <c r="AG551" s="3170"/>
      <c r="AH551" s="3170"/>
      <c r="AI551" s="3170"/>
      <c r="AJ551" s="3170"/>
      <c r="AK551" s="317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202" t="s">
        <v>2490</v>
      </c>
      <c r="C553" s="3202"/>
      <c r="D553" s="3202"/>
      <c r="E553" s="3202"/>
      <c r="F553" s="3202"/>
      <c r="G553" s="3202"/>
      <c r="H553" s="3202"/>
      <c r="I553" s="3202"/>
      <c r="J553" s="3202"/>
      <c r="K553" s="3202"/>
      <c r="L553" s="3202"/>
      <c r="M553" s="3202"/>
      <c r="N553" s="3202"/>
      <c r="O553" s="3202"/>
      <c r="P553" s="3202"/>
      <c r="Q553" s="3202"/>
      <c r="R553" s="3202"/>
      <c r="S553" s="3202"/>
      <c r="T553" s="3202"/>
      <c r="U553" s="3202"/>
      <c r="V553" s="3202"/>
      <c r="W553" s="3202"/>
      <c r="X553" s="3202"/>
      <c r="Y553" s="3202"/>
      <c r="Z553" s="3202"/>
      <c r="AA553" s="3202"/>
      <c r="AB553" s="3202"/>
      <c r="AC553" s="3202"/>
      <c r="AD553" s="3202"/>
      <c r="AE553" s="3202"/>
      <c r="AF553" s="3202"/>
      <c r="AG553" s="3202"/>
      <c r="AH553" s="3202"/>
      <c r="AI553" s="3202"/>
      <c r="AJ553" s="3202"/>
      <c r="AK553" s="1068"/>
      <c r="AL553" s="957"/>
      <c r="AM553" s="1017"/>
      <c r="AN553" s="990"/>
    </row>
    <row r="554" spans="1:44" s="933" customFormat="1" ht="12.75" customHeight="1">
      <c r="A554" s="1017"/>
      <c r="B554" s="3202"/>
      <c r="C554" s="3202"/>
      <c r="D554" s="3202"/>
      <c r="E554" s="3202"/>
      <c r="F554" s="3202"/>
      <c r="G554" s="3202"/>
      <c r="H554" s="3202"/>
      <c r="I554" s="3202"/>
      <c r="J554" s="3202"/>
      <c r="K554" s="3202"/>
      <c r="L554" s="3202"/>
      <c r="M554" s="3202"/>
      <c r="N554" s="3202"/>
      <c r="O554" s="3202"/>
      <c r="P554" s="3202"/>
      <c r="Q554" s="3202"/>
      <c r="R554" s="3202"/>
      <c r="S554" s="3202"/>
      <c r="T554" s="3202"/>
      <c r="U554" s="3202"/>
      <c r="V554" s="3202"/>
      <c r="W554" s="3202"/>
      <c r="X554" s="3202"/>
      <c r="Y554" s="3202"/>
      <c r="Z554" s="3202"/>
      <c r="AA554" s="3202"/>
      <c r="AB554" s="3202"/>
      <c r="AC554" s="3202"/>
      <c r="AD554" s="3202"/>
      <c r="AE554" s="3202"/>
      <c r="AF554" s="3202"/>
      <c r="AG554" s="3202"/>
      <c r="AH554" s="3202"/>
      <c r="AI554" s="3202"/>
      <c r="AJ554" s="3202"/>
      <c r="AK554" s="1068"/>
      <c r="AL554" s="957"/>
      <c r="AM554" s="1017"/>
      <c r="AN554" s="990"/>
    </row>
    <row r="555" spans="1:44" s="933" customFormat="1" ht="12.75" customHeight="1">
      <c r="A555" s="1017"/>
      <c r="B555" s="3202"/>
      <c r="C555" s="3202"/>
      <c r="D555" s="3202"/>
      <c r="E555" s="3202"/>
      <c r="F555" s="3202"/>
      <c r="G555" s="3202"/>
      <c r="H555" s="3202"/>
      <c r="I555" s="3202"/>
      <c r="J555" s="3202"/>
      <c r="K555" s="3202"/>
      <c r="L555" s="3202"/>
      <c r="M555" s="3202"/>
      <c r="N555" s="3202"/>
      <c r="O555" s="3202"/>
      <c r="P555" s="3202"/>
      <c r="Q555" s="3202"/>
      <c r="R555" s="3202"/>
      <c r="S555" s="3202"/>
      <c r="T555" s="3202"/>
      <c r="U555" s="3202"/>
      <c r="V555" s="3202"/>
      <c r="W555" s="3202"/>
      <c r="X555" s="3202"/>
      <c r="Y555" s="3202"/>
      <c r="Z555" s="3202"/>
      <c r="AA555" s="3202"/>
      <c r="AB555" s="3202"/>
      <c r="AC555" s="3202"/>
      <c r="AD555" s="3202"/>
      <c r="AE555" s="3202"/>
      <c r="AF555" s="3202"/>
      <c r="AG555" s="3202"/>
      <c r="AH555" s="3202"/>
      <c r="AI555" s="3202"/>
      <c r="AJ555" s="3202"/>
      <c r="AK555" s="1068"/>
      <c r="AL555" s="957"/>
      <c r="AM555" s="1017"/>
      <c r="AN555" s="990"/>
    </row>
    <row r="556" spans="1:44" s="933" customFormat="1" ht="12.75" customHeight="1">
      <c r="A556" s="1017"/>
      <c r="B556" s="3202"/>
      <c r="C556" s="3202"/>
      <c r="D556" s="3202"/>
      <c r="E556" s="3202"/>
      <c r="F556" s="3202"/>
      <c r="G556" s="3202"/>
      <c r="H556" s="3202"/>
      <c r="I556" s="3202"/>
      <c r="J556" s="3202"/>
      <c r="K556" s="3202"/>
      <c r="L556" s="3202"/>
      <c r="M556" s="3202"/>
      <c r="N556" s="3202"/>
      <c r="O556" s="3202"/>
      <c r="P556" s="3202"/>
      <c r="Q556" s="3202"/>
      <c r="R556" s="3202"/>
      <c r="S556" s="3202"/>
      <c r="T556" s="3202"/>
      <c r="U556" s="3202"/>
      <c r="V556" s="3202"/>
      <c r="W556" s="3202"/>
      <c r="X556" s="3202"/>
      <c r="Y556" s="3202"/>
      <c r="Z556" s="3202"/>
      <c r="AA556" s="3202"/>
      <c r="AB556" s="3202"/>
      <c r="AC556" s="3202"/>
      <c r="AD556" s="3202"/>
      <c r="AE556" s="3202"/>
      <c r="AF556" s="3202"/>
      <c r="AG556" s="3202"/>
      <c r="AH556" s="3202"/>
      <c r="AI556" s="3202"/>
      <c r="AJ556" s="3202"/>
      <c r="AK556" s="1068"/>
      <c r="AL556" s="957"/>
      <c r="AM556" s="1017"/>
      <c r="AN556" s="990"/>
    </row>
    <row r="557" spans="1:44" s="933" customFormat="1" ht="12.75" customHeight="1">
      <c r="A557" s="1017"/>
      <c r="B557" s="3202"/>
      <c r="C557" s="3202"/>
      <c r="D557" s="3202"/>
      <c r="E557" s="3202"/>
      <c r="F557" s="3202"/>
      <c r="G557" s="3202"/>
      <c r="H557" s="3202"/>
      <c r="I557" s="3202"/>
      <c r="J557" s="3202"/>
      <c r="K557" s="3202"/>
      <c r="L557" s="3202"/>
      <c r="M557" s="3202"/>
      <c r="N557" s="3202"/>
      <c r="O557" s="3202"/>
      <c r="P557" s="3202"/>
      <c r="Q557" s="3202"/>
      <c r="R557" s="3202"/>
      <c r="S557" s="3202"/>
      <c r="T557" s="3202"/>
      <c r="U557" s="3202"/>
      <c r="V557" s="3202"/>
      <c r="W557" s="3202"/>
      <c r="X557" s="3202"/>
      <c r="Y557" s="3202"/>
      <c r="Z557" s="3202"/>
      <c r="AA557" s="3202"/>
      <c r="AB557" s="3202"/>
      <c r="AC557" s="3202"/>
      <c r="AD557" s="3202"/>
      <c r="AE557" s="3202"/>
      <c r="AF557" s="3202"/>
      <c r="AG557" s="3202"/>
      <c r="AH557" s="3202"/>
      <c r="AI557" s="3202"/>
      <c r="AJ557" s="3202"/>
      <c r="AK557" s="1068"/>
      <c r="AL557" s="957"/>
      <c r="AM557" s="1017"/>
      <c r="AN557" s="990"/>
    </row>
    <row r="558" spans="1:44" s="933" customFormat="1" ht="12.75" customHeight="1">
      <c r="A558" s="1017"/>
      <c r="B558" s="3202"/>
      <c r="C558" s="3202"/>
      <c r="D558" s="3202"/>
      <c r="E558" s="3202"/>
      <c r="F558" s="3202"/>
      <c r="G558" s="3202"/>
      <c r="H558" s="3202"/>
      <c r="I558" s="3202"/>
      <c r="J558" s="3202"/>
      <c r="K558" s="3202"/>
      <c r="L558" s="3202"/>
      <c r="M558" s="3202"/>
      <c r="N558" s="3202"/>
      <c r="O558" s="3202"/>
      <c r="P558" s="3202"/>
      <c r="Q558" s="3202"/>
      <c r="R558" s="3202"/>
      <c r="S558" s="3202"/>
      <c r="T558" s="3202"/>
      <c r="U558" s="3202"/>
      <c r="V558" s="3202"/>
      <c r="W558" s="3202"/>
      <c r="X558" s="3202"/>
      <c r="Y558" s="3202"/>
      <c r="Z558" s="3202"/>
      <c r="AA558" s="3202"/>
      <c r="AB558" s="3202"/>
      <c r="AC558" s="3202"/>
      <c r="AD558" s="3202"/>
      <c r="AE558" s="3202"/>
      <c r="AF558" s="3202"/>
      <c r="AG558" s="3202"/>
      <c r="AH558" s="3202"/>
      <c r="AI558" s="3202"/>
      <c r="AJ558" s="3202"/>
      <c r="AK558" s="1068"/>
      <c r="AL558" s="957"/>
      <c r="AM558" s="1017"/>
      <c r="AN558" s="990"/>
    </row>
    <row r="559" spans="1:44" s="933" customFormat="1" ht="12.75" customHeight="1">
      <c r="A559" s="1017"/>
      <c r="B559" s="3202"/>
      <c r="C559" s="3202"/>
      <c r="D559" s="3202"/>
      <c r="E559" s="3202"/>
      <c r="F559" s="3202"/>
      <c r="G559" s="3202"/>
      <c r="H559" s="3202"/>
      <c r="I559" s="3202"/>
      <c r="J559" s="3202"/>
      <c r="K559" s="3202"/>
      <c r="L559" s="3202"/>
      <c r="M559" s="3202"/>
      <c r="N559" s="3202"/>
      <c r="O559" s="3202"/>
      <c r="P559" s="3202"/>
      <c r="Q559" s="3202"/>
      <c r="R559" s="3202"/>
      <c r="S559" s="3202"/>
      <c r="T559" s="3202"/>
      <c r="U559" s="3202"/>
      <c r="V559" s="3202"/>
      <c r="W559" s="3202"/>
      <c r="X559" s="3202"/>
      <c r="Y559" s="3202"/>
      <c r="Z559" s="3202"/>
      <c r="AA559" s="3202"/>
      <c r="AB559" s="3202"/>
      <c r="AC559" s="3202"/>
      <c r="AD559" s="3202"/>
      <c r="AE559" s="3202"/>
      <c r="AF559" s="3202"/>
      <c r="AG559" s="3202"/>
      <c r="AH559" s="3202"/>
      <c r="AI559" s="3202"/>
      <c r="AJ559" s="3202"/>
      <c r="AK559" s="1068"/>
      <c r="AL559" s="957"/>
      <c r="AM559" s="1017"/>
      <c r="AN559" s="990"/>
    </row>
    <row r="560" spans="1:44" ht="12.75" customHeight="1">
      <c r="A560" s="1017"/>
      <c r="B560" s="3202"/>
      <c r="C560" s="3202"/>
      <c r="D560" s="3202"/>
      <c r="E560" s="3202"/>
      <c r="F560" s="3202"/>
      <c r="G560" s="3202"/>
      <c r="H560" s="3202"/>
      <c r="I560" s="3202"/>
      <c r="J560" s="3202"/>
      <c r="K560" s="3202"/>
      <c r="L560" s="3202"/>
      <c r="M560" s="3202"/>
      <c r="N560" s="3202"/>
      <c r="O560" s="3202"/>
      <c r="P560" s="3202"/>
      <c r="Q560" s="3202"/>
      <c r="R560" s="3202"/>
      <c r="S560" s="3202"/>
      <c r="T560" s="3202"/>
      <c r="U560" s="3202"/>
      <c r="V560" s="3202"/>
      <c r="W560" s="3202"/>
      <c r="X560" s="3202"/>
      <c r="Y560" s="3202"/>
      <c r="Z560" s="3202"/>
      <c r="AA560" s="3202"/>
      <c r="AB560" s="3202"/>
      <c r="AC560" s="3202"/>
      <c r="AD560" s="3202"/>
      <c r="AE560" s="3202"/>
      <c r="AF560" s="3202"/>
      <c r="AG560" s="3202"/>
      <c r="AH560" s="3202"/>
      <c r="AI560" s="3202"/>
      <c r="AJ560" s="3202"/>
      <c r="AK560" s="1068"/>
      <c r="AL560" s="957"/>
      <c r="AM560" s="1017"/>
    </row>
    <row r="561" spans="1:42" s="933" customFormat="1" ht="12.75" customHeight="1">
      <c r="A561" s="1050"/>
      <c r="B561" s="3202"/>
      <c r="C561" s="3202"/>
      <c r="D561" s="3202"/>
      <c r="E561" s="3202"/>
      <c r="F561" s="3202"/>
      <c r="G561" s="3202"/>
      <c r="H561" s="3202"/>
      <c r="I561" s="3202"/>
      <c r="J561" s="3202"/>
      <c r="K561" s="3202"/>
      <c r="L561" s="3202"/>
      <c r="M561" s="3202"/>
      <c r="N561" s="3202"/>
      <c r="O561" s="3202"/>
      <c r="P561" s="3202"/>
      <c r="Q561" s="3202"/>
      <c r="R561" s="3202"/>
      <c r="S561" s="3202"/>
      <c r="T561" s="3202"/>
      <c r="U561" s="3202"/>
      <c r="V561" s="3202"/>
      <c r="W561" s="3202"/>
      <c r="X561" s="3202"/>
      <c r="Y561" s="3202"/>
      <c r="Z561" s="3202"/>
      <c r="AA561" s="3202"/>
      <c r="AB561" s="3202"/>
      <c r="AC561" s="3202"/>
      <c r="AD561" s="3202"/>
      <c r="AE561" s="3202"/>
      <c r="AF561" s="3202"/>
      <c r="AG561" s="3202"/>
      <c r="AH561" s="3202"/>
      <c r="AI561" s="3202"/>
      <c r="AJ561" s="3202"/>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6" t="s">
        <v>1534</v>
      </c>
      <c r="AG567" s="3146"/>
      <c r="AH567" s="3146"/>
      <c r="AI567" s="3146"/>
      <c r="AJ567" s="3146"/>
      <c r="AK567" s="3146"/>
      <c r="AL567" s="3146"/>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6" t="s">
        <v>1592</v>
      </c>
      <c r="AG574" s="3146"/>
      <c r="AH574" s="3146"/>
      <c r="AI574" s="3146"/>
      <c r="AJ574" s="3146"/>
      <c r="AK574" s="3146"/>
      <c r="AL574" s="3146"/>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283</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6" t="s">
        <v>1574</v>
      </c>
      <c r="AG580" s="3146"/>
      <c r="AH580" s="3146"/>
      <c r="AI580" s="3146"/>
      <c r="AJ580" s="3146"/>
      <c r="AK580" s="3146"/>
      <c r="AL580" s="3146"/>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6" t="s">
        <v>1595</v>
      </c>
      <c r="AG586" s="3146"/>
      <c r="AH586" s="3146"/>
      <c r="AI586" s="3146"/>
      <c r="AJ586" s="3146"/>
      <c r="AK586" s="3146"/>
      <c r="AL586" s="3146"/>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35" t="s">
        <v>1348</v>
      </c>
      <c r="P590" s="3235"/>
      <c r="Q590" s="3235"/>
      <c r="R590" s="3235"/>
      <c r="S590" s="3235"/>
      <c r="T590" s="3235"/>
      <c r="U590" s="3235"/>
      <c r="V590" s="3235"/>
      <c r="W590" s="3235"/>
      <c r="X590" s="3235"/>
      <c r="Y590" s="3235"/>
      <c r="Z590" s="3235"/>
      <c r="AA590" s="3235"/>
      <c r="AB590" s="3235"/>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6" t="s">
        <v>1548</v>
      </c>
      <c r="AG592" s="3146"/>
      <c r="AH592" s="3146"/>
      <c r="AI592" s="3146"/>
      <c r="AJ592" s="3146"/>
      <c r="AK592" s="3146"/>
      <c r="AL592" s="3146"/>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233" t="s">
        <v>714</v>
      </c>
      <c r="I595" s="3233"/>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34" t="s">
        <v>617</v>
      </c>
      <c r="J603" s="3234"/>
      <c r="K603" s="3234"/>
      <c r="L603" s="3234"/>
      <c r="M603" s="3234"/>
      <c r="N603" s="3234"/>
      <c r="O603" s="3234"/>
      <c r="P603" s="3234"/>
      <c r="Q603" s="3234"/>
      <c r="R603" s="3234"/>
      <c r="S603" s="3234"/>
      <c r="T603" s="3234"/>
      <c r="U603" s="3234"/>
      <c r="V603" s="3234"/>
      <c r="W603" s="3234"/>
      <c r="X603" s="3234"/>
      <c r="Y603" s="3234"/>
      <c r="Z603" s="3234"/>
      <c r="AA603" s="3234"/>
      <c r="AB603" s="3234"/>
      <c r="AC603" s="3234"/>
      <c r="AD603" s="3234"/>
      <c r="AE603" s="3234"/>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74" t="s">
        <v>617</v>
      </c>
      <c r="C605" s="3174"/>
      <c r="D605" s="1492"/>
      <c r="E605" s="3202" t="s">
        <v>1599</v>
      </c>
      <c r="F605" s="3202"/>
      <c r="G605" s="3202"/>
      <c r="H605" s="3202"/>
      <c r="I605" s="3202"/>
      <c r="J605" s="3202"/>
      <c r="K605" s="3202"/>
      <c r="L605" s="3202"/>
      <c r="M605" s="3202"/>
      <c r="N605" s="3202"/>
      <c r="O605" s="3202"/>
      <c r="P605" s="3202"/>
      <c r="Q605" s="3202"/>
      <c r="R605" s="3202"/>
      <c r="S605" s="3202"/>
      <c r="T605" s="3202"/>
      <c r="U605" s="3202"/>
      <c r="V605" s="3202"/>
      <c r="W605" s="3202"/>
      <c r="X605" s="3202"/>
      <c r="Y605" s="3202"/>
      <c r="Z605" s="3202"/>
      <c r="AA605" s="3202"/>
      <c r="AB605" s="3202"/>
      <c r="AC605" s="3202"/>
      <c r="AD605" s="3202"/>
      <c r="AE605" s="3202"/>
      <c r="AF605" s="3202"/>
      <c r="AG605" s="3202"/>
      <c r="AH605" s="1492"/>
      <c r="AI605" s="1492"/>
      <c r="AJ605" s="1492"/>
      <c r="AK605" s="1492"/>
      <c r="AL605" s="1492"/>
      <c r="AN605" s="990"/>
    </row>
    <row r="606" spans="1:47" s="933" customFormat="1" ht="12.75" customHeight="1">
      <c r="A606" s="1050"/>
      <c r="B606" s="1013"/>
      <c r="C606" s="1487"/>
      <c r="D606" s="1492"/>
      <c r="E606" s="3202"/>
      <c r="F606" s="3202"/>
      <c r="G606" s="3202"/>
      <c r="H606" s="3202"/>
      <c r="I606" s="3202"/>
      <c r="J606" s="3202"/>
      <c r="K606" s="3202"/>
      <c r="L606" s="3202"/>
      <c r="M606" s="3202"/>
      <c r="N606" s="3202"/>
      <c r="O606" s="3202"/>
      <c r="P606" s="3202"/>
      <c r="Q606" s="3202"/>
      <c r="R606" s="3202"/>
      <c r="S606" s="3202"/>
      <c r="T606" s="3202"/>
      <c r="U606" s="3202"/>
      <c r="V606" s="3202"/>
      <c r="W606" s="3202"/>
      <c r="X606" s="3202"/>
      <c r="Y606" s="3202"/>
      <c r="Z606" s="3202"/>
      <c r="AA606" s="3202"/>
      <c r="AB606" s="3202"/>
      <c r="AC606" s="3202"/>
      <c r="AD606" s="3202"/>
      <c r="AE606" s="3202"/>
      <c r="AF606" s="3202"/>
      <c r="AG606" s="3202"/>
      <c r="AH606" s="1492"/>
      <c r="AI606" s="1492"/>
      <c r="AJ606" s="1492"/>
      <c r="AK606" s="1492"/>
      <c r="AL606" s="1492"/>
      <c r="AN606" s="990"/>
    </row>
    <row r="607" spans="1:47" s="933" customFormat="1" ht="12.75" customHeight="1">
      <c r="A607" s="1050"/>
      <c r="B607" s="1013"/>
      <c r="C607" s="1487"/>
      <c r="D607" s="1492"/>
      <c r="E607" s="3202"/>
      <c r="F607" s="3202"/>
      <c r="G607" s="3202"/>
      <c r="H607" s="3202"/>
      <c r="I607" s="3202"/>
      <c r="J607" s="3202"/>
      <c r="K607" s="3202"/>
      <c r="L607" s="3202"/>
      <c r="M607" s="3202"/>
      <c r="N607" s="3202"/>
      <c r="O607" s="3202"/>
      <c r="P607" s="3202"/>
      <c r="Q607" s="3202"/>
      <c r="R607" s="3202"/>
      <c r="S607" s="3202"/>
      <c r="T607" s="3202"/>
      <c r="U607" s="3202"/>
      <c r="V607" s="3202"/>
      <c r="W607" s="3202"/>
      <c r="X607" s="3202"/>
      <c r="Y607" s="3202"/>
      <c r="Z607" s="3202"/>
      <c r="AA607" s="3202"/>
      <c r="AB607" s="3202"/>
      <c r="AC607" s="3202"/>
      <c r="AD607" s="3202"/>
      <c r="AE607" s="3202"/>
      <c r="AF607" s="3202"/>
      <c r="AG607" s="3202"/>
      <c r="AH607" s="1492"/>
      <c r="AI607" s="1492"/>
      <c r="AJ607" s="1492"/>
      <c r="AK607" s="1492"/>
      <c r="AL607" s="1492"/>
      <c r="AN607" s="990"/>
    </row>
    <row r="608" spans="1:47" s="933" customFormat="1" ht="12.75" customHeight="1">
      <c r="A608" s="1050"/>
      <c r="B608" s="1013"/>
      <c r="C608" s="1487"/>
      <c r="D608" s="1494"/>
      <c r="E608" s="3202"/>
      <c r="F608" s="3202"/>
      <c r="G608" s="3202"/>
      <c r="H608" s="3202"/>
      <c r="I608" s="3202"/>
      <c r="J608" s="3202"/>
      <c r="K608" s="3202"/>
      <c r="L608" s="3202"/>
      <c r="M608" s="3202"/>
      <c r="N608" s="3202"/>
      <c r="O608" s="3202"/>
      <c r="P608" s="3202"/>
      <c r="Q608" s="3202"/>
      <c r="R608" s="3202"/>
      <c r="S608" s="3202"/>
      <c r="T608" s="3202"/>
      <c r="U608" s="3202"/>
      <c r="V608" s="3202"/>
      <c r="W608" s="3202"/>
      <c r="X608" s="3202"/>
      <c r="Y608" s="3202"/>
      <c r="Z608" s="3202"/>
      <c r="AA608" s="3202"/>
      <c r="AB608" s="3202"/>
      <c r="AC608" s="3202"/>
      <c r="AD608" s="3202"/>
      <c r="AE608" s="3202"/>
      <c r="AF608" s="3202"/>
      <c r="AG608" s="3202"/>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82">
        <f>VLOOKUP($H$595,$AO$575:$AP$580,2,FALSE)+VLOOKUP($I$603,$AO$602:$AP$604,2,FALSE)</f>
        <v>7</v>
      </c>
      <c r="AK610" s="3184"/>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32" t="s">
        <v>2009</v>
      </c>
      <c r="F614" s="3232"/>
      <c r="G614" s="3232"/>
      <c r="H614" s="3232"/>
      <c r="I614" s="3232"/>
      <c r="J614" s="3232"/>
      <c r="K614" s="3232"/>
      <c r="L614" s="3232"/>
      <c r="M614" s="3232"/>
      <c r="N614" s="3232"/>
      <c r="O614" s="3232"/>
      <c r="P614" s="3232"/>
      <c r="Q614" s="3232"/>
      <c r="R614" s="3232"/>
      <c r="S614" s="3232"/>
      <c r="T614" s="3232"/>
      <c r="U614" s="3232"/>
      <c r="V614" s="3232"/>
      <c r="W614" s="3232"/>
      <c r="X614" s="3232"/>
      <c r="Y614" s="3232"/>
      <c r="Z614" s="3232"/>
      <c r="AA614" s="3232"/>
      <c r="AB614" s="3232"/>
      <c r="AC614" s="3232"/>
      <c r="AD614" s="3232"/>
      <c r="AE614" s="922"/>
      <c r="AF614" s="3146" t="s">
        <v>1548</v>
      </c>
      <c r="AG614" s="3146"/>
      <c r="AH614" s="3146"/>
      <c r="AI614" s="3146"/>
      <c r="AJ614" s="3146"/>
      <c r="AK614" s="3146"/>
      <c r="AL614" s="3146"/>
      <c r="AM614" s="1016"/>
      <c r="AN614" s="1115"/>
    </row>
    <row r="615" spans="1:42" s="933" customFormat="1" ht="12.75" customHeight="1">
      <c r="A615" s="1116"/>
      <c r="B615" s="1013"/>
      <c r="C615" s="1487"/>
      <c r="D615" s="1096"/>
      <c r="E615" s="3232"/>
      <c r="F615" s="3232"/>
      <c r="G615" s="3232"/>
      <c r="H615" s="3232"/>
      <c r="I615" s="3232"/>
      <c r="J615" s="3232"/>
      <c r="K615" s="3232"/>
      <c r="L615" s="3232"/>
      <c r="M615" s="3232"/>
      <c r="N615" s="3232"/>
      <c r="O615" s="3232"/>
      <c r="P615" s="3232"/>
      <c r="Q615" s="3232"/>
      <c r="R615" s="3232"/>
      <c r="S615" s="3232"/>
      <c r="T615" s="3232"/>
      <c r="U615" s="3232"/>
      <c r="V615" s="3232"/>
      <c r="W615" s="3232"/>
      <c r="X615" s="3232"/>
      <c r="Y615" s="3232"/>
      <c r="Z615" s="3232"/>
      <c r="AA615" s="3232"/>
      <c r="AB615" s="3232"/>
      <c r="AC615" s="3232"/>
      <c r="AD615" s="3232"/>
      <c r="AE615" s="996"/>
      <c r="AF615" s="996"/>
      <c r="AG615" s="996"/>
      <c r="AH615" s="996"/>
      <c r="AI615" s="996"/>
      <c r="AJ615" s="996"/>
      <c r="AK615" s="996"/>
      <c r="AL615" s="996"/>
      <c r="AM615" s="1016"/>
      <c r="AN615" s="990"/>
    </row>
    <row r="616" spans="1:42" s="933" customFormat="1" ht="12.75" customHeight="1">
      <c r="A616" s="1050"/>
      <c r="B616" s="1013"/>
      <c r="C616" s="1488"/>
      <c r="D616" s="1096"/>
      <c r="E616" s="3232"/>
      <c r="F616" s="3232"/>
      <c r="G616" s="3232"/>
      <c r="H616" s="3232"/>
      <c r="I616" s="3232"/>
      <c r="J616" s="3232"/>
      <c r="K616" s="3232"/>
      <c r="L616" s="3232"/>
      <c r="M616" s="3232"/>
      <c r="N616" s="3232"/>
      <c r="O616" s="3232"/>
      <c r="P616" s="3232"/>
      <c r="Q616" s="3232"/>
      <c r="R616" s="3232"/>
      <c r="S616" s="3232"/>
      <c r="T616" s="3232"/>
      <c r="U616" s="3232"/>
      <c r="V616" s="3232"/>
      <c r="W616" s="3232"/>
      <c r="X616" s="3232"/>
      <c r="Y616" s="3232"/>
      <c r="Z616" s="3232"/>
      <c r="AA616" s="3232"/>
      <c r="AB616" s="3232"/>
      <c r="AC616" s="3232"/>
      <c r="AD616" s="3232"/>
      <c r="AE616" s="996"/>
      <c r="AF616" s="996"/>
      <c r="AG616" s="996"/>
      <c r="AH616" s="996"/>
      <c r="AI616" s="996"/>
      <c r="AJ616" s="996"/>
      <c r="AK616" s="996"/>
      <c r="AL616" s="996"/>
      <c r="AM616" s="1016"/>
      <c r="AN616" s="990"/>
    </row>
    <row r="617" spans="1:42" s="933" customFormat="1" ht="12.75" customHeight="1">
      <c r="A617" s="1050"/>
      <c r="B617" s="1013"/>
      <c r="C617" s="1488"/>
      <c r="D617" s="1096"/>
      <c r="E617" s="3232"/>
      <c r="F617" s="3232"/>
      <c r="G617" s="3232"/>
      <c r="H617" s="3232"/>
      <c r="I617" s="3232"/>
      <c r="J617" s="3232"/>
      <c r="K617" s="3232"/>
      <c r="L617" s="3232"/>
      <c r="M617" s="3232"/>
      <c r="N617" s="3232"/>
      <c r="O617" s="3232"/>
      <c r="P617" s="3232"/>
      <c r="Q617" s="3232"/>
      <c r="R617" s="3232"/>
      <c r="S617" s="3232"/>
      <c r="T617" s="3232"/>
      <c r="U617" s="3232"/>
      <c r="V617" s="3232"/>
      <c r="W617" s="3232"/>
      <c r="X617" s="3232"/>
      <c r="Y617" s="3232"/>
      <c r="Z617" s="3232"/>
      <c r="AA617" s="3232"/>
      <c r="AB617" s="3232"/>
      <c r="AC617" s="3232"/>
      <c r="AD617" s="3232"/>
      <c r="AE617" s="996"/>
      <c r="AF617" s="996"/>
      <c r="AG617" s="996"/>
      <c r="AH617" s="996"/>
      <c r="AI617" s="996"/>
      <c r="AJ617" s="996"/>
      <c r="AK617" s="996"/>
      <c r="AL617" s="996"/>
      <c r="AM617" s="1016"/>
      <c r="AN617" s="990"/>
    </row>
    <row r="618" spans="1:42" s="933" customFormat="1" ht="12.75" customHeight="1">
      <c r="A618" s="1050"/>
      <c r="B618" s="1013"/>
      <c r="C618" s="1488"/>
      <c r="D618" s="1096"/>
      <c r="E618" s="3232"/>
      <c r="F618" s="3232"/>
      <c r="G618" s="3232"/>
      <c r="H618" s="3232"/>
      <c r="I618" s="3232"/>
      <c r="J618" s="3232"/>
      <c r="K618" s="3232"/>
      <c r="L618" s="3232"/>
      <c r="M618" s="3232"/>
      <c r="N618" s="3232"/>
      <c r="O618" s="3232"/>
      <c r="P618" s="3232"/>
      <c r="Q618" s="3232"/>
      <c r="R618" s="3232"/>
      <c r="S618" s="3232"/>
      <c r="T618" s="3232"/>
      <c r="U618" s="3232"/>
      <c r="V618" s="3232"/>
      <c r="W618" s="3232"/>
      <c r="X618" s="3232"/>
      <c r="Y618" s="3232"/>
      <c r="Z618" s="3232"/>
      <c r="AA618" s="3232"/>
      <c r="AB618" s="3232"/>
      <c r="AC618" s="3232"/>
      <c r="AD618" s="3232"/>
      <c r="AE618" s="996"/>
      <c r="AF618" s="996"/>
      <c r="AG618" s="996"/>
      <c r="AH618" s="996"/>
      <c r="AI618" s="996"/>
      <c r="AJ618" s="996"/>
      <c r="AK618" s="996"/>
      <c r="AL618" s="996"/>
      <c r="AM618" s="1016"/>
      <c r="AN618" s="990"/>
    </row>
    <row r="619" spans="1:42" s="933" customFormat="1" ht="12.75" customHeight="1">
      <c r="A619" s="1050"/>
      <c r="B619" s="1013"/>
      <c r="C619" s="1488"/>
      <c r="D619" s="1096"/>
      <c r="E619" s="3232"/>
      <c r="F619" s="3232"/>
      <c r="G619" s="3232"/>
      <c r="H619" s="3232"/>
      <c r="I619" s="3232"/>
      <c r="J619" s="3232"/>
      <c r="K619" s="3232"/>
      <c r="L619" s="3232"/>
      <c r="M619" s="3232"/>
      <c r="N619" s="3232"/>
      <c r="O619" s="3232"/>
      <c r="P619" s="3232"/>
      <c r="Q619" s="3232"/>
      <c r="R619" s="3232"/>
      <c r="S619" s="3232"/>
      <c r="T619" s="3232"/>
      <c r="U619" s="3232"/>
      <c r="V619" s="3232"/>
      <c r="W619" s="3232"/>
      <c r="X619" s="3232"/>
      <c r="Y619" s="3232"/>
      <c r="Z619" s="3232"/>
      <c r="AA619" s="3232"/>
      <c r="AB619" s="3232"/>
      <c r="AC619" s="3232"/>
      <c r="AD619" s="3232"/>
      <c r="AE619" s="996"/>
      <c r="AF619" s="996"/>
      <c r="AG619" s="996"/>
      <c r="AH619" s="996"/>
      <c r="AI619" s="996"/>
      <c r="AJ619" s="996"/>
      <c r="AK619" s="996"/>
      <c r="AL619" s="996"/>
      <c r="AM619" s="1016"/>
      <c r="AN619" s="990"/>
    </row>
    <row r="620" spans="1:42" s="933" customFormat="1" ht="12.75" customHeight="1">
      <c r="A620" s="1109"/>
      <c r="B620" s="1025"/>
      <c r="C620" s="1497"/>
      <c r="D620" s="1096"/>
      <c r="E620" s="3232"/>
      <c r="F620" s="3232"/>
      <c r="G620" s="3232"/>
      <c r="H620" s="3232"/>
      <c r="I620" s="3232"/>
      <c r="J620" s="3232"/>
      <c r="K620" s="3232"/>
      <c r="L620" s="3232"/>
      <c r="M620" s="3232"/>
      <c r="N620" s="3232"/>
      <c r="O620" s="3232"/>
      <c r="P620" s="3232"/>
      <c r="Q620" s="3232"/>
      <c r="R620" s="3232"/>
      <c r="S620" s="3232"/>
      <c r="T620" s="3232"/>
      <c r="U620" s="3232"/>
      <c r="V620" s="3232"/>
      <c r="W620" s="3232"/>
      <c r="X620" s="3232"/>
      <c r="Y620" s="3232"/>
      <c r="Z620" s="3232"/>
      <c r="AA620" s="3232"/>
      <c r="AB620" s="3232"/>
      <c r="AC620" s="3232"/>
      <c r="AD620" s="3232"/>
      <c r="AE620" s="1025"/>
      <c r="AF620" s="1025"/>
      <c r="AG620" s="1025"/>
      <c r="AH620" s="1025"/>
      <c r="AI620" s="1025"/>
      <c r="AJ620" s="1025"/>
      <c r="AK620" s="996"/>
      <c r="AL620" s="996"/>
      <c r="AM620" s="1016"/>
      <c r="AN620" s="990"/>
    </row>
    <row r="621" spans="1:42" s="933" customFormat="1" ht="12.75" customHeight="1">
      <c r="A621" s="1050"/>
      <c r="B621" s="1025"/>
      <c r="C621" s="1497"/>
      <c r="D621" s="1096"/>
      <c r="E621" s="3232"/>
      <c r="F621" s="3232"/>
      <c r="G621" s="3232"/>
      <c r="H621" s="3232"/>
      <c r="I621" s="3232"/>
      <c r="J621" s="3232"/>
      <c r="K621" s="3232"/>
      <c r="L621" s="3232"/>
      <c r="M621" s="3232"/>
      <c r="N621" s="3232"/>
      <c r="O621" s="3232"/>
      <c r="P621" s="3232"/>
      <c r="Q621" s="3232"/>
      <c r="R621" s="3232"/>
      <c r="S621" s="3232"/>
      <c r="T621" s="3232"/>
      <c r="U621" s="3232"/>
      <c r="V621" s="3232"/>
      <c r="W621" s="3232"/>
      <c r="X621" s="3232"/>
      <c r="Y621" s="3232"/>
      <c r="Z621" s="3232"/>
      <c r="AA621" s="3232"/>
      <c r="AB621" s="3232"/>
      <c r="AC621" s="3232"/>
      <c r="AD621" s="3232"/>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74" t="s">
        <v>617</v>
      </c>
      <c r="Y623" s="3174"/>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6" t="s">
        <v>1604</v>
      </c>
      <c r="AG625" s="3146"/>
      <c r="AH625" s="3146"/>
      <c r="AI625" s="3146"/>
      <c r="AJ625" s="3146"/>
      <c r="AK625" s="3146"/>
      <c r="AL625" s="3146"/>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33" t="s">
        <v>617</v>
      </c>
      <c r="I627" s="3233"/>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82">
        <f>VLOOKUP($H$627,$AO$594:$AP$596,2,FALSE)</f>
        <v>0</v>
      </c>
      <c r="AK629" s="3184"/>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6" t="s">
        <v>1548</v>
      </c>
      <c r="AG633" s="3146"/>
      <c r="AH633" s="3146"/>
      <c r="AI633" s="3146"/>
      <c r="AJ633" s="3146"/>
      <c r="AK633" s="3146"/>
      <c r="AL633" s="3146"/>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6" t="s">
        <v>1604</v>
      </c>
      <c r="AG636" s="3146"/>
      <c r="AH636" s="3146"/>
      <c r="AI636" s="3146"/>
      <c r="AJ636" s="3146"/>
      <c r="AK636" s="3146"/>
      <c r="AL636" s="3146"/>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33" t="s">
        <v>714</v>
      </c>
      <c r="I639" s="3233"/>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82">
        <f>VLOOKUP(H639,AT594:AU596,2,FALSE)</f>
        <v>3</v>
      </c>
      <c r="AK641" s="3184"/>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202" t="s">
        <v>1616</v>
      </c>
      <c r="F646" s="3202"/>
      <c r="G646" s="3202"/>
      <c r="H646" s="3202"/>
      <c r="I646" s="3202"/>
      <c r="J646" s="3202"/>
      <c r="K646" s="3202"/>
      <c r="L646" s="3202"/>
      <c r="M646" s="3202"/>
      <c r="N646" s="3202"/>
      <c r="O646" s="3202"/>
      <c r="P646" s="3202"/>
      <c r="Q646" s="3202"/>
      <c r="R646" s="3202"/>
      <c r="S646" s="3202"/>
      <c r="T646" s="3202"/>
      <c r="U646" s="3202"/>
      <c r="V646" s="3202"/>
      <c r="W646" s="3202"/>
      <c r="X646" s="3202"/>
      <c r="Y646" s="3202"/>
      <c r="Z646" s="3202"/>
      <c r="AA646" s="3202"/>
      <c r="AB646" s="3202"/>
      <c r="AC646" s="3202"/>
      <c r="AD646" s="917"/>
      <c r="AE646" s="917"/>
      <c r="AF646" s="3146" t="s">
        <v>1574</v>
      </c>
      <c r="AG646" s="3146"/>
      <c r="AH646" s="3146"/>
      <c r="AI646" s="3146"/>
      <c r="AJ646" s="3146"/>
      <c r="AK646" s="3146"/>
      <c r="AL646" s="3146"/>
      <c r="AN646" s="990"/>
    </row>
    <row r="647" spans="1:42" s="933" customFormat="1" ht="12.75" customHeight="1">
      <c r="B647" s="917"/>
      <c r="C647" s="976"/>
      <c r="D647" s="917"/>
      <c r="E647" s="3202"/>
      <c r="F647" s="3202"/>
      <c r="G647" s="3202"/>
      <c r="H647" s="3202"/>
      <c r="I647" s="3202"/>
      <c r="J647" s="3202"/>
      <c r="K647" s="3202"/>
      <c r="L647" s="3202"/>
      <c r="M647" s="3202"/>
      <c r="N647" s="3202"/>
      <c r="O647" s="3202"/>
      <c r="P647" s="3202"/>
      <c r="Q647" s="3202"/>
      <c r="R647" s="3202"/>
      <c r="S647" s="3202"/>
      <c r="T647" s="3202"/>
      <c r="U647" s="3202"/>
      <c r="V647" s="3202"/>
      <c r="W647" s="3202"/>
      <c r="X647" s="3202"/>
      <c r="Y647" s="3202"/>
      <c r="Z647" s="3202"/>
      <c r="AA647" s="3202"/>
      <c r="AB647" s="3202"/>
      <c r="AC647" s="3202"/>
      <c r="AD647" s="917"/>
      <c r="AE647" s="917"/>
      <c r="AF647" s="917"/>
      <c r="AG647" s="917"/>
      <c r="AH647" s="917"/>
      <c r="AI647" s="917"/>
      <c r="AJ647" s="917"/>
      <c r="AK647" s="917"/>
      <c r="AL647" s="917"/>
      <c r="AN647" s="990"/>
    </row>
    <row r="648" spans="1:42" s="933" customFormat="1" ht="12.75" customHeight="1">
      <c r="B648" s="917"/>
      <c r="C648" s="976"/>
      <c r="D648" s="1096"/>
      <c r="E648" s="3202"/>
      <c r="F648" s="3202"/>
      <c r="G648" s="3202"/>
      <c r="H648" s="3202"/>
      <c r="I648" s="3202"/>
      <c r="J648" s="3202"/>
      <c r="K648" s="3202"/>
      <c r="L648" s="3202"/>
      <c r="M648" s="3202"/>
      <c r="N648" s="3202"/>
      <c r="O648" s="3202"/>
      <c r="P648" s="3202"/>
      <c r="Q648" s="3202"/>
      <c r="R648" s="3202"/>
      <c r="S648" s="3202"/>
      <c r="T648" s="3202"/>
      <c r="U648" s="3202"/>
      <c r="V648" s="3202"/>
      <c r="W648" s="3202"/>
      <c r="X648" s="3202"/>
      <c r="Y648" s="3202"/>
      <c r="Z648" s="3202"/>
      <c r="AA648" s="3202"/>
      <c r="AB648" s="3202"/>
      <c r="AC648" s="3202"/>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202" t="s">
        <v>1617</v>
      </c>
      <c r="F650" s="3202"/>
      <c r="G650" s="3202"/>
      <c r="H650" s="3202"/>
      <c r="I650" s="3202"/>
      <c r="J650" s="3202"/>
      <c r="K650" s="3202"/>
      <c r="L650" s="3202"/>
      <c r="M650" s="3202"/>
      <c r="N650" s="3202"/>
      <c r="O650" s="3202"/>
      <c r="P650" s="3202"/>
      <c r="Q650" s="3202"/>
      <c r="R650" s="3202"/>
      <c r="S650" s="3202"/>
      <c r="T650" s="3202"/>
      <c r="U650" s="3202"/>
      <c r="V650" s="3202"/>
      <c r="W650" s="3202"/>
      <c r="X650" s="3202"/>
      <c r="Y650" s="3202"/>
      <c r="Z650" s="3202"/>
      <c r="AA650" s="3202"/>
      <c r="AB650" s="3202"/>
      <c r="AC650" s="3202"/>
      <c r="AD650" s="917"/>
      <c r="AE650" s="917"/>
      <c r="AF650" s="3146" t="s">
        <v>1595</v>
      </c>
      <c r="AG650" s="3146"/>
      <c r="AH650" s="3146"/>
      <c r="AI650" s="3146"/>
      <c r="AJ650" s="3146"/>
      <c r="AK650" s="3146"/>
      <c r="AL650" s="3146"/>
      <c r="AN650" s="990"/>
    </row>
    <row r="651" spans="1:42" s="933" customFormat="1" ht="12.75" customHeight="1">
      <c r="B651" s="917"/>
      <c r="C651" s="976"/>
      <c r="D651" s="917"/>
      <c r="E651" s="3202"/>
      <c r="F651" s="3202"/>
      <c r="G651" s="3202"/>
      <c r="H651" s="3202"/>
      <c r="I651" s="3202"/>
      <c r="J651" s="3202"/>
      <c r="K651" s="3202"/>
      <c r="L651" s="3202"/>
      <c r="M651" s="3202"/>
      <c r="N651" s="3202"/>
      <c r="O651" s="3202"/>
      <c r="P651" s="3202"/>
      <c r="Q651" s="3202"/>
      <c r="R651" s="3202"/>
      <c r="S651" s="3202"/>
      <c r="T651" s="3202"/>
      <c r="U651" s="3202"/>
      <c r="V651" s="3202"/>
      <c r="W651" s="3202"/>
      <c r="X651" s="3202"/>
      <c r="Y651" s="3202"/>
      <c r="Z651" s="3202"/>
      <c r="AA651" s="3202"/>
      <c r="AB651" s="3202"/>
      <c r="AC651" s="3202"/>
      <c r="AD651" s="917"/>
      <c r="AE651" s="917"/>
      <c r="AF651" s="917"/>
      <c r="AG651" s="917"/>
      <c r="AH651" s="917"/>
      <c r="AI651" s="917"/>
      <c r="AJ651" s="917"/>
      <c r="AK651" s="917"/>
      <c r="AL651" s="917"/>
      <c r="AN651" s="990"/>
    </row>
    <row r="652" spans="1:42" s="933" customFormat="1" ht="15" customHeight="1">
      <c r="B652" s="917"/>
      <c r="C652" s="976"/>
      <c r="D652" s="1096"/>
      <c r="E652" s="3202"/>
      <c r="F652" s="3202"/>
      <c r="G652" s="3202"/>
      <c r="H652" s="3202"/>
      <c r="I652" s="3202"/>
      <c r="J652" s="3202"/>
      <c r="K652" s="3202"/>
      <c r="L652" s="3202"/>
      <c r="M652" s="3202"/>
      <c r="N652" s="3202"/>
      <c r="O652" s="3202"/>
      <c r="P652" s="3202"/>
      <c r="Q652" s="3202"/>
      <c r="R652" s="3202"/>
      <c r="S652" s="3202"/>
      <c r="T652" s="3202"/>
      <c r="U652" s="3202"/>
      <c r="V652" s="3202"/>
      <c r="W652" s="3202"/>
      <c r="X652" s="3202"/>
      <c r="Y652" s="3202"/>
      <c r="Z652" s="3202"/>
      <c r="AA652" s="3202"/>
      <c r="AB652" s="3202"/>
      <c r="AC652" s="3202"/>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202" t="s">
        <v>1618</v>
      </c>
      <c r="F654" s="3202"/>
      <c r="G654" s="3202"/>
      <c r="H654" s="3202"/>
      <c r="I654" s="3202"/>
      <c r="J654" s="3202"/>
      <c r="K654" s="3202"/>
      <c r="L654" s="3202"/>
      <c r="M654" s="3202"/>
      <c r="N654" s="3202"/>
      <c r="O654" s="3202"/>
      <c r="P654" s="3202"/>
      <c r="Q654" s="3202"/>
      <c r="R654" s="3202"/>
      <c r="S654" s="3202"/>
      <c r="T654" s="3202"/>
      <c r="U654" s="3202"/>
      <c r="V654" s="3202"/>
      <c r="W654" s="3202"/>
      <c r="X654" s="3202"/>
      <c r="Y654" s="3202"/>
      <c r="Z654" s="3202"/>
      <c r="AA654" s="3202"/>
      <c r="AB654" s="3202"/>
      <c r="AC654" s="3202"/>
      <c r="AD654" s="917"/>
      <c r="AE654" s="917"/>
      <c r="AF654" s="3146" t="s">
        <v>1548</v>
      </c>
      <c r="AG654" s="3146"/>
      <c r="AH654" s="3146"/>
      <c r="AI654" s="3146"/>
      <c r="AJ654" s="3146"/>
      <c r="AK654" s="3146"/>
      <c r="AL654" s="3146"/>
      <c r="AN654" s="990"/>
    </row>
    <row r="655" spans="1:42" s="933" customFormat="1" ht="12.75" customHeight="1">
      <c r="A655" s="1050"/>
      <c r="B655" s="1013"/>
      <c r="C655" s="1488"/>
      <c r="D655" s="917"/>
      <c r="E655" s="3202"/>
      <c r="F655" s="3202"/>
      <c r="G655" s="3202"/>
      <c r="H655" s="3202"/>
      <c r="I655" s="3202"/>
      <c r="J655" s="3202"/>
      <c r="K655" s="3202"/>
      <c r="L655" s="3202"/>
      <c r="M655" s="3202"/>
      <c r="N655" s="3202"/>
      <c r="O655" s="3202"/>
      <c r="P655" s="3202"/>
      <c r="Q655" s="3202"/>
      <c r="R655" s="3202"/>
      <c r="S655" s="3202"/>
      <c r="T655" s="3202"/>
      <c r="U655" s="3202"/>
      <c r="V655" s="3202"/>
      <c r="W655" s="3202"/>
      <c r="X655" s="3202"/>
      <c r="Y655" s="3202"/>
      <c r="Z655" s="3202"/>
      <c r="AA655" s="3202"/>
      <c r="AB655" s="3202"/>
      <c r="AC655" s="3202"/>
      <c r="AD655" s="917"/>
      <c r="AE655" s="3146"/>
      <c r="AF655" s="3146"/>
      <c r="AG655" s="3146"/>
      <c r="AH655" s="3146"/>
      <c r="AI655" s="3146"/>
      <c r="AJ655" s="3146"/>
      <c r="AK655" s="3146"/>
      <c r="AL655" s="1447"/>
      <c r="AM655" s="1016"/>
      <c r="AN655" s="990"/>
      <c r="AO655" s="933" t="s">
        <v>617</v>
      </c>
      <c r="AP655" s="1110">
        <v>0</v>
      </c>
    </row>
    <row r="656" spans="1:42" s="933" customFormat="1" ht="12.75" customHeight="1">
      <c r="A656" s="1116"/>
      <c r="B656" s="917"/>
      <c r="C656" s="917"/>
      <c r="D656" s="1096"/>
      <c r="E656" s="3202"/>
      <c r="F656" s="3202"/>
      <c r="G656" s="3202"/>
      <c r="H656" s="3202"/>
      <c r="I656" s="3202"/>
      <c r="J656" s="3202"/>
      <c r="K656" s="3202"/>
      <c r="L656" s="3202"/>
      <c r="M656" s="3202"/>
      <c r="N656" s="3202"/>
      <c r="O656" s="3202"/>
      <c r="P656" s="3202"/>
      <c r="Q656" s="3202"/>
      <c r="R656" s="3202"/>
      <c r="S656" s="3202"/>
      <c r="T656" s="3202"/>
      <c r="U656" s="3202"/>
      <c r="V656" s="3202"/>
      <c r="W656" s="3202"/>
      <c r="X656" s="3202"/>
      <c r="Y656" s="3202"/>
      <c r="Z656" s="3202"/>
      <c r="AA656" s="3202"/>
      <c r="AB656" s="3202"/>
      <c r="AC656" s="3202"/>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202" t="s">
        <v>1619</v>
      </c>
      <c r="F658" s="3202"/>
      <c r="G658" s="3202"/>
      <c r="H658" s="3202"/>
      <c r="I658" s="3202"/>
      <c r="J658" s="3202"/>
      <c r="K658" s="3202"/>
      <c r="L658" s="3202"/>
      <c r="M658" s="3202"/>
      <c r="N658" s="3202"/>
      <c r="O658" s="3202"/>
      <c r="P658" s="3202"/>
      <c r="Q658" s="3202"/>
      <c r="R658" s="3202"/>
      <c r="S658" s="3202"/>
      <c r="T658" s="3202"/>
      <c r="U658" s="3202"/>
      <c r="V658" s="3202"/>
      <c r="W658" s="3202"/>
      <c r="X658" s="3202"/>
      <c r="Y658" s="3202"/>
      <c r="Z658" s="3202"/>
      <c r="AA658" s="3202"/>
      <c r="AB658" s="3202"/>
      <c r="AC658" s="3202"/>
      <c r="AD658" s="917"/>
      <c r="AE658" s="917"/>
      <c r="AF658" s="3146" t="s">
        <v>1595</v>
      </c>
      <c r="AG658" s="3146"/>
      <c r="AH658" s="3146"/>
      <c r="AI658" s="3146"/>
      <c r="AJ658" s="3146"/>
      <c r="AK658" s="3146"/>
      <c r="AL658" s="3146"/>
      <c r="AN658" s="990"/>
    </row>
    <row r="659" spans="1:42" s="933" customFormat="1" ht="12.75" customHeight="1">
      <c r="A659" s="1105"/>
      <c r="B659" s="1013"/>
      <c r="C659" s="1504"/>
      <c r="D659" s="1096"/>
      <c r="E659" s="3202"/>
      <c r="F659" s="3202"/>
      <c r="G659" s="3202"/>
      <c r="H659" s="3202"/>
      <c r="I659" s="3202"/>
      <c r="J659" s="3202"/>
      <c r="K659" s="3202"/>
      <c r="L659" s="3202"/>
      <c r="M659" s="3202"/>
      <c r="N659" s="3202"/>
      <c r="O659" s="3202"/>
      <c r="P659" s="3202"/>
      <c r="Q659" s="3202"/>
      <c r="R659" s="3202"/>
      <c r="S659" s="3202"/>
      <c r="T659" s="3202"/>
      <c r="U659" s="3202"/>
      <c r="V659" s="3202"/>
      <c r="W659" s="3202"/>
      <c r="X659" s="3202"/>
      <c r="Y659" s="3202"/>
      <c r="Z659" s="3202"/>
      <c r="AA659" s="3202"/>
      <c r="AB659" s="3202"/>
      <c r="AC659" s="3202"/>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202"/>
      <c r="F660" s="3202"/>
      <c r="G660" s="3202"/>
      <c r="H660" s="3202"/>
      <c r="I660" s="3202"/>
      <c r="J660" s="3202"/>
      <c r="K660" s="3202"/>
      <c r="L660" s="3202"/>
      <c r="M660" s="3202"/>
      <c r="N660" s="3202"/>
      <c r="O660" s="3202"/>
      <c r="P660" s="3202"/>
      <c r="Q660" s="3202"/>
      <c r="R660" s="3202"/>
      <c r="S660" s="3202"/>
      <c r="T660" s="3202"/>
      <c r="U660" s="3202"/>
      <c r="V660" s="3202"/>
      <c r="W660" s="3202"/>
      <c r="X660" s="3202"/>
      <c r="Y660" s="3202"/>
      <c r="Z660" s="3202"/>
      <c r="AA660" s="3202"/>
      <c r="AB660" s="3202"/>
      <c r="AC660" s="3202"/>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202" t="s">
        <v>1620</v>
      </c>
      <c r="F662" s="3202"/>
      <c r="G662" s="3202"/>
      <c r="H662" s="3202"/>
      <c r="I662" s="3202"/>
      <c r="J662" s="3202"/>
      <c r="K662" s="3202"/>
      <c r="L662" s="3202"/>
      <c r="M662" s="3202"/>
      <c r="N662" s="3202"/>
      <c r="O662" s="3202"/>
      <c r="P662" s="3202"/>
      <c r="Q662" s="3202"/>
      <c r="R662" s="3202"/>
      <c r="S662" s="3202"/>
      <c r="T662" s="3202"/>
      <c r="U662" s="3202"/>
      <c r="V662" s="3202"/>
      <c r="W662" s="3202"/>
      <c r="X662" s="3202"/>
      <c r="Y662" s="3202"/>
      <c r="Z662" s="3202"/>
      <c r="AA662" s="3202"/>
      <c r="AB662" s="3202"/>
      <c r="AC662" s="3202"/>
      <c r="AD662" s="917"/>
      <c r="AE662" s="917"/>
      <c r="AF662" s="3146" t="s">
        <v>1548</v>
      </c>
      <c r="AG662" s="3146"/>
      <c r="AH662" s="3146"/>
      <c r="AI662" s="3146"/>
      <c r="AJ662" s="3146"/>
      <c r="AK662" s="3146"/>
      <c r="AL662" s="3146"/>
      <c r="AM662" s="1055"/>
      <c r="AN662" s="990"/>
    </row>
    <row r="663" spans="1:42" s="933" customFormat="1" ht="12.75" customHeight="1">
      <c r="A663" s="1050"/>
      <c r="B663" s="1013"/>
      <c r="C663" s="1488"/>
      <c r="D663" s="1096"/>
      <c r="E663" s="3202"/>
      <c r="F663" s="3202"/>
      <c r="G663" s="3202"/>
      <c r="H663" s="3202"/>
      <c r="I663" s="3202"/>
      <c r="J663" s="3202"/>
      <c r="K663" s="3202"/>
      <c r="L663" s="3202"/>
      <c r="M663" s="3202"/>
      <c r="N663" s="3202"/>
      <c r="O663" s="3202"/>
      <c r="P663" s="3202"/>
      <c r="Q663" s="3202"/>
      <c r="R663" s="3202"/>
      <c r="S663" s="3202"/>
      <c r="T663" s="3202"/>
      <c r="U663" s="3202"/>
      <c r="V663" s="3202"/>
      <c r="W663" s="3202"/>
      <c r="X663" s="3202"/>
      <c r="Y663" s="3202"/>
      <c r="Z663" s="3202"/>
      <c r="AA663" s="3202"/>
      <c r="AB663" s="3202"/>
      <c r="AC663" s="3202"/>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202"/>
      <c r="F664" s="3202"/>
      <c r="G664" s="3202"/>
      <c r="H664" s="3202"/>
      <c r="I664" s="3202"/>
      <c r="J664" s="3202"/>
      <c r="K664" s="3202"/>
      <c r="L664" s="3202"/>
      <c r="M664" s="3202"/>
      <c r="N664" s="3202"/>
      <c r="O664" s="3202"/>
      <c r="P664" s="3202"/>
      <c r="Q664" s="3202"/>
      <c r="R664" s="3202"/>
      <c r="S664" s="3202"/>
      <c r="T664" s="3202"/>
      <c r="U664" s="3202"/>
      <c r="V664" s="3202"/>
      <c r="W664" s="3202"/>
      <c r="X664" s="3202"/>
      <c r="Y664" s="3202"/>
      <c r="Z664" s="3202"/>
      <c r="AA664" s="3202"/>
      <c r="AB664" s="3202"/>
      <c r="AC664" s="3202"/>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202" t="s">
        <v>1621</v>
      </c>
      <c r="F666" s="3202"/>
      <c r="G666" s="3202"/>
      <c r="H666" s="3202"/>
      <c r="I666" s="3202"/>
      <c r="J666" s="3202"/>
      <c r="K666" s="3202"/>
      <c r="L666" s="3202"/>
      <c r="M666" s="3202"/>
      <c r="N666" s="3202"/>
      <c r="O666" s="3202"/>
      <c r="P666" s="3202"/>
      <c r="Q666" s="3202"/>
      <c r="R666" s="3202"/>
      <c r="S666" s="3202"/>
      <c r="T666" s="3202"/>
      <c r="U666" s="3202"/>
      <c r="V666" s="3202"/>
      <c r="W666" s="3202"/>
      <c r="X666" s="3202"/>
      <c r="Y666" s="3202"/>
      <c r="Z666" s="3202"/>
      <c r="AA666" s="3202"/>
      <c r="AB666" s="3202"/>
      <c r="AC666" s="3202"/>
      <c r="AD666" s="917"/>
      <c r="AE666" s="917"/>
      <c r="AF666" s="3146" t="s">
        <v>1604</v>
      </c>
      <c r="AG666" s="3146"/>
      <c r="AH666" s="3146"/>
      <c r="AI666" s="3146"/>
      <c r="AJ666" s="3146"/>
      <c r="AK666" s="3146"/>
      <c r="AL666" s="3146"/>
      <c r="AM666" s="1055"/>
      <c r="AN666" s="990"/>
    </row>
    <row r="667" spans="1:42" s="933" customFormat="1" ht="12.75" customHeight="1">
      <c r="A667" s="1450"/>
      <c r="B667" s="996"/>
      <c r="C667" s="1485"/>
      <c r="D667" s="1096"/>
      <c r="E667" s="3202"/>
      <c r="F667" s="3202"/>
      <c r="G667" s="3202"/>
      <c r="H667" s="3202"/>
      <c r="I667" s="3202"/>
      <c r="J667" s="3202"/>
      <c r="K667" s="3202"/>
      <c r="L667" s="3202"/>
      <c r="M667" s="3202"/>
      <c r="N667" s="3202"/>
      <c r="O667" s="3202"/>
      <c r="P667" s="3202"/>
      <c r="Q667" s="3202"/>
      <c r="R667" s="3202"/>
      <c r="S667" s="3202"/>
      <c r="T667" s="3202"/>
      <c r="U667" s="3202"/>
      <c r="V667" s="3202"/>
      <c r="W667" s="3202"/>
      <c r="X667" s="3202"/>
      <c r="Y667" s="3202"/>
      <c r="Z667" s="3202"/>
      <c r="AA667" s="3202"/>
      <c r="AB667" s="3202"/>
      <c r="AC667" s="3202"/>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202"/>
      <c r="F668" s="3202"/>
      <c r="G668" s="3202"/>
      <c r="H668" s="3202"/>
      <c r="I668" s="3202"/>
      <c r="J668" s="3202"/>
      <c r="K668" s="3202"/>
      <c r="L668" s="3202"/>
      <c r="M668" s="3202"/>
      <c r="N668" s="3202"/>
      <c r="O668" s="3202"/>
      <c r="P668" s="3202"/>
      <c r="Q668" s="3202"/>
      <c r="R668" s="3202"/>
      <c r="S668" s="3202"/>
      <c r="T668" s="3202"/>
      <c r="U668" s="3202"/>
      <c r="V668" s="3202"/>
      <c r="W668" s="3202"/>
      <c r="X668" s="3202"/>
      <c r="Y668" s="3202"/>
      <c r="Z668" s="3202"/>
      <c r="AA668" s="3202"/>
      <c r="AB668" s="3202"/>
      <c r="AC668" s="3202"/>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202" t="s">
        <v>1622</v>
      </c>
      <c r="F670" s="3202"/>
      <c r="G670" s="3202"/>
      <c r="H670" s="3202"/>
      <c r="I670" s="3202"/>
      <c r="J670" s="3202"/>
      <c r="K670" s="3202"/>
      <c r="L670" s="3202"/>
      <c r="M670" s="3202"/>
      <c r="N670" s="3202"/>
      <c r="O670" s="3202"/>
      <c r="P670" s="3202"/>
      <c r="Q670" s="3202"/>
      <c r="R670" s="3202"/>
      <c r="S670" s="3202"/>
      <c r="T670" s="3202"/>
      <c r="U670" s="3202"/>
      <c r="V670" s="3202"/>
      <c r="W670" s="3202"/>
      <c r="X670" s="3202"/>
      <c r="Y670" s="3202"/>
      <c r="Z670" s="3202"/>
      <c r="AA670" s="3202"/>
      <c r="AB670" s="3202"/>
      <c r="AC670" s="3202"/>
      <c r="AD670" s="917"/>
      <c r="AE670" s="917"/>
      <c r="AF670" s="3146" t="s">
        <v>1623</v>
      </c>
      <c r="AG670" s="3146"/>
      <c r="AH670" s="3146"/>
      <c r="AI670" s="3146"/>
      <c r="AJ670" s="3146"/>
      <c r="AK670" s="3146"/>
      <c r="AL670" s="3146"/>
      <c r="AM670" s="1055"/>
      <c r="AN670" s="990"/>
      <c r="AO670" s="1108" t="s">
        <v>714</v>
      </c>
      <c r="AP670" s="933">
        <v>3</v>
      </c>
    </row>
    <row r="671" spans="1:42" s="933" customFormat="1" ht="12.75" customHeight="1">
      <c r="A671" s="1450"/>
      <c r="B671" s="996"/>
      <c r="C671" s="1485"/>
      <c r="D671" s="1096"/>
      <c r="E671" s="3202"/>
      <c r="F671" s="3202"/>
      <c r="G671" s="3202"/>
      <c r="H671" s="3202"/>
      <c r="I671" s="3202"/>
      <c r="J671" s="3202"/>
      <c r="K671" s="3202"/>
      <c r="L671" s="3202"/>
      <c r="M671" s="3202"/>
      <c r="N671" s="3202"/>
      <c r="O671" s="3202"/>
      <c r="P671" s="3202"/>
      <c r="Q671" s="3202"/>
      <c r="R671" s="3202"/>
      <c r="S671" s="3202"/>
      <c r="T671" s="3202"/>
      <c r="U671" s="3202"/>
      <c r="V671" s="3202"/>
      <c r="W671" s="3202"/>
      <c r="X671" s="3202"/>
      <c r="Y671" s="3202"/>
      <c r="Z671" s="3202"/>
      <c r="AA671" s="3202"/>
      <c r="AB671" s="3202"/>
      <c r="AC671" s="3202"/>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202"/>
      <c r="F672" s="3202"/>
      <c r="G672" s="3202"/>
      <c r="H672" s="3202"/>
      <c r="I672" s="3202"/>
      <c r="J672" s="3202"/>
      <c r="K672" s="3202"/>
      <c r="L672" s="3202"/>
      <c r="M672" s="3202"/>
      <c r="N672" s="3202"/>
      <c r="O672" s="3202"/>
      <c r="P672" s="3202"/>
      <c r="Q672" s="3202"/>
      <c r="R672" s="3202"/>
      <c r="S672" s="3202"/>
      <c r="T672" s="3202"/>
      <c r="U672" s="3202"/>
      <c r="V672" s="3202"/>
      <c r="W672" s="3202"/>
      <c r="X672" s="3202"/>
      <c r="Y672" s="3202"/>
      <c r="Z672" s="3202"/>
      <c r="AA672" s="3202"/>
      <c r="AB672" s="3202"/>
      <c r="AC672" s="3202"/>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33" t="s">
        <v>534</v>
      </c>
      <c r="I674" s="3233"/>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82">
        <f>VLOOKUP($H$674,$AO$622:$AP$629,2,FALSE)</f>
        <v>4</v>
      </c>
      <c r="AK676" s="3184"/>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202" t="s">
        <v>2006</v>
      </c>
      <c r="F680" s="3202"/>
      <c r="G680" s="3202"/>
      <c r="H680" s="3202"/>
      <c r="I680" s="3202"/>
      <c r="J680" s="3202"/>
      <c r="K680" s="3202"/>
      <c r="L680" s="3202"/>
      <c r="M680" s="3202"/>
      <c r="N680" s="3202"/>
      <c r="O680" s="3202"/>
      <c r="P680" s="3202"/>
      <c r="Q680" s="3202"/>
      <c r="R680" s="3202"/>
      <c r="S680" s="3202"/>
      <c r="T680" s="3202"/>
      <c r="U680" s="3202"/>
      <c r="V680" s="3202"/>
      <c r="W680" s="3202"/>
      <c r="X680" s="3202"/>
      <c r="Y680" s="3202"/>
      <c r="Z680" s="3202"/>
      <c r="AA680" s="3202"/>
      <c r="AB680" s="3202"/>
      <c r="AC680" s="917"/>
      <c r="AD680" s="917"/>
      <c r="AE680" s="920"/>
      <c r="AF680" s="3146" t="s">
        <v>1548</v>
      </c>
      <c r="AG680" s="3146"/>
      <c r="AH680" s="3146"/>
      <c r="AI680" s="3146"/>
      <c r="AJ680" s="3146"/>
      <c r="AK680" s="3146"/>
      <c r="AL680" s="3146"/>
      <c r="AM680" s="1016"/>
      <c r="AN680" s="991"/>
    </row>
    <row r="681" spans="1:42" s="992" customFormat="1" ht="12.75" customHeight="1">
      <c r="A681" s="1050"/>
      <c r="B681" s="1013"/>
      <c r="C681" s="1497"/>
      <c r="D681" s="1096"/>
      <c r="E681" s="3202"/>
      <c r="F681" s="3202"/>
      <c r="G681" s="3202"/>
      <c r="H681" s="3202"/>
      <c r="I681" s="3202"/>
      <c r="J681" s="3202"/>
      <c r="K681" s="3202"/>
      <c r="L681" s="3202"/>
      <c r="M681" s="3202"/>
      <c r="N681" s="3202"/>
      <c r="O681" s="3202"/>
      <c r="P681" s="3202"/>
      <c r="Q681" s="3202"/>
      <c r="R681" s="3202"/>
      <c r="S681" s="3202"/>
      <c r="T681" s="3202"/>
      <c r="U681" s="3202"/>
      <c r="V681" s="3202"/>
      <c r="W681" s="3202"/>
      <c r="X681" s="3202"/>
      <c r="Y681" s="3202"/>
      <c r="Z681" s="3202"/>
      <c r="AA681" s="3202"/>
      <c r="AB681" s="3202"/>
      <c r="AC681" s="917"/>
      <c r="AD681" s="917"/>
      <c r="AE681" s="1025"/>
      <c r="AF681" s="920"/>
      <c r="AG681" s="920"/>
      <c r="AH681" s="920"/>
      <c r="AI681" s="920"/>
      <c r="AJ681" s="920"/>
      <c r="AK681" s="920"/>
      <c r="AL681" s="920"/>
      <c r="AM681" s="1016"/>
      <c r="AN681" s="991"/>
      <c r="AO681" s="3236"/>
      <c r="AP681" s="3236"/>
    </row>
    <row r="682" spans="1:42" s="992" customFormat="1" ht="12.75" customHeight="1">
      <c r="A682" s="1050"/>
      <c r="B682" s="1013"/>
      <c r="C682" s="1497"/>
      <c r="D682" s="1096"/>
      <c r="E682" s="3202"/>
      <c r="F682" s="3202"/>
      <c r="G682" s="3202"/>
      <c r="H682" s="3202"/>
      <c r="I682" s="3202"/>
      <c r="J682" s="3202"/>
      <c r="K682" s="3202"/>
      <c r="L682" s="3202"/>
      <c r="M682" s="3202"/>
      <c r="N682" s="3202"/>
      <c r="O682" s="3202"/>
      <c r="P682" s="3202"/>
      <c r="Q682" s="3202"/>
      <c r="R682" s="3202"/>
      <c r="S682" s="3202"/>
      <c r="T682" s="3202"/>
      <c r="U682" s="3202"/>
      <c r="V682" s="3202"/>
      <c r="W682" s="3202"/>
      <c r="X682" s="3202"/>
      <c r="Y682" s="3202"/>
      <c r="Z682" s="3202"/>
      <c r="AA682" s="3202"/>
      <c r="AB682" s="3202"/>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202"/>
      <c r="F683" s="3202"/>
      <c r="G683" s="3202"/>
      <c r="H683" s="3202"/>
      <c r="I683" s="3202"/>
      <c r="J683" s="3202"/>
      <c r="K683" s="3202"/>
      <c r="L683" s="3202"/>
      <c r="M683" s="3202"/>
      <c r="N683" s="3202"/>
      <c r="O683" s="3202"/>
      <c r="P683" s="3202"/>
      <c r="Q683" s="3202"/>
      <c r="R683" s="3202"/>
      <c r="S683" s="3202"/>
      <c r="T683" s="3202"/>
      <c r="U683" s="3202"/>
      <c r="V683" s="3202"/>
      <c r="W683" s="3202"/>
      <c r="X683" s="3202"/>
      <c r="Y683" s="3202"/>
      <c r="Z683" s="3202"/>
      <c r="AA683" s="3202"/>
      <c r="AB683" s="3202"/>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202" t="s">
        <v>2008</v>
      </c>
      <c r="F685" s="3202"/>
      <c r="G685" s="3202"/>
      <c r="H685" s="3202"/>
      <c r="I685" s="3202"/>
      <c r="J685" s="3202"/>
      <c r="K685" s="3202"/>
      <c r="L685" s="3202"/>
      <c r="M685" s="3202"/>
      <c r="N685" s="3202"/>
      <c r="O685" s="3202"/>
      <c r="P685" s="3202"/>
      <c r="Q685" s="3202"/>
      <c r="R685" s="3202"/>
      <c r="S685" s="3202"/>
      <c r="T685" s="3202"/>
      <c r="U685" s="3202"/>
      <c r="V685" s="3202"/>
      <c r="W685" s="3202"/>
      <c r="X685" s="3202"/>
      <c r="Y685" s="3202"/>
      <c r="Z685" s="3202"/>
      <c r="AA685" s="3202"/>
      <c r="AB685" s="3202"/>
      <c r="AC685" s="917"/>
      <c r="AD685" s="917"/>
      <c r="AE685" s="917"/>
      <c r="AF685" s="3146" t="s">
        <v>1604</v>
      </c>
      <c r="AG685" s="3146"/>
      <c r="AH685" s="3146"/>
      <c r="AI685" s="3146"/>
      <c r="AJ685" s="3146"/>
      <c r="AK685" s="3146"/>
      <c r="AL685" s="3146"/>
      <c r="AM685" s="1016"/>
      <c r="AN685" s="990"/>
      <c r="AO685" s="1108" t="s">
        <v>534</v>
      </c>
      <c r="AP685" s="933">
        <v>1</v>
      </c>
    </row>
    <row r="686" spans="1:42" s="933" customFormat="1" ht="12" customHeight="1">
      <c r="A686" s="1016"/>
      <c r="B686" s="917"/>
      <c r="C686" s="1505"/>
      <c r="D686" s="917"/>
      <c r="E686" s="3202"/>
      <c r="F686" s="3202"/>
      <c r="G686" s="3202"/>
      <c r="H686" s="3202"/>
      <c r="I686" s="3202"/>
      <c r="J686" s="3202"/>
      <c r="K686" s="3202"/>
      <c r="L686" s="3202"/>
      <c r="M686" s="3202"/>
      <c r="N686" s="3202"/>
      <c r="O686" s="3202"/>
      <c r="P686" s="3202"/>
      <c r="Q686" s="3202"/>
      <c r="R686" s="3202"/>
      <c r="S686" s="3202"/>
      <c r="T686" s="3202"/>
      <c r="U686" s="3202"/>
      <c r="V686" s="3202"/>
      <c r="W686" s="3202"/>
      <c r="X686" s="3202"/>
      <c r="Y686" s="3202"/>
      <c r="Z686" s="3202"/>
      <c r="AA686" s="3202"/>
      <c r="AB686" s="3202"/>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202"/>
      <c r="F687" s="3202"/>
      <c r="G687" s="3202"/>
      <c r="H687" s="3202"/>
      <c r="I687" s="3202"/>
      <c r="J687" s="3202"/>
      <c r="K687" s="3202"/>
      <c r="L687" s="3202"/>
      <c r="M687" s="3202"/>
      <c r="N687" s="3202"/>
      <c r="O687" s="3202"/>
      <c r="P687" s="3202"/>
      <c r="Q687" s="3202"/>
      <c r="R687" s="3202"/>
      <c r="S687" s="3202"/>
      <c r="T687" s="3202"/>
      <c r="U687" s="3202"/>
      <c r="V687" s="3202"/>
      <c r="W687" s="3202"/>
      <c r="X687" s="3202"/>
      <c r="Y687" s="3202"/>
      <c r="Z687" s="3202"/>
      <c r="AA687" s="3202"/>
      <c r="AB687" s="3202"/>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202"/>
      <c r="F688" s="3202"/>
      <c r="G688" s="3202"/>
      <c r="H688" s="3202"/>
      <c r="I688" s="3202"/>
      <c r="J688" s="3202"/>
      <c r="K688" s="3202"/>
      <c r="L688" s="3202"/>
      <c r="M688" s="3202"/>
      <c r="N688" s="3202"/>
      <c r="O688" s="3202"/>
      <c r="P688" s="3202"/>
      <c r="Q688" s="3202"/>
      <c r="R688" s="3202"/>
      <c r="S688" s="3202"/>
      <c r="T688" s="3202"/>
      <c r="U688" s="3202"/>
      <c r="V688" s="3202"/>
      <c r="W688" s="3202"/>
      <c r="X688" s="3202"/>
      <c r="Y688" s="3202"/>
      <c r="Z688" s="3202"/>
      <c r="AA688" s="3202"/>
      <c r="AB688" s="3202"/>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202" t="s">
        <v>2007</v>
      </c>
      <c r="F690" s="3202"/>
      <c r="G690" s="3202"/>
      <c r="H690" s="3202"/>
      <c r="I690" s="3202"/>
      <c r="J690" s="3202"/>
      <c r="K690" s="3202"/>
      <c r="L690" s="3202"/>
      <c r="M690" s="3202"/>
      <c r="N690" s="3202"/>
      <c r="O690" s="3202"/>
      <c r="P690" s="3202"/>
      <c r="Q690" s="3202"/>
      <c r="R690" s="3202"/>
      <c r="S690" s="3202"/>
      <c r="T690" s="3202"/>
      <c r="U690" s="3202"/>
      <c r="V690" s="3202"/>
      <c r="W690" s="3202"/>
      <c r="X690" s="3202"/>
      <c r="Y690" s="3202"/>
      <c r="Z690" s="3202"/>
      <c r="AA690" s="3202"/>
      <c r="AB690" s="3202"/>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202"/>
      <c r="F691" s="3202"/>
      <c r="G691" s="3202"/>
      <c r="H691" s="3202"/>
      <c r="I691" s="3202"/>
      <c r="J691" s="3202"/>
      <c r="K691" s="3202"/>
      <c r="L691" s="3202"/>
      <c r="M691" s="3202"/>
      <c r="N691" s="3202"/>
      <c r="O691" s="3202"/>
      <c r="P691" s="3202"/>
      <c r="Q691" s="3202"/>
      <c r="R691" s="3202"/>
      <c r="S691" s="3202"/>
      <c r="T691" s="3202"/>
      <c r="U691" s="3202"/>
      <c r="V691" s="3202"/>
      <c r="W691" s="3202"/>
      <c r="X691" s="3202"/>
      <c r="Y691" s="3202"/>
      <c r="Z691" s="3202"/>
      <c r="AA691" s="3202"/>
      <c r="AB691" s="3202"/>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202"/>
      <c r="F692" s="3202"/>
      <c r="G692" s="3202"/>
      <c r="H692" s="3202"/>
      <c r="I692" s="3202"/>
      <c r="J692" s="3202"/>
      <c r="K692" s="3202"/>
      <c r="L692" s="3202"/>
      <c r="M692" s="3202"/>
      <c r="N692" s="3202"/>
      <c r="O692" s="3202"/>
      <c r="P692" s="3202"/>
      <c r="Q692" s="3202"/>
      <c r="R692" s="3202"/>
      <c r="S692" s="3202"/>
      <c r="T692" s="3202"/>
      <c r="U692" s="3202"/>
      <c r="V692" s="3202"/>
      <c r="W692" s="3202"/>
      <c r="X692" s="3202"/>
      <c r="Y692" s="3202"/>
      <c r="Z692" s="3202"/>
      <c r="AA692" s="3202"/>
      <c r="AB692" s="3202"/>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33" t="s">
        <v>617</v>
      </c>
      <c r="I694" s="3233"/>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82">
        <f>VLOOKUP($H$694,$AO$641:$AP$643,2,FALSE)</f>
        <v>0</v>
      </c>
      <c r="AK696" s="3184"/>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37" t="s">
        <v>2010</v>
      </c>
      <c r="F700" s="3237"/>
      <c r="G700" s="3237"/>
      <c r="H700" s="3237"/>
      <c r="I700" s="3237"/>
      <c r="J700" s="3237"/>
      <c r="K700" s="3237"/>
      <c r="L700" s="3237"/>
      <c r="M700" s="3237"/>
      <c r="N700" s="3237"/>
      <c r="O700" s="3237"/>
      <c r="P700" s="3237"/>
      <c r="Q700" s="3237"/>
      <c r="R700" s="3237"/>
      <c r="S700" s="3237"/>
      <c r="T700" s="3237"/>
      <c r="U700" s="3237"/>
      <c r="V700" s="3237"/>
      <c r="W700" s="3237"/>
      <c r="X700" s="3237"/>
      <c r="Y700" s="3237"/>
      <c r="Z700" s="3237"/>
      <c r="AA700" s="3237"/>
      <c r="AB700" s="3237"/>
      <c r="AC700" s="917"/>
      <c r="AD700" s="917"/>
      <c r="AE700" s="917"/>
      <c r="AF700" s="3146" t="s">
        <v>1548</v>
      </c>
      <c r="AG700" s="3146"/>
      <c r="AH700" s="3146"/>
      <c r="AI700" s="3146"/>
      <c r="AJ700" s="3146"/>
      <c r="AK700" s="3146"/>
      <c r="AL700" s="3146"/>
      <c r="AM700" s="1016"/>
      <c r="AN700" s="1123"/>
      <c r="AP700" s="1125" t="s">
        <v>1632</v>
      </c>
    </row>
    <row r="701" spans="1:42" s="1124" customFormat="1" ht="11.85" customHeight="1">
      <c r="A701" s="1050"/>
      <c r="B701" s="1013"/>
      <c r="C701" s="1487"/>
      <c r="D701" s="1096"/>
      <c r="E701" s="3237"/>
      <c r="F701" s="3237"/>
      <c r="G701" s="3237"/>
      <c r="H701" s="3237"/>
      <c r="I701" s="3237"/>
      <c r="J701" s="3237"/>
      <c r="K701" s="3237"/>
      <c r="L701" s="3237"/>
      <c r="M701" s="3237"/>
      <c r="N701" s="3237"/>
      <c r="O701" s="3237"/>
      <c r="P701" s="3237"/>
      <c r="Q701" s="3237"/>
      <c r="R701" s="3237"/>
      <c r="S701" s="3237"/>
      <c r="T701" s="3237"/>
      <c r="U701" s="3237"/>
      <c r="V701" s="3237"/>
      <c r="W701" s="3237"/>
      <c r="X701" s="3237"/>
      <c r="Y701" s="3237"/>
      <c r="Z701" s="3237"/>
      <c r="AA701" s="3237"/>
      <c r="AB701" s="3237"/>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37"/>
      <c r="F702" s="3237"/>
      <c r="G702" s="3237"/>
      <c r="H702" s="3237"/>
      <c r="I702" s="3237"/>
      <c r="J702" s="3237"/>
      <c r="K702" s="3237"/>
      <c r="L702" s="3237"/>
      <c r="M702" s="3237"/>
      <c r="N702" s="3237"/>
      <c r="O702" s="3237"/>
      <c r="P702" s="3237"/>
      <c r="Q702" s="3237"/>
      <c r="R702" s="3237"/>
      <c r="S702" s="3237"/>
      <c r="T702" s="3237"/>
      <c r="U702" s="3237"/>
      <c r="V702" s="3237"/>
      <c r="W702" s="3237"/>
      <c r="X702" s="3237"/>
      <c r="Y702" s="3237"/>
      <c r="Z702" s="3237"/>
      <c r="AA702" s="3237"/>
      <c r="AB702" s="3237"/>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534</v>
      </c>
      <c r="E704" s="3238" t="s">
        <v>1635</v>
      </c>
      <c r="F704" s="3238"/>
      <c r="G704" s="3238"/>
      <c r="H704" s="3238"/>
      <c r="I704" s="3238"/>
      <c r="J704" s="3238"/>
      <c r="K704" s="3238"/>
      <c r="L704" s="3238"/>
      <c r="M704" s="3238"/>
      <c r="N704" s="3238"/>
      <c r="O704" s="3238"/>
      <c r="P704" s="3238"/>
      <c r="Q704" s="3238"/>
      <c r="R704" s="3238"/>
      <c r="S704" s="3238"/>
      <c r="T704" s="3238"/>
      <c r="U704" s="3238"/>
      <c r="V704" s="3238"/>
      <c r="W704" s="3238"/>
      <c r="X704" s="3238"/>
      <c r="Y704" s="3238"/>
      <c r="Z704" s="3238"/>
      <c r="AA704" s="3238"/>
      <c r="AB704" s="3238"/>
      <c r="AC704" s="917"/>
      <c r="AD704" s="917"/>
      <c r="AE704" s="917"/>
      <c r="AF704" s="3146" t="s">
        <v>1604</v>
      </c>
      <c r="AG704" s="3146"/>
      <c r="AH704" s="3146"/>
      <c r="AI704" s="3146"/>
      <c r="AJ704" s="3146"/>
      <c r="AK704" s="3146"/>
      <c r="AL704" s="3146"/>
      <c r="AM704" s="1016"/>
      <c r="AN704" s="1126"/>
    </row>
    <row r="705" spans="1:52" s="1124" customFormat="1" ht="12.75" customHeight="1">
      <c r="A705" s="1050"/>
      <c r="B705" s="1013"/>
      <c r="C705" s="1487"/>
      <c r="D705" s="1013"/>
      <c r="E705" s="3238"/>
      <c r="F705" s="3238"/>
      <c r="G705" s="3238"/>
      <c r="H705" s="3238"/>
      <c r="I705" s="3238"/>
      <c r="J705" s="3238"/>
      <c r="K705" s="3238"/>
      <c r="L705" s="3238"/>
      <c r="M705" s="3238"/>
      <c r="N705" s="3238"/>
      <c r="O705" s="3238"/>
      <c r="P705" s="3238"/>
      <c r="Q705" s="3238"/>
      <c r="R705" s="3238"/>
      <c r="S705" s="3238"/>
      <c r="T705" s="3238"/>
      <c r="U705" s="3238"/>
      <c r="V705" s="3238"/>
      <c r="W705" s="3238"/>
      <c r="X705" s="3238"/>
      <c r="Y705" s="3238"/>
      <c r="Z705" s="3238"/>
      <c r="AA705" s="3238"/>
      <c r="AB705" s="3238"/>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38"/>
      <c r="F706" s="3238"/>
      <c r="G706" s="3238"/>
      <c r="H706" s="3238"/>
      <c r="I706" s="3238"/>
      <c r="J706" s="3238"/>
      <c r="K706" s="3238"/>
      <c r="L706" s="3238"/>
      <c r="M706" s="3238"/>
      <c r="N706" s="3238"/>
      <c r="O706" s="3238"/>
      <c r="P706" s="3238"/>
      <c r="Q706" s="3238"/>
      <c r="R706" s="3238"/>
      <c r="S706" s="3238"/>
      <c r="T706" s="3238"/>
      <c r="U706" s="3238"/>
      <c r="V706" s="3238"/>
      <c r="W706" s="3238"/>
      <c r="X706" s="3238"/>
      <c r="Y706" s="3238"/>
      <c r="Z706" s="3238"/>
      <c r="AA706" s="3238"/>
      <c r="AB706" s="3238"/>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1596</v>
      </c>
      <c r="E708" s="1491"/>
      <c r="F708" s="1491"/>
      <c r="G708" s="1491"/>
      <c r="H708" s="3233" t="s">
        <v>617</v>
      </c>
      <c r="I708" s="3233"/>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82">
        <f>VLOOKUP($H$708,$AO$641:$AP$643,2,FALSE)</f>
        <v>0</v>
      </c>
      <c r="AK710" s="3184"/>
      <c r="AL710" s="995"/>
      <c r="AM710" s="992"/>
      <c r="AN710" s="1128"/>
      <c r="AP710" s="3182"/>
      <c r="AQ710" s="3184"/>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202" t="s">
        <v>2011</v>
      </c>
      <c r="F714" s="3202"/>
      <c r="G714" s="3202"/>
      <c r="H714" s="3202"/>
      <c r="I714" s="3202"/>
      <c r="J714" s="3202"/>
      <c r="K714" s="3202"/>
      <c r="L714" s="3202"/>
      <c r="M714" s="3202"/>
      <c r="N714" s="3202"/>
      <c r="O714" s="3202"/>
      <c r="P714" s="3202"/>
      <c r="Q714" s="3202"/>
      <c r="R714" s="3202"/>
      <c r="S714" s="3202"/>
      <c r="T714" s="3202"/>
      <c r="U714" s="3202"/>
      <c r="V714" s="3202"/>
      <c r="W714" s="3202"/>
      <c r="X714" s="3202"/>
      <c r="Y714" s="3202"/>
      <c r="Z714" s="3202"/>
      <c r="AA714" s="3202"/>
      <c r="AB714" s="3202"/>
      <c r="AC714" s="917"/>
      <c r="AD714" s="917"/>
      <c r="AE714" s="917"/>
      <c r="AF714" s="3146" t="s">
        <v>1548</v>
      </c>
      <c r="AG714" s="3146"/>
      <c r="AH714" s="3146"/>
      <c r="AI714" s="3146"/>
      <c r="AJ714" s="3146"/>
      <c r="AK714" s="3146"/>
      <c r="AL714" s="3146"/>
      <c r="AM714" s="1016"/>
      <c r="AN714" s="1123"/>
      <c r="AT714" s="51"/>
      <c r="AU714" s="51"/>
      <c r="AV714" s="51"/>
      <c r="AW714" s="51"/>
      <c r="AX714" s="51"/>
      <c r="AY714" s="51"/>
      <c r="AZ714" s="51"/>
    </row>
    <row r="715" spans="1:52" s="1124" customFormat="1">
      <c r="A715" s="1050"/>
      <c r="B715" s="1013"/>
      <c r="C715" s="1487"/>
      <c r="D715" s="1096"/>
      <c r="E715" s="3202"/>
      <c r="F715" s="3202"/>
      <c r="G715" s="3202"/>
      <c r="H715" s="3202"/>
      <c r="I715" s="3202"/>
      <c r="J715" s="3202"/>
      <c r="K715" s="3202"/>
      <c r="L715" s="3202"/>
      <c r="M715" s="3202"/>
      <c r="N715" s="3202"/>
      <c r="O715" s="3202"/>
      <c r="P715" s="3202"/>
      <c r="Q715" s="3202"/>
      <c r="R715" s="3202"/>
      <c r="S715" s="3202"/>
      <c r="T715" s="3202"/>
      <c r="U715" s="3202"/>
      <c r="V715" s="3202"/>
      <c r="W715" s="3202"/>
      <c r="X715" s="3202"/>
      <c r="Y715" s="3202"/>
      <c r="Z715" s="3202"/>
      <c r="AA715" s="3202"/>
      <c r="AB715" s="3202"/>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202" t="s">
        <v>1639</v>
      </c>
      <c r="F717" s="3202"/>
      <c r="G717" s="3202"/>
      <c r="H717" s="3202"/>
      <c r="I717" s="3202"/>
      <c r="J717" s="3202"/>
      <c r="K717" s="3202"/>
      <c r="L717" s="3202"/>
      <c r="M717" s="3202"/>
      <c r="N717" s="3202"/>
      <c r="O717" s="3202"/>
      <c r="P717" s="3202"/>
      <c r="Q717" s="3202"/>
      <c r="R717" s="3202"/>
      <c r="S717" s="3202"/>
      <c r="T717" s="3202"/>
      <c r="U717" s="3202"/>
      <c r="V717" s="3202"/>
      <c r="W717" s="3202"/>
      <c r="X717" s="3202"/>
      <c r="Y717" s="3202"/>
      <c r="Z717" s="3202"/>
      <c r="AA717" s="3202"/>
      <c r="AB717" s="3202"/>
      <c r="AC717" s="917"/>
      <c r="AD717" s="917"/>
      <c r="AE717" s="917"/>
      <c r="AF717" s="3146" t="s">
        <v>1604</v>
      </c>
      <c r="AG717" s="3146"/>
      <c r="AH717" s="3146"/>
      <c r="AI717" s="3146"/>
      <c r="AJ717" s="3146"/>
      <c r="AK717" s="3146"/>
      <c r="AL717" s="3146"/>
      <c r="AM717" s="1016"/>
      <c r="AN717" s="1123"/>
      <c r="AT717" s="51"/>
      <c r="AU717" s="51"/>
      <c r="AV717" s="51"/>
      <c r="AW717" s="51"/>
      <c r="AX717" s="51"/>
      <c r="AY717" s="51"/>
      <c r="AZ717" s="51"/>
    </row>
    <row r="718" spans="1:52" s="1124" customFormat="1">
      <c r="A718" s="1050"/>
      <c r="B718" s="1013"/>
      <c r="C718" s="1487"/>
      <c r="D718" s="1013"/>
      <c r="E718" s="3202"/>
      <c r="F718" s="3202"/>
      <c r="G718" s="3202"/>
      <c r="H718" s="3202"/>
      <c r="I718" s="3202"/>
      <c r="J718" s="3202"/>
      <c r="K718" s="3202"/>
      <c r="L718" s="3202"/>
      <c r="M718" s="3202"/>
      <c r="N718" s="3202"/>
      <c r="O718" s="3202"/>
      <c r="P718" s="3202"/>
      <c r="Q718" s="3202"/>
      <c r="R718" s="3202"/>
      <c r="S718" s="3202"/>
      <c r="T718" s="3202"/>
      <c r="U718" s="3202"/>
      <c r="V718" s="3202"/>
      <c r="W718" s="3202"/>
      <c r="X718" s="3202"/>
      <c r="Y718" s="3202"/>
      <c r="Z718" s="3202"/>
      <c r="AA718" s="3202"/>
      <c r="AB718" s="3202"/>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33" t="s">
        <v>617</v>
      </c>
      <c r="I720" s="3233"/>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82">
        <f>VLOOKUP($H$720,$AO$655:$AP$657,2,FALSE)</f>
        <v>0</v>
      </c>
      <c r="AK722" s="3184"/>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202" t="s">
        <v>1642</v>
      </c>
      <c r="F726" s="3202"/>
      <c r="G726" s="3202"/>
      <c r="H726" s="3202"/>
      <c r="I726" s="3202"/>
      <c r="J726" s="3202"/>
      <c r="K726" s="3202"/>
      <c r="L726" s="3202"/>
      <c r="M726" s="3202"/>
      <c r="N726" s="3202"/>
      <c r="O726" s="3202"/>
      <c r="P726" s="3202"/>
      <c r="Q726" s="3202"/>
      <c r="R726" s="3202"/>
      <c r="S726" s="3202"/>
      <c r="T726" s="3202"/>
      <c r="U726" s="3202"/>
      <c r="V726" s="3202"/>
      <c r="W726" s="3202"/>
      <c r="X726" s="3202"/>
      <c r="Y726" s="3202"/>
      <c r="Z726" s="3202"/>
      <c r="AA726" s="3202"/>
      <c r="AB726" s="3202"/>
      <c r="AC726" s="917"/>
      <c r="AD726" s="917"/>
      <c r="AE726" s="917"/>
      <c r="AF726" s="3146" t="s">
        <v>1548</v>
      </c>
      <c r="AG726" s="3146"/>
      <c r="AH726" s="3146"/>
      <c r="AI726" s="3146"/>
      <c r="AJ726" s="3146"/>
      <c r="AK726" s="3146"/>
      <c r="AL726" s="3146"/>
      <c r="AM726" s="1016"/>
      <c r="AN726" s="1123"/>
      <c r="AT726" s="51"/>
      <c r="AU726" s="51"/>
      <c r="AV726" s="51"/>
      <c r="AW726" s="51"/>
      <c r="AX726" s="51"/>
      <c r="AY726" s="51"/>
      <c r="AZ726" s="51"/>
    </row>
    <row r="727" spans="1:81" s="1124" customFormat="1">
      <c r="A727" s="1050"/>
      <c r="B727" s="917"/>
      <c r="C727" s="1485"/>
      <c r="D727" s="1096"/>
      <c r="E727" s="3202"/>
      <c r="F727" s="3202"/>
      <c r="G727" s="3202"/>
      <c r="H727" s="3202"/>
      <c r="I727" s="3202"/>
      <c r="J727" s="3202"/>
      <c r="K727" s="3202"/>
      <c r="L727" s="3202"/>
      <c r="M727" s="3202"/>
      <c r="N727" s="3202"/>
      <c r="O727" s="3202"/>
      <c r="P727" s="3202"/>
      <c r="Q727" s="3202"/>
      <c r="R727" s="3202"/>
      <c r="S727" s="3202"/>
      <c r="T727" s="3202"/>
      <c r="U727" s="3202"/>
      <c r="V727" s="3202"/>
      <c r="W727" s="3202"/>
      <c r="X727" s="3202"/>
      <c r="Y727" s="3202"/>
      <c r="Z727" s="3202"/>
      <c r="AA727" s="3202"/>
      <c r="AB727" s="3202"/>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202"/>
      <c r="F728" s="3202"/>
      <c r="G728" s="3202"/>
      <c r="H728" s="3202"/>
      <c r="I728" s="3202"/>
      <c r="J728" s="3202"/>
      <c r="K728" s="3202"/>
      <c r="L728" s="3202"/>
      <c r="M728" s="3202"/>
      <c r="N728" s="3202"/>
      <c r="O728" s="3202"/>
      <c r="P728" s="3202"/>
      <c r="Q728" s="3202"/>
      <c r="R728" s="3202"/>
      <c r="S728" s="3202"/>
      <c r="T728" s="3202"/>
      <c r="U728" s="3202"/>
      <c r="V728" s="3202"/>
      <c r="W728" s="3202"/>
      <c r="X728" s="3202"/>
      <c r="Y728" s="3202"/>
      <c r="Z728" s="3202"/>
      <c r="AA728" s="3202"/>
      <c r="AB728" s="3202"/>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202"/>
      <c r="F729" s="3202"/>
      <c r="G729" s="3202"/>
      <c r="H729" s="3202"/>
      <c r="I729" s="3202"/>
      <c r="J729" s="3202"/>
      <c r="K729" s="3202"/>
      <c r="L729" s="3202"/>
      <c r="M729" s="3202"/>
      <c r="N729" s="3202"/>
      <c r="O729" s="3202"/>
      <c r="P729" s="3202"/>
      <c r="Q729" s="3202"/>
      <c r="R729" s="3202"/>
      <c r="S729" s="3202"/>
      <c r="T729" s="3202"/>
      <c r="U729" s="3202"/>
      <c r="V729" s="3202"/>
      <c r="W729" s="3202"/>
      <c r="X729" s="3202"/>
      <c r="Y729" s="3202"/>
      <c r="Z729" s="3202"/>
      <c r="AA729" s="3202"/>
      <c r="AB729" s="3202"/>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202" t="s">
        <v>1643</v>
      </c>
      <c r="F731" s="3202"/>
      <c r="G731" s="3202"/>
      <c r="H731" s="3202"/>
      <c r="I731" s="3202"/>
      <c r="J731" s="3202"/>
      <c r="K731" s="3202"/>
      <c r="L731" s="3202"/>
      <c r="M731" s="3202"/>
      <c r="N731" s="3202"/>
      <c r="O731" s="3202"/>
      <c r="P731" s="3202"/>
      <c r="Q731" s="3202"/>
      <c r="R731" s="3202"/>
      <c r="S731" s="3202"/>
      <c r="T731" s="3202"/>
      <c r="U731" s="3202"/>
      <c r="V731" s="3202"/>
      <c r="W731" s="3202"/>
      <c r="X731" s="3202"/>
      <c r="Y731" s="3202"/>
      <c r="Z731" s="3202"/>
      <c r="AA731" s="3202"/>
      <c r="AB731" s="959"/>
      <c r="AC731" s="917"/>
      <c r="AD731" s="917"/>
      <c r="AE731" s="917"/>
      <c r="AF731" s="3146" t="s">
        <v>1604</v>
      </c>
      <c r="AG731" s="3146"/>
      <c r="AH731" s="3146"/>
      <c r="AI731" s="3146"/>
      <c r="AJ731" s="3146"/>
      <c r="AK731" s="3146"/>
      <c r="AL731" s="3146"/>
      <c r="AM731" s="1016"/>
      <c r="AN731" s="1123"/>
      <c r="AO731" s="126"/>
      <c r="AP731" s="51"/>
    </row>
    <row r="732" spans="1:81" s="1124" customFormat="1">
      <c r="A732" s="1050"/>
      <c r="B732" s="996"/>
      <c r="C732" s="1485"/>
      <c r="D732" s="1096"/>
      <c r="E732" s="3202"/>
      <c r="F732" s="3202"/>
      <c r="G732" s="3202"/>
      <c r="H732" s="3202"/>
      <c r="I732" s="3202"/>
      <c r="J732" s="3202"/>
      <c r="K732" s="3202"/>
      <c r="L732" s="3202"/>
      <c r="M732" s="3202"/>
      <c r="N732" s="3202"/>
      <c r="O732" s="3202"/>
      <c r="P732" s="3202"/>
      <c r="Q732" s="3202"/>
      <c r="R732" s="3202"/>
      <c r="S732" s="3202"/>
      <c r="T732" s="3202"/>
      <c r="U732" s="3202"/>
      <c r="V732" s="3202"/>
      <c r="W732" s="3202"/>
      <c r="X732" s="3202"/>
      <c r="Y732" s="3202"/>
      <c r="Z732" s="3202"/>
      <c r="AA732" s="3202"/>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202"/>
      <c r="F733" s="3202"/>
      <c r="G733" s="3202"/>
      <c r="H733" s="3202"/>
      <c r="I733" s="3202"/>
      <c r="J733" s="3202"/>
      <c r="K733" s="3202"/>
      <c r="L733" s="3202"/>
      <c r="M733" s="3202"/>
      <c r="N733" s="3202"/>
      <c r="O733" s="3202"/>
      <c r="P733" s="3202"/>
      <c r="Q733" s="3202"/>
      <c r="R733" s="3202"/>
      <c r="S733" s="3202"/>
      <c r="T733" s="3202"/>
      <c r="U733" s="3202"/>
      <c r="V733" s="3202"/>
      <c r="W733" s="3202"/>
      <c r="X733" s="3202"/>
      <c r="Y733" s="3202"/>
      <c r="Z733" s="3202"/>
      <c r="AA733" s="3202"/>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202"/>
      <c r="F734" s="3202"/>
      <c r="G734" s="3202"/>
      <c r="H734" s="3202"/>
      <c r="I734" s="3202"/>
      <c r="J734" s="3202"/>
      <c r="K734" s="3202"/>
      <c r="L734" s="3202"/>
      <c r="M734" s="3202"/>
      <c r="N734" s="3202"/>
      <c r="O734" s="3202"/>
      <c r="P734" s="3202"/>
      <c r="Q734" s="3202"/>
      <c r="R734" s="3202"/>
      <c r="S734" s="3202"/>
      <c r="T734" s="3202"/>
      <c r="U734" s="3202"/>
      <c r="V734" s="3202"/>
      <c r="W734" s="3202"/>
      <c r="X734" s="3202"/>
      <c r="Y734" s="3202"/>
      <c r="Z734" s="3202"/>
      <c r="AA734" s="3202"/>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33" t="s">
        <v>534</v>
      </c>
      <c r="I736" s="3233"/>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82">
        <f>VLOOKUP($H$736,$AO$669:$AP$671,2,FALSE)</f>
        <v>2</v>
      </c>
      <c r="AK738" s="3184"/>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202" t="s">
        <v>1645</v>
      </c>
      <c r="F742" s="3202"/>
      <c r="G742" s="3202"/>
      <c r="H742" s="3202"/>
      <c r="I742" s="3202"/>
      <c r="J742" s="3202"/>
      <c r="K742" s="3202"/>
      <c r="L742" s="3202"/>
      <c r="M742" s="3202"/>
      <c r="N742" s="3202"/>
      <c r="O742" s="3202"/>
      <c r="P742" s="3202"/>
      <c r="Q742" s="3202"/>
      <c r="R742" s="3202"/>
      <c r="S742" s="3202"/>
      <c r="T742" s="3202"/>
      <c r="U742" s="3202"/>
      <c r="V742" s="3202"/>
      <c r="W742" s="3202"/>
      <c r="X742" s="3202"/>
      <c r="Y742" s="3202"/>
      <c r="Z742" s="3202"/>
      <c r="AA742" s="3202"/>
      <c r="AB742" s="3202"/>
      <c r="AC742" s="917"/>
      <c r="AD742" s="917"/>
      <c r="AE742" s="917"/>
      <c r="AF742" s="3146" t="s">
        <v>1604</v>
      </c>
      <c r="AG742" s="3146"/>
      <c r="AH742" s="3146"/>
      <c r="AI742" s="3146"/>
      <c r="AJ742" s="3146"/>
      <c r="AK742" s="3146"/>
      <c r="AL742" s="314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202"/>
      <c r="F743" s="3202"/>
      <c r="G743" s="3202"/>
      <c r="H743" s="3202"/>
      <c r="I743" s="3202"/>
      <c r="J743" s="3202"/>
      <c r="K743" s="3202"/>
      <c r="L743" s="3202"/>
      <c r="M743" s="3202"/>
      <c r="N743" s="3202"/>
      <c r="O743" s="3202"/>
      <c r="P743" s="3202"/>
      <c r="Q743" s="3202"/>
      <c r="R743" s="3202"/>
      <c r="S743" s="3202"/>
      <c r="T743" s="3202"/>
      <c r="U743" s="3202"/>
      <c r="V743" s="3202"/>
      <c r="W743" s="3202"/>
      <c r="X743" s="3202"/>
      <c r="Y743" s="3202"/>
      <c r="Z743" s="3202"/>
      <c r="AA743" s="3202"/>
      <c r="AB743" s="3202"/>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202" t="s">
        <v>1646</v>
      </c>
      <c r="F745" s="3202"/>
      <c r="G745" s="3202"/>
      <c r="H745" s="3202"/>
      <c r="I745" s="3202"/>
      <c r="J745" s="3202"/>
      <c r="K745" s="3202"/>
      <c r="L745" s="3202"/>
      <c r="M745" s="3202"/>
      <c r="N745" s="3202"/>
      <c r="O745" s="3202"/>
      <c r="P745" s="3202"/>
      <c r="Q745" s="3202"/>
      <c r="R745" s="3202"/>
      <c r="S745" s="3202"/>
      <c r="T745" s="3202"/>
      <c r="U745" s="3202"/>
      <c r="V745" s="3202"/>
      <c r="W745" s="3202"/>
      <c r="X745" s="3202"/>
      <c r="Y745" s="3202"/>
      <c r="Z745" s="3202"/>
      <c r="AA745" s="3202"/>
      <c r="AB745" s="3202"/>
      <c r="AC745" s="917"/>
      <c r="AD745" s="917"/>
      <c r="AE745" s="917"/>
      <c r="AF745" s="3146" t="s">
        <v>1623</v>
      </c>
      <c r="AG745" s="3146"/>
      <c r="AH745" s="3146"/>
      <c r="AI745" s="3146"/>
      <c r="AJ745" s="3146"/>
      <c r="AK745" s="3146"/>
      <c r="AL745" s="314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202"/>
      <c r="F746" s="3202"/>
      <c r="G746" s="3202"/>
      <c r="H746" s="3202"/>
      <c r="I746" s="3202"/>
      <c r="J746" s="3202"/>
      <c r="K746" s="3202"/>
      <c r="L746" s="3202"/>
      <c r="M746" s="3202"/>
      <c r="N746" s="3202"/>
      <c r="O746" s="3202"/>
      <c r="P746" s="3202"/>
      <c r="Q746" s="3202"/>
      <c r="R746" s="3202"/>
      <c r="S746" s="3202"/>
      <c r="T746" s="3202"/>
      <c r="U746" s="3202"/>
      <c r="V746" s="3202"/>
      <c r="W746" s="3202"/>
      <c r="X746" s="3202"/>
      <c r="Y746" s="3202"/>
      <c r="Z746" s="3202"/>
      <c r="AA746" s="3202"/>
      <c r="AB746" s="3202"/>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33" t="s">
        <v>534</v>
      </c>
      <c r="I748" s="3233"/>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82">
        <f>VLOOKUP($H$748,$AO$683:$AP$685,2,FALSE)</f>
        <v>1</v>
      </c>
      <c r="AK750" s="3184"/>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202" t="s">
        <v>2005</v>
      </c>
      <c r="F754" s="3202"/>
      <c r="G754" s="3202"/>
      <c r="H754" s="3202"/>
      <c r="I754" s="3202"/>
      <c r="J754" s="3202"/>
      <c r="K754" s="3202"/>
      <c r="L754" s="3202"/>
      <c r="M754" s="3202"/>
      <c r="N754" s="3202"/>
      <c r="O754" s="3202"/>
      <c r="P754" s="3202"/>
      <c r="Q754" s="3202"/>
      <c r="R754" s="3202"/>
      <c r="S754" s="3202"/>
      <c r="T754" s="3202"/>
      <c r="U754" s="3202"/>
      <c r="V754" s="3202"/>
      <c r="W754" s="3202"/>
      <c r="X754" s="3202"/>
      <c r="Y754" s="3202"/>
      <c r="Z754" s="3202"/>
      <c r="AA754" s="3202"/>
      <c r="AB754" s="3202"/>
      <c r="AC754" s="3202"/>
      <c r="AD754" s="3202"/>
      <c r="AE754" s="917"/>
      <c r="AF754" s="3146" t="s">
        <v>1604</v>
      </c>
      <c r="AG754" s="3146"/>
      <c r="AH754" s="3146"/>
      <c r="AI754" s="3146"/>
      <c r="AJ754" s="3146"/>
      <c r="AK754" s="3146"/>
      <c r="AL754" s="3146"/>
      <c r="AM754" s="1021"/>
      <c r="AN754" s="1123"/>
    </row>
    <row r="755" spans="1:81" s="1124" customFormat="1" ht="13.7" customHeight="1">
      <c r="A755" s="1050"/>
      <c r="B755" s="1025"/>
      <c r="C755" s="1497"/>
      <c r="D755" s="1096"/>
      <c r="E755" s="3202"/>
      <c r="F755" s="3202"/>
      <c r="G755" s="3202"/>
      <c r="H755" s="3202"/>
      <c r="I755" s="3202"/>
      <c r="J755" s="3202"/>
      <c r="K755" s="3202"/>
      <c r="L755" s="3202"/>
      <c r="M755" s="3202"/>
      <c r="N755" s="3202"/>
      <c r="O755" s="3202"/>
      <c r="P755" s="3202"/>
      <c r="Q755" s="3202"/>
      <c r="R755" s="3202"/>
      <c r="S755" s="3202"/>
      <c r="T755" s="3202"/>
      <c r="U755" s="3202"/>
      <c r="V755" s="3202"/>
      <c r="W755" s="3202"/>
      <c r="X755" s="3202"/>
      <c r="Y755" s="3202"/>
      <c r="Z755" s="3202"/>
      <c r="AA755" s="3202"/>
      <c r="AB755" s="3202"/>
      <c r="AC755" s="3202"/>
      <c r="AD755" s="3202"/>
      <c r="AE755" s="917"/>
      <c r="AF755" s="1447"/>
      <c r="AG755" s="1447"/>
      <c r="AH755" s="1447"/>
      <c r="AI755" s="1447"/>
      <c r="AJ755" s="1447"/>
      <c r="AK755" s="1447"/>
      <c r="AL755" s="1447"/>
      <c r="AM755" s="1021"/>
      <c r="AN755" s="1123"/>
    </row>
    <row r="756" spans="1:81" s="1124" customFormat="1">
      <c r="A756" s="1050"/>
      <c r="B756" s="1025"/>
      <c r="C756" s="1497"/>
      <c r="D756" s="1096"/>
      <c r="E756" s="3202"/>
      <c r="F756" s="3202"/>
      <c r="G756" s="3202"/>
      <c r="H756" s="3202"/>
      <c r="I756" s="3202"/>
      <c r="J756" s="3202"/>
      <c r="K756" s="3202"/>
      <c r="L756" s="3202"/>
      <c r="M756" s="3202"/>
      <c r="N756" s="3202"/>
      <c r="O756" s="3202"/>
      <c r="P756" s="3202"/>
      <c r="Q756" s="3202"/>
      <c r="R756" s="3202"/>
      <c r="S756" s="3202"/>
      <c r="T756" s="3202"/>
      <c r="U756" s="3202"/>
      <c r="V756" s="3202"/>
      <c r="W756" s="3202"/>
      <c r="X756" s="3202"/>
      <c r="Y756" s="3202"/>
      <c r="Z756" s="3202"/>
      <c r="AA756" s="3202"/>
      <c r="AB756" s="3202"/>
      <c r="AC756" s="3202"/>
      <c r="AD756" s="3202"/>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202"/>
      <c r="F757" s="3202"/>
      <c r="G757" s="3202"/>
      <c r="H757" s="3202"/>
      <c r="I757" s="3202"/>
      <c r="J757" s="3202"/>
      <c r="K757" s="3202"/>
      <c r="L757" s="3202"/>
      <c r="M757" s="3202"/>
      <c r="N757" s="3202"/>
      <c r="O757" s="3202"/>
      <c r="P757" s="3202"/>
      <c r="Q757" s="3202"/>
      <c r="R757" s="3202"/>
      <c r="S757" s="3202"/>
      <c r="T757" s="3202"/>
      <c r="U757" s="3202"/>
      <c r="V757" s="3202"/>
      <c r="W757" s="3202"/>
      <c r="X757" s="3202"/>
      <c r="Y757" s="3202"/>
      <c r="Z757" s="3202"/>
      <c r="AA757" s="3202"/>
      <c r="AB757" s="3202"/>
      <c r="AC757" s="3202"/>
      <c r="AD757" s="3202"/>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9" t="s">
        <v>2012</v>
      </c>
      <c r="F759" s="3239"/>
      <c r="G759" s="3239"/>
      <c r="H759" s="3239"/>
      <c r="I759" s="3239"/>
      <c r="J759" s="3239"/>
      <c r="K759" s="3239"/>
      <c r="L759" s="3239"/>
      <c r="M759" s="3239"/>
      <c r="N759" s="3239"/>
      <c r="O759" s="3239"/>
      <c r="P759" s="3239"/>
      <c r="Q759" s="3239"/>
      <c r="R759" s="3239"/>
      <c r="S759" s="3239"/>
      <c r="T759" s="3239"/>
      <c r="U759" s="3239"/>
      <c r="V759" s="3239"/>
      <c r="W759" s="3239"/>
      <c r="X759" s="3239"/>
      <c r="Y759" s="3239"/>
      <c r="Z759" s="3239"/>
      <c r="AA759" s="3239"/>
      <c r="AB759" s="3239"/>
      <c r="AC759" s="3239"/>
      <c r="AD759" s="3239"/>
      <c r="AE759" s="917"/>
      <c r="AF759" s="3146" t="s">
        <v>1548</v>
      </c>
      <c r="AG759" s="3146"/>
      <c r="AH759" s="3146"/>
      <c r="AI759" s="3146"/>
      <c r="AJ759" s="3146"/>
      <c r="AK759" s="3146"/>
      <c r="AL759" s="3146"/>
      <c r="AM759" s="1021"/>
      <c r="AN759" s="990"/>
    </row>
    <row r="760" spans="1:81" s="933" customFormat="1" ht="12.75" customHeight="1">
      <c r="A760" s="1050"/>
      <c r="B760" s="1025"/>
      <c r="C760" s="1497"/>
      <c r="D760" s="1096"/>
      <c r="E760" s="3239"/>
      <c r="F760" s="3239"/>
      <c r="G760" s="3239"/>
      <c r="H760" s="3239"/>
      <c r="I760" s="3239"/>
      <c r="J760" s="3239"/>
      <c r="K760" s="3239"/>
      <c r="L760" s="3239"/>
      <c r="M760" s="3239"/>
      <c r="N760" s="3239"/>
      <c r="O760" s="3239"/>
      <c r="P760" s="3239"/>
      <c r="Q760" s="3239"/>
      <c r="R760" s="3239"/>
      <c r="S760" s="3239"/>
      <c r="T760" s="3239"/>
      <c r="U760" s="3239"/>
      <c r="V760" s="3239"/>
      <c r="W760" s="3239"/>
      <c r="X760" s="3239"/>
      <c r="Y760" s="3239"/>
      <c r="Z760" s="3239"/>
      <c r="AA760" s="3239"/>
      <c r="AB760" s="3239"/>
      <c r="AC760" s="3239"/>
      <c r="AD760" s="3239"/>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9"/>
      <c r="F761" s="3239"/>
      <c r="G761" s="3239"/>
      <c r="H761" s="3239"/>
      <c r="I761" s="3239"/>
      <c r="J761" s="3239"/>
      <c r="K761" s="3239"/>
      <c r="L761" s="3239"/>
      <c r="M761" s="3239"/>
      <c r="N761" s="3239"/>
      <c r="O761" s="3239"/>
      <c r="P761" s="3239"/>
      <c r="Q761" s="3239"/>
      <c r="R761" s="3239"/>
      <c r="S761" s="3239"/>
      <c r="T761" s="3239"/>
      <c r="U761" s="3239"/>
      <c r="V761" s="3239"/>
      <c r="W761" s="3239"/>
      <c r="X761" s="3239"/>
      <c r="Y761" s="3239"/>
      <c r="Z761" s="3239"/>
      <c r="AA761" s="3239"/>
      <c r="AB761" s="3239"/>
      <c r="AC761" s="3239"/>
      <c r="AD761" s="3239"/>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9"/>
      <c r="F762" s="3239"/>
      <c r="G762" s="3239"/>
      <c r="H762" s="3239"/>
      <c r="I762" s="3239"/>
      <c r="J762" s="3239"/>
      <c r="K762" s="3239"/>
      <c r="L762" s="3239"/>
      <c r="M762" s="3239"/>
      <c r="N762" s="3239"/>
      <c r="O762" s="3239"/>
      <c r="P762" s="3239"/>
      <c r="Q762" s="3239"/>
      <c r="R762" s="3239"/>
      <c r="S762" s="3239"/>
      <c r="T762" s="3239"/>
      <c r="U762" s="3239"/>
      <c r="V762" s="3239"/>
      <c r="W762" s="3239"/>
      <c r="X762" s="3239"/>
      <c r="Y762" s="3239"/>
      <c r="Z762" s="3239"/>
      <c r="AA762" s="3239"/>
      <c r="AB762" s="3239"/>
      <c r="AC762" s="3239"/>
      <c r="AD762" s="3239"/>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33" t="s">
        <v>617</v>
      </c>
      <c r="I764" s="3233"/>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82">
        <f>VLOOKUP($H$764,$AP$705:$AQ$707,2,FALSE)</f>
        <v>0</v>
      </c>
      <c r="AK766" s="3184"/>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202" t="s">
        <v>2500</v>
      </c>
      <c r="F770" s="3202"/>
      <c r="G770" s="3202"/>
      <c r="H770" s="3202"/>
      <c r="I770" s="3202"/>
      <c r="J770" s="3202"/>
      <c r="K770" s="3202"/>
      <c r="L770" s="3202"/>
      <c r="M770" s="3202"/>
      <c r="N770" s="3202"/>
      <c r="O770" s="3202"/>
      <c r="P770" s="3202"/>
      <c r="Q770" s="3202"/>
      <c r="R770" s="3202"/>
      <c r="S770" s="3202"/>
      <c r="T770" s="3202"/>
      <c r="U770" s="3202"/>
      <c r="V770" s="3202"/>
      <c r="W770" s="3202"/>
      <c r="X770" s="3202"/>
      <c r="Y770" s="3202"/>
      <c r="Z770" s="3202"/>
      <c r="AA770" s="3202"/>
      <c r="AB770" s="3202"/>
      <c r="AC770" s="3202"/>
      <c r="AD770" s="3202"/>
      <c r="AE770" s="917"/>
      <c r="AF770" s="3146" t="s">
        <v>1548</v>
      </c>
      <c r="AG770" s="3146"/>
      <c r="AH770" s="3146"/>
      <c r="AI770" s="3146"/>
      <c r="AJ770" s="3146"/>
      <c r="AK770" s="3146"/>
      <c r="AL770" s="3146"/>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202"/>
      <c r="F771" s="3202"/>
      <c r="G771" s="3202"/>
      <c r="H771" s="3202"/>
      <c r="I771" s="3202"/>
      <c r="J771" s="3202"/>
      <c r="K771" s="3202"/>
      <c r="L771" s="3202"/>
      <c r="M771" s="3202"/>
      <c r="N771" s="3202"/>
      <c r="O771" s="3202"/>
      <c r="P771" s="3202"/>
      <c r="Q771" s="3202"/>
      <c r="R771" s="3202"/>
      <c r="S771" s="3202"/>
      <c r="T771" s="3202"/>
      <c r="U771" s="3202"/>
      <c r="V771" s="3202"/>
      <c r="W771" s="3202"/>
      <c r="X771" s="3202"/>
      <c r="Y771" s="3202"/>
      <c r="Z771" s="3202"/>
      <c r="AA771" s="3202"/>
      <c r="AB771" s="3202"/>
      <c r="AC771" s="3202"/>
      <c r="AD771" s="3202"/>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202"/>
      <c r="F772" s="3202"/>
      <c r="G772" s="3202"/>
      <c r="H772" s="3202"/>
      <c r="I772" s="3202"/>
      <c r="J772" s="3202"/>
      <c r="K772" s="3202"/>
      <c r="L772" s="3202"/>
      <c r="M772" s="3202"/>
      <c r="N772" s="3202"/>
      <c r="O772" s="3202"/>
      <c r="P772" s="3202"/>
      <c r="Q772" s="3202"/>
      <c r="R772" s="3202"/>
      <c r="S772" s="3202"/>
      <c r="T772" s="3202"/>
      <c r="U772" s="3202"/>
      <c r="V772" s="3202"/>
      <c r="W772" s="3202"/>
      <c r="X772" s="3202"/>
      <c r="Y772" s="3202"/>
      <c r="Z772" s="3202"/>
      <c r="AA772" s="3202"/>
      <c r="AB772" s="3202"/>
      <c r="AC772" s="3202"/>
      <c r="AD772" s="3202"/>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202"/>
      <c r="F773" s="3202"/>
      <c r="G773" s="3202"/>
      <c r="H773" s="3202"/>
      <c r="I773" s="3202"/>
      <c r="J773" s="3202"/>
      <c r="K773" s="3202"/>
      <c r="L773" s="3202"/>
      <c r="M773" s="3202"/>
      <c r="N773" s="3202"/>
      <c r="O773" s="3202"/>
      <c r="P773" s="3202"/>
      <c r="Q773" s="3202"/>
      <c r="R773" s="3202"/>
      <c r="S773" s="3202"/>
      <c r="T773" s="3202"/>
      <c r="U773" s="3202"/>
      <c r="V773" s="3202"/>
      <c r="W773" s="3202"/>
      <c r="X773" s="3202"/>
      <c r="Y773" s="3202"/>
      <c r="Z773" s="3202"/>
      <c r="AA773" s="3202"/>
      <c r="AB773" s="3202"/>
      <c r="AC773" s="3202"/>
      <c r="AD773" s="3202"/>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33" t="s">
        <v>617</v>
      </c>
      <c r="I775" s="3233"/>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82">
        <f>VLOOKUP($H$775,$AO$769:$AP$770,2,FALSE)</f>
        <v>0</v>
      </c>
      <c r="AK777" s="3184"/>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82">
        <f>IF(($AJ$610+$AJ$629+$AJ$641+$AJ$676+$AJ$696+$AJ$710+$AJ$722+$AJ$738+$AJ$750+$AJ$766+AJ777)&gt;10,10,($AJ$610+$AJ$629+$AJ$641+$AJ$676+$AJ$696+$AJ$710+$AJ$722+$AJ$738+$AJ$750+$AJ$766+AJ777))</f>
        <v>10</v>
      </c>
      <c r="AL779" s="3183"/>
      <c r="AM779" s="3184"/>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96" t="s">
        <v>1773</v>
      </c>
      <c r="B782" s="3297"/>
      <c r="C782" s="3297"/>
      <c r="D782" s="3297"/>
      <c r="E782" s="3297"/>
      <c r="F782" s="3297"/>
      <c r="G782" s="3297"/>
      <c r="H782" s="3297"/>
      <c r="I782" s="3297"/>
      <c r="J782" s="3297"/>
      <c r="K782" s="3297"/>
      <c r="L782" s="3297"/>
      <c r="M782" s="3297"/>
      <c r="N782" s="3297"/>
      <c r="O782" s="3297"/>
      <c r="P782" s="3297"/>
      <c r="Q782" s="3297"/>
      <c r="R782" s="3297"/>
      <c r="S782" s="3297"/>
      <c r="T782" s="3297"/>
      <c r="U782" s="3297"/>
      <c r="V782" s="3297"/>
      <c r="W782" s="3297"/>
      <c r="X782" s="3297"/>
      <c r="Y782" s="3297"/>
      <c r="Z782" s="3297"/>
      <c r="AA782" s="3297"/>
      <c r="AB782" s="3297"/>
      <c r="AC782" s="3297"/>
      <c r="AD782" s="3297"/>
      <c r="AE782" s="3297"/>
      <c r="AF782" s="3297"/>
      <c r="AG782" s="3297"/>
      <c r="AH782" s="3297"/>
      <c r="AI782" s="3297"/>
      <c r="AJ782" s="3297"/>
      <c r="AK782" s="3297"/>
      <c r="AL782" s="3297"/>
      <c r="AM782" s="3297"/>
    </row>
    <row r="783" spans="1:81">
      <c r="A783" s="3298"/>
      <c r="B783" s="3298"/>
      <c r="C783" s="3298"/>
      <c r="D783" s="3298"/>
      <c r="E783" s="3298"/>
      <c r="F783" s="3298"/>
      <c r="G783" s="3298"/>
      <c r="H783" s="3298"/>
      <c r="I783" s="3298"/>
      <c r="J783" s="3298"/>
      <c r="K783" s="3298"/>
      <c r="L783" s="3298"/>
      <c r="M783" s="3298"/>
      <c r="N783" s="3298"/>
      <c r="O783" s="3298"/>
      <c r="P783" s="3298"/>
      <c r="Q783" s="3298"/>
      <c r="R783" s="3298"/>
      <c r="S783" s="3298"/>
      <c r="T783" s="3298"/>
      <c r="U783" s="3298"/>
      <c r="V783" s="3298"/>
      <c r="W783" s="3298"/>
      <c r="X783" s="3298"/>
      <c r="Y783" s="3298"/>
      <c r="Z783" s="3298"/>
      <c r="AA783" s="3298"/>
      <c r="AB783" s="3298"/>
      <c r="AC783" s="3298"/>
      <c r="AD783" s="3298"/>
      <c r="AE783" s="3298"/>
      <c r="AF783" s="3298"/>
      <c r="AG783" s="3298"/>
      <c r="AH783" s="3298"/>
      <c r="AI783" s="3298"/>
      <c r="AJ783" s="3298"/>
      <c r="AK783" s="3298"/>
      <c r="AL783" s="3298"/>
      <c r="AM783" s="329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60"/>
      <c r="B785" s="3260"/>
      <c r="C785" s="3260"/>
      <c r="D785" s="3260"/>
      <c r="E785" s="3260"/>
      <c r="F785" s="3260"/>
      <c r="G785" s="3260"/>
      <c r="H785" s="3260"/>
      <c r="I785" s="3260"/>
      <c r="J785" s="3260"/>
      <c r="K785" s="3260"/>
      <c r="L785" s="3260"/>
      <c r="M785" s="3260"/>
      <c r="N785" s="3260"/>
      <c r="O785" s="3260"/>
      <c r="P785" s="3260"/>
      <c r="Q785" s="3260"/>
      <c r="R785" s="3260"/>
      <c r="S785" s="3260"/>
      <c r="T785" s="3260"/>
      <c r="U785" s="3260"/>
      <c r="V785" s="3260"/>
      <c r="W785" s="3260"/>
      <c r="X785" s="3260"/>
      <c r="Y785" s="3260"/>
      <c r="Z785" s="3260"/>
      <c r="AA785" s="3260"/>
      <c r="AB785" s="3260"/>
      <c r="AC785" s="3260"/>
      <c r="AD785" s="3260"/>
      <c r="AE785" s="3260"/>
      <c r="AF785" s="3260"/>
      <c r="AG785" s="3260"/>
      <c r="AH785" s="3260"/>
      <c r="AI785" s="3260"/>
      <c r="AJ785" s="3260"/>
      <c r="AK785" s="3260"/>
      <c r="AL785" s="3260"/>
      <c r="AM785" s="3260"/>
      <c r="AO785" s="1217"/>
      <c r="AP785" s="1310"/>
      <c r="AQ785" s="1309"/>
    </row>
    <row r="786" spans="1:81">
      <c r="A786" s="3260"/>
      <c r="B786" s="3260"/>
      <c r="C786" s="3260"/>
      <c r="D786" s="3260"/>
      <c r="E786" s="3260"/>
      <c r="F786" s="3260"/>
      <c r="G786" s="3260"/>
      <c r="H786" s="3260"/>
      <c r="I786" s="3260"/>
      <c r="J786" s="3260"/>
      <c r="K786" s="3260"/>
      <c r="L786" s="3260"/>
      <c r="M786" s="3260"/>
      <c r="N786" s="3260"/>
      <c r="O786" s="3260"/>
      <c r="P786" s="3260"/>
      <c r="Q786" s="3260"/>
      <c r="R786" s="3260"/>
      <c r="S786" s="3260"/>
      <c r="T786" s="3260"/>
      <c r="U786" s="3260"/>
      <c r="V786" s="3260"/>
      <c r="W786" s="3260"/>
      <c r="X786" s="3260"/>
      <c r="Y786" s="3260"/>
      <c r="Z786" s="3260"/>
      <c r="AA786" s="3260"/>
      <c r="AB786" s="3260"/>
      <c r="AC786" s="3260"/>
      <c r="AD786" s="3260"/>
      <c r="AE786" s="3260"/>
      <c r="AF786" s="3260"/>
      <c r="AG786" s="3260"/>
      <c r="AH786" s="3260"/>
      <c r="AI786" s="3260"/>
      <c r="AJ786" s="3260"/>
      <c r="AK786" s="3260"/>
      <c r="AL786" s="3260"/>
      <c r="AM786" s="3260"/>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9" t="s">
        <v>1774</v>
      </c>
      <c r="U787" s="3300"/>
      <c r="V787" s="3300"/>
      <c r="W787" s="3300"/>
      <c r="X787" s="3300"/>
      <c r="Y787" s="3301"/>
      <c r="Z787" s="3299" t="s">
        <v>1775</v>
      </c>
      <c r="AA787" s="3300"/>
      <c r="AB787" s="3300"/>
      <c r="AC787" s="3300"/>
      <c r="AD787" s="3300"/>
      <c r="AE787" s="3301"/>
      <c r="AF787" s="3299" t="s">
        <v>1776</v>
      </c>
      <c r="AG787" s="3300"/>
      <c r="AH787" s="3300"/>
      <c r="AI787" s="3300"/>
      <c r="AJ787" s="3300"/>
      <c r="AK787" s="330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302"/>
      <c r="U788" s="3303"/>
      <c r="V788" s="3303"/>
      <c r="W788" s="3303"/>
      <c r="X788" s="3303"/>
      <c r="Y788" s="3304"/>
      <c r="Z788" s="3302"/>
      <c r="AA788" s="3303"/>
      <c r="AB788" s="3303"/>
      <c r="AC788" s="3303"/>
      <c r="AD788" s="3303"/>
      <c r="AE788" s="3304"/>
      <c r="AF788" s="3302"/>
      <c r="AG788" s="3303"/>
      <c r="AH788" s="3303"/>
      <c r="AI788" s="3303"/>
      <c r="AJ788" s="3303"/>
      <c r="AK788" s="3304"/>
      <c r="AL788" s="1312"/>
      <c r="AM788" s="1206"/>
      <c r="AO788" s="1310"/>
      <c r="AP788" s="1309"/>
      <c r="AQ788" s="1309"/>
    </row>
    <row r="789" spans="1:81">
      <c r="A789" s="1313" t="s">
        <v>787</v>
      </c>
      <c r="B789" s="3278" t="s">
        <v>1500</v>
      </c>
      <c r="C789" s="3278"/>
      <c r="D789" s="3278"/>
      <c r="E789" s="3278"/>
      <c r="F789" s="3278"/>
      <c r="G789" s="3278"/>
      <c r="H789" s="3278"/>
      <c r="I789" s="3278"/>
      <c r="J789" s="3278"/>
      <c r="K789" s="3278"/>
      <c r="L789" s="3278"/>
      <c r="M789" s="3278"/>
      <c r="N789" s="3278"/>
      <c r="O789" s="3278"/>
      <c r="P789" s="3278"/>
      <c r="Q789" s="3278"/>
      <c r="R789" s="3278"/>
      <c r="S789" s="3279"/>
      <c r="T789" s="3280">
        <f>AK56</f>
        <v>0</v>
      </c>
      <c r="U789" s="3281"/>
      <c r="V789" s="3281"/>
      <c r="W789" s="3281"/>
      <c r="X789" s="3281"/>
      <c r="Y789" s="3282"/>
      <c r="Z789" s="3283">
        <v>20</v>
      </c>
      <c r="AA789" s="3281"/>
      <c r="AB789" s="3281"/>
      <c r="AC789" s="3281"/>
      <c r="AD789" s="3281"/>
      <c r="AE789" s="3282"/>
      <c r="AF789" s="3284">
        <f>IF(T789&gt;Z789,Z789,T789)</f>
        <v>0</v>
      </c>
      <c r="AG789" s="3284"/>
      <c r="AH789" s="3284"/>
      <c r="AI789" s="3284"/>
      <c r="AJ789" s="3284"/>
      <c r="AK789" s="3284"/>
      <c r="AL789" s="1312"/>
      <c r="AM789" s="1206"/>
      <c r="AO789" s="1309"/>
      <c r="AP789" s="1309"/>
      <c r="AQ789" s="1309"/>
    </row>
    <row r="790" spans="1:81">
      <c r="A790" s="1313" t="s">
        <v>1746</v>
      </c>
      <c r="B790" s="3278" t="s">
        <v>1509</v>
      </c>
      <c r="C790" s="3278"/>
      <c r="D790" s="3278"/>
      <c r="E790" s="3278"/>
      <c r="F790" s="3278"/>
      <c r="G790" s="3278"/>
      <c r="H790" s="3278"/>
      <c r="I790" s="3278"/>
      <c r="J790" s="3278"/>
      <c r="K790" s="3278"/>
      <c r="L790" s="3278"/>
      <c r="M790" s="3278"/>
      <c r="N790" s="3278"/>
      <c r="O790" s="3278"/>
      <c r="P790" s="3278"/>
      <c r="Q790" s="3278"/>
      <c r="R790" s="3278"/>
      <c r="S790" s="3279"/>
      <c r="T790" s="3280">
        <f>AK78</f>
        <v>10</v>
      </c>
      <c r="U790" s="3281"/>
      <c r="V790" s="3281"/>
      <c r="W790" s="3281"/>
      <c r="X790" s="3281"/>
      <c r="Y790" s="3282"/>
      <c r="Z790" s="3283">
        <v>10</v>
      </c>
      <c r="AA790" s="3281"/>
      <c r="AB790" s="3281"/>
      <c r="AC790" s="3281"/>
      <c r="AD790" s="3281"/>
      <c r="AE790" s="3282"/>
      <c r="AF790" s="3284">
        <f>IF(T790&gt;Z790,Z790,T790)</f>
        <v>10</v>
      </c>
      <c r="AG790" s="3284"/>
      <c r="AH790" s="3284"/>
      <c r="AI790" s="3284"/>
      <c r="AJ790" s="3284"/>
      <c r="AK790" s="3284"/>
      <c r="AL790" s="1312"/>
      <c r="AM790" s="1206"/>
      <c r="AO790" s="1309"/>
      <c r="AP790" s="1309"/>
      <c r="AQ790" s="1309"/>
    </row>
    <row r="791" spans="1:81">
      <c r="A791" s="1313" t="s">
        <v>1755</v>
      </c>
      <c r="B791" s="3278" t="s">
        <v>1519</v>
      </c>
      <c r="C791" s="3278"/>
      <c r="D791" s="3278"/>
      <c r="E791" s="3278"/>
      <c r="F791" s="3278"/>
      <c r="G791" s="3278"/>
      <c r="H791" s="3278"/>
      <c r="I791" s="3278"/>
      <c r="J791" s="3278"/>
      <c r="K791" s="3278"/>
      <c r="L791" s="3278"/>
      <c r="M791" s="3278"/>
      <c r="N791" s="3278"/>
      <c r="O791" s="3278"/>
      <c r="P791" s="3278"/>
      <c r="Q791" s="3278"/>
      <c r="R791" s="3278"/>
      <c r="S791" s="3279"/>
      <c r="T791" s="3280">
        <f>AK103</f>
        <v>20</v>
      </c>
      <c r="U791" s="3281"/>
      <c r="V791" s="3281"/>
      <c r="W791" s="3281"/>
      <c r="X791" s="3281"/>
      <c r="Y791" s="3282"/>
      <c r="Z791" s="3283">
        <v>20</v>
      </c>
      <c r="AA791" s="3281"/>
      <c r="AB791" s="3281"/>
      <c r="AC791" s="3281"/>
      <c r="AD791" s="3281"/>
      <c r="AE791" s="3282"/>
      <c r="AF791" s="3284">
        <f>IF(T791&gt;Z791,Z791,T791)</f>
        <v>20</v>
      </c>
      <c r="AG791" s="3284"/>
      <c r="AH791" s="3284"/>
      <c r="AI791" s="3284"/>
      <c r="AJ791" s="3284"/>
      <c r="AK791" s="3284"/>
      <c r="AL791" s="1312"/>
      <c r="AM791" s="1206"/>
      <c r="AO791" s="1309"/>
      <c r="AP791" s="1309"/>
      <c r="AQ791" s="1309"/>
    </row>
    <row r="792" spans="1:81">
      <c r="A792" s="1313" t="s">
        <v>1777</v>
      </c>
      <c r="B792" s="3278" t="s">
        <v>1529</v>
      </c>
      <c r="C792" s="3278"/>
      <c r="D792" s="3278"/>
      <c r="E792" s="3278"/>
      <c r="F792" s="3278"/>
      <c r="G792" s="3278"/>
      <c r="H792" s="3278"/>
      <c r="I792" s="3278"/>
      <c r="J792" s="3278"/>
      <c r="K792" s="3278"/>
      <c r="L792" s="3278"/>
      <c r="M792" s="3278"/>
      <c r="N792" s="3278"/>
      <c r="O792" s="3278"/>
      <c r="P792" s="3278"/>
      <c r="Q792" s="3278"/>
      <c r="R792" s="3278"/>
      <c r="S792" s="3279"/>
      <c r="T792" s="3280">
        <f>AK137</f>
        <v>10</v>
      </c>
      <c r="U792" s="3281"/>
      <c r="V792" s="3281"/>
      <c r="W792" s="3281"/>
      <c r="X792" s="3281"/>
      <c r="Y792" s="3282"/>
      <c r="Z792" s="3283">
        <v>10</v>
      </c>
      <c r="AA792" s="3281"/>
      <c r="AB792" s="3281"/>
      <c r="AC792" s="3281"/>
      <c r="AD792" s="3281"/>
      <c r="AE792" s="3282"/>
      <c r="AF792" s="3284">
        <f>IF(T792&gt;Z792,Z792,T792)</f>
        <v>10</v>
      </c>
      <c r="AG792" s="3284"/>
      <c r="AH792" s="3284"/>
      <c r="AI792" s="3284"/>
      <c r="AJ792" s="3284"/>
      <c r="AK792" s="3284"/>
      <c r="AL792" s="1312"/>
      <c r="AM792" s="1206"/>
      <c r="AO792" s="1309"/>
      <c r="AP792" s="1309"/>
      <c r="AQ792" s="1309"/>
    </row>
    <row r="793" spans="1:81">
      <c r="A793" s="1315" t="s">
        <v>1778</v>
      </c>
      <c r="B793" s="3278" t="s">
        <v>1779</v>
      </c>
      <c r="C793" s="3278"/>
      <c r="D793" s="3278"/>
      <c r="E793" s="3278"/>
      <c r="F793" s="3278"/>
      <c r="G793" s="3278"/>
      <c r="H793" s="3278"/>
      <c r="I793" s="3278"/>
      <c r="J793" s="3278"/>
      <c r="K793" s="3278"/>
      <c r="L793" s="3278"/>
      <c r="M793" s="3278"/>
      <c r="N793" s="3278"/>
      <c r="O793" s="3278"/>
      <c r="P793" s="3278"/>
      <c r="Q793" s="3278"/>
      <c r="R793" s="3278"/>
      <c r="S793" s="3279"/>
      <c r="T793" s="3305">
        <f>SUM(T794:Y795)</f>
        <v>10</v>
      </c>
      <c r="U793" s="3305"/>
      <c r="V793" s="3305"/>
      <c r="W793" s="3305"/>
      <c r="X793" s="3305"/>
      <c r="Y793" s="3305"/>
      <c r="Z793" s="3284">
        <v>10</v>
      </c>
      <c r="AA793" s="3284"/>
      <c r="AB793" s="3284"/>
      <c r="AC793" s="3284"/>
      <c r="AD793" s="3284"/>
      <c r="AE793" s="3284"/>
      <c r="AF793" s="3284">
        <f>IF(T793&gt;Z793,Z793,T793)</f>
        <v>10</v>
      </c>
      <c r="AG793" s="3284"/>
      <c r="AH793" s="3284"/>
      <c r="AI793" s="3284"/>
      <c r="AJ793" s="3284"/>
      <c r="AK793" s="3284"/>
      <c r="AL793" s="1312"/>
      <c r="AM793" s="1206"/>
    </row>
    <row r="794" spans="1:81">
      <c r="A794" s="916"/>
      <c r="B794" s="999"/>
      <c r="C794" s="3306" t="s">
        <v>1780</v>
      </c>
      <c r="D794" s="3306"/>
      <c r="E794" s="3306"/>
      <c r="F794" s="3306"/>
      <c r="G794" s="3306"/>
      <c r="H794" s="3306"/>
      <c r="I794" s="3306"/>
      <c r="J794" s="3306"/>
      <c r="K794" s="3306"/>
      <c r="L794" s="3306"/>
      <c r="M794" s="3306"/>
      <c r="N794" s="3306"/>
      <c r="O794" s="3306"/>
      <c r="P794" s="3306"/>
      <c r="Q794" s="3306"/>
      <c r="R794" s="3306"/>
      <c r="S794" s="3307"/>
      <c r="T794" s="3175">
        <f>AJ155</f>
        <v>7</v>
      </c>
      <c r="U794" s="3175"/>
      <c r="V794" s="3175"/>
      <c r="W794" s="3175"/>
      <c r="X794" s="3175"/>
      <c r="Y794" s="3175"/>
      <c r="Z794" s="3308">
        <v>7</v>
      </c>
      <c r="AA794" s="3308"/>
      <c r="AB794" s="3308"/>
      <c r="AC794" s="3308"/>
      <c r="AD794" s="3308"/>
      <c r="AE794" s="3308"/>
      <c r="AF794" s="3309"/>
      <c r="AG794" s="3309"/>
      <c r="AH794" s="3309"/>
      <c r="AI794" s="3309"/>
      <c r="AJ794" s="3309"/>
      <c r="AK794" s="3309"/>
      <c r="AL794" s="1312"/>
      <c r="AM794" s="1206"/>
    </row>
    <row r="795" spans="1:81">
      <c r="A795" s="1316"/>
      <c r="B795" s="999"/>
      <c r="C795" s="3306" t="s">
        <v>1781</v>
      </c>
      <c r="D795" s="3306"/>
      <c r="E795" s="3306"/>
      <c r="F795" s="3306"/>
      <c r="G795" s="3306"/>
      <c r="H795" s="3306"/>
      <c r="I795" s="3306"/>
      <c r="J795" s="3306"/>
      <c r="K795" s="3306"/>
      <c r="L795" s="3306"/>
      <c r="M795" s="3306"/>
      <c r="N795" s="3306"/>
      <c r="O795" s="3306"/>
      <c r="P795" s="3306"/>
      <c r="Q795" s="3306"/>
      <c r="R795" s="3306"/>
      <c r="S795" s="3307"/>
      <c r="T795" s="3175">
        <f>AJ169</f>
        <v>3</v>
      </c>
      <c r="U795" s="3175"/>
      <c r="V795" s="3175"/>
      <c r="W795" s="3175"/>
      <c r="X795" s="3175"/>
      <c r="Y795" s="3175"/>
      <c r="Z795" s="3308">
        <v>3</v>
      </c>
      <c r="AA795" s="3308"/>
      <c r="AB795" s="3308"/>
      <c r="AC795" s="3308"/>
      <c r="AD795" s="3308"/>
      <c r="AE795" s="3308"/>
      <c r="AF795" s="3309"/>
      <c r="AG795" s="3309"/>
      <c r="AH795" s="3309"/>
      <c r="AI795" s="3309"/>
      <c r="AJ795" s="3309"/>
      <c r="AK795" s="3309"/>
      <c r="AL795" s="1312"/>
      <c r="AM795" s="1206"/>
      <c r="AO795" s="933"/>
    </row>
    <row r="796" spans="1:81">
      <c r="A796" s="1315" t="s">
        <v>1557</v>
      </c>
      <c r="B796" s="3278" t="s">
        <v>1782</v>
      </c>
      <c r="C796" s="3278"/>
      <c r="D796" s="3278"/>
      <c r="E796" s="3278"/>
      <c r="F796" s="3278"/>
      <c r="G796" s="3278"/>
      <c r="H796" s="3278"/>
      <c r="I796" s="3278"/>
      <c r="J796" s="3278"/>
      <c r="K796" s="3278"/>
      <c r="L796" s="3278"/>
      <c r="M796" s="3278"/>
      <c r="N796" s="3278"/>
      <c r="O796" s="3278"/>
      <c r="P796" s="3278"/>
      <c r="Q796" s="3278"/>
      <c r="R796" s="3278"/>
      <c r="S796" s="3279"/>
      <c r="T796" s="3305">
        <f>AK180</f>
        <v>10</v>
      </c>
      <c r="U796" s="3305"/>
      <c r="V796" s="3305"/>
      <c r="W796" s="3305"/>
      <c r="X796" s="3305"/>
      <c r="Y796" s="3305"/>
      <c r="Z796" s="3284">
        <v>10</v>
      </c>
      <c r="AA796" s="3284"/>
      <c r="AB796" s="3284"/>
      <c r="AC796" s="3284"/>
      <c r="AD796" s="3284"/>
      <c r="AE796" s="3284"/>
      <c r="AF796" s="3284">
        <f>IF(T796&gt;Z796,Z796,T796)</f>
        <v>10</v>
      </c>
      <c r="AG796" s="3284"/>
      <c r="AH796" s="3284"/>
      <c r="AI796" s="3284"/>
      <c r="AJ796" s="3284"/>
      <c r="AK796" s="3284"/>
      <c r="AL796" s="1312"/>
      <c r="AM796" s="1206"/>
    </row>
    <row r="797" spans="1:81">
      <c r="A797" s="1313" t="s">
        <v>1566</v>
      </c>
      <c r="B797" s="3278" t="s">
        <v>1567</v>
      </c>
      <c r="C797" s="3278"/>
      <c r="D797" s="3278"/>
      <c r="E797" s="3278"/>
      <c r="F797" s="3278"/>
      <c r="G797" s="3278"/>
      <c r="H797" s="3278"/>
      <c r="I797" s="3278"/>
      <c r="J797" s="3278"/>
      <c r="K797" s="3278"/>
      <c r="L797" s="3278"/>
      <c r="M797" s="3278"/>
      <c r="N797" s="3278"/>
      <c r="O797" s="3278"/>
      <c r="P797" s="3278"/>
      <c r="Q797" s="3278"/>
      <c r="R797" s="3278"/>
      <c r="S797" s="3279"/>
      <c r="T797" s="3305">
        <f>AK262</f>
        <v>8</v>
      </c>
      <c r="U797" s="3305"/>
      <c r="V797" s="3305"/>
      <c r="W797" s="3305"/>
      <c r="X797" s="3305"/>
      <c r="Y797" s="3305"/>
      <c r="Z797" s="3283">
        <v>8</v>
      </c>
      <c r="AA797" s="3281"/>
      <c r="AB797" s="3281"/>
      <c r="AC797" s="3281"/>
      <c r="AD797" s="3281"/>
      <c r="AE797" s="3282"/>
      <c r="AF797" s="3284">
        <f>IF(T797&gt;Z797,Z797,T797)</f>
        <v>8</v>
      </c>
      <c r="AG797" s="3284"/>
      <c r="AH797" s="3284"/>
      <c r="AI797" s="3284"/>
      <c r="AJ797" s="3284"/>
      <c r="AK797" s="3284"/>
      <c r="AL797" s="1312"/>
      <c r="AM797" s="1206"/>
    </row>
    <row r="798" spans="1:81" s="915" customFormat="1" hidden="1">
      <c r="A798" s="1315" t="s">
        <v>615</v>
      </c>
      <c r="B798" s="3278" t="s">
        <v>1783</v>
      </c>
      <c r="C798" s="3278"/>
      <c r="D798" s="3278"/>
      <c r="E798" s="3278"/>
      <c r="F798" s="3278"/>
      <c r="G798" s="3278"/>
      <c r="H798" s="3278"/>
      <c r="I798" s="3278"/>
      <c r="J798" s="3278"/>
      <c r="K798" s="3278"/>
      <c r="L798" s="3278"/>
      <c r="M798" s="3278"/>
      <c r="N798" s="3278"/>
      <c r="O798" s="3278"/>
      <c r="P798" s="3278"/>
      <c r="Q798" s="3278"/>
      <c r="R798" s="3278"/>
      <c r="S798" s="3279"/>
      <c r="T798" s="3305">
        <f>IF(AK524&gt;5,5,AK524)</f>
        <v>0</v>
      </c>
      <c r="U798" s="3305"/>
      <c r="V798" s="3305"/>
      <c r="W798" s="3305"/>
      <c r="X798" s="3305"/>
      <c r="Y798" s="3305"/>
      <c r="Z798" s="3284">
        <v>5</v>
      </c>
      <c r="AA798" s="3284"/>
      <c r="AB798" s="3284"/>
      <c r="AC798" s="3284"/>
      <c r="AD798" s="3284"/>
      <c r="AE798" s="3284"/>
      <c r="AF798" s="3284">
        <f>IF(T798&gt;Z798,5,T798)</f>
        <v>0</v>
      </c>
      <c r="AG798" s="3284"/>
      <c r="AH798" s="3284"/>
      <c r="AI798" s="3284"/>
      <c r="AJ798" s="3284"/>
      <c r="AK798" s="3284"/>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78" t="s">
        <v>1784</v>
      </c>
      <c r="C799" s="3278"/>
      <c r="D799" s="3278"/>
      <c r="E799" s="3278"/>
      <c r="F799" s="3278"/>
      <c r="G799" s="3278"/>
      <c r="H799" s="3278"/>
      <c r="I799" s="3278"/>
      <c r="J799" s="3278"/>
      <c r="K799" s="3278"/>
      <c r="L799" s="3278"/>
      <c r="M799" s="3278"/>
      <c r="N799" s="3278"/>
      <c r="O799" s="3278"/>
      <c r="P799" s="3278"/>
      <c r="Q799" s="3278"/>
      <c r="R799" s="3278"/>
      <c r="S799" s="3279"/>
      <c r="T799" s="3305">
        <f>AK274</f>
        <v>10</v>
      </c>
      <c r="U799" s="3305"/>
      <c r="V799" s="3305"/>
      <c r="W799" s="3305"/>
      <c r="X799" s="3305"/>
      <c r="Y799" s="3305"/>
      <c r="Z799" s="3284">
        <v>10</v>
      </c>
      <c r="AA799" s="3284"/>
      <c r="AB799" s="3284"/>
      <c r="AC799" s="3284"/>
      <c r="AD799" s="3284"/>
      <c r="AE799" s="3284"/>
      <c r="AF799" s="3312">
        <f>IF(T799&gt;Z799,Z799,T799)</f>
        <v>10</v>
      </c>
      <c r="AG799" s="3313"/>
      <c r="AH799" s="3313"/>
      <c r="AI799" s="3313"/>
      <c r="AJ799" s="3313"/>
      <c r="AK799" s="3314"/>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78" t="s">
        <v>1577</v>
      </c>
      <c r="C800" s="3278"/>
      <c r="D800" s="3278"/>
      <c r="E800" s="3278"/>
      <c r="F800" s="3278"/>
      <c r="G800" s="3278"/>
      <c r="H800" s="3278"/>
      <c r="I800" s="3278"/>
      <c r="J800" s="3278"/>
      <c r="K800" s="3278"/>
      <c r="L800" s="3278"/>
      <c r="M800" s="3278"/>
      <c r="N800" s="3278"/>
      <c r="O800" s="3278"/>
      <c r="P800" s="3278"/>
      <c r="Q800" s="3278"/>
      <c r="R800" s="3278"/>
      <c r="S800" s="3279"/>
      <c r="T800" s="3305">
        <f>AK327</f>
        <v>9</v>
      </c>
      <c r="U800" s="3305"/>
      <c r="V800" s="3305"/>
      <c r="W800" s="3305"/>
      <c r="X800" s="3305"/>
      <c r="Y800" s="3305"/>
      <c r="Z800" s="3312">
        <v>10</v>
      </c>
      <c r="AA800" s="3313"/>
      <c r="AB800" s="3313"/>
      <c r="AC800" s="3313"/>
      <c r="AD800" s="3313"/>
      <c r="AE800" s="3314"/>
      <c r="AF800" s="3312">
        <f>IF(T800&gt;Z800,Z800,T800)</f>
        <v>9</v>
      </c>
      <c r="AG800" s="3313"/>
      <c r="AH800" s="3313"/>
      <c r="AI800" s="3313"/>
      <c r="AJ800" s="3313"/>
      <c r="AK800" s="3314"/>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75">
        <f>AK327</f>
        <v>9</v>
      </c>
      <c r="U801" s="3175"/>
      <c r="V801" s="3175"/>
      <c r="W801" s="3175"/>
      <c r="X801" s="3175"/>
      <c r="Y801" s="3175"/>
      <c r="Z801" s="3182">
        <v>20</v>
      </c>
      <c r="AA801" s="3183"/>
      <c r="AB801" s="3183"/>
      <c r="AC801" s="3183"/>
      <c r="AD801" s="3183"/>
      <c r="AE801" s="3184"/>
      <c r="AF801" s="3309"/>
      <c r="AG801" s="3309"/>
      <c r="AH801" s="3309"/>
      <c r="AI801" s="3309"/>
      <c r="AJ801" s="3309"/>
      <c r="AK801" s="3309"/>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78" t="s">
        <v>892</v>
      </c>
      <c r="C802" s="3278"/>
      <c r="D802" s="3278"/>
      <c r="E802" s="3278"/>
      <c r="F802" s="3278"/>
      <c r="G802" s="3278"/>
      <c r="H802" s="3278"/>
      <c r="I802" s="3278"/>
      <c r="J802" s="3278"/>
      <c r="K802" s="3278"/>
      <c r="L802" s="3278"/>
      <c r="M802" s="3278"/>
      <c r="N802" s="3278"/>
      <c r="O802" s="3278"/>
      <c r="P802" s="3278"/>
      <c r="Q802" s="3278"/>
      <c r="R802" s="3278"/>
      <c r="S802" s="3279"/>
      <c r="T802" s="3305">
        <f>AK458</f>
        <v>10</v>
      </c>
      <c r="U802" s="3305"/>
      <c r="V802" s="3305"/>
      <c r="W802" s="3305"/>
      <c r="X802" s="3305"/>
      <c r="Y802" s="3305"/>
      <c r="Z802" s="3312">
        <v>10</v>
      </c>
      <c r="AA802" s="3313"/>
      <c r="AB802" s="3313"/>
      <c r="AC802" s="3313"/>
      <c r="AD802" s="3313"/>
      <c r="AE802" s="3314"/>
      <c r="AF802" s="3284">
        <f>IF(T802&gt;Z802,Z802,T802)</f>
        <v>10</v>
      </c>
      <c r="AG802" s="3284"/>
      <c r="AH802" s="3284"/>
      <c r="AI802" s="3284"/>
      <c r="AJ802" s="3284"/>
      <c r="AK802" s="3284"/>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78" t="s">
        <v>1764</v>
      </c>
      <c r="C803" s="3278"/>
      <c r="D803" s="3278"/>
      <c r="E803" s="3278"/>
      <c r="F803" s="3278"/>
      <c r="G803" s="3278"/>
      <c r="H803" s="3278"/>
      <c r="I803" s="3278"/>
      <c r="J803" s="3278"/>
      <c r="K803" s="3278"/>
      <c r="L803" s="3278"/>
      <c r="M803" s="3278"/>
      <c r="N803" s="3278"/>
      <c r="O803" s="3278"/>
      <c r="P803" s="3278"/>
      <c r="Q803" s="3278"/>
      <c r="R803" s="3278"/>
      <c r="S803" s="3279"/>
      <c r="T803" s="3305">
        <f>AK548</f>
        <v>12</v>
      </c>
      <c r="U803" s="3305"/>
      <c r="V803" s="3305"/>
      <c r="W803" s="3305"/>
      <c r="X803" s="3305"/>
      <c r="Y803" s="3305"/>
      <c r="Z803" s="3312">
        <v>12</v>
      </c>
      <c r="AA803" s="3313"/>
      <c r="AB803" s="3313"/>
      <c r="AC803" s="3313"/>
      <c r="AD803" s="3313"/>
      <c r="AE803" s="3314"/>
      <c r="AF803" s="3284">
        <f>IF(T803&gt;Z803,Z803,T803)</f>
        <v>12</v>
      </c>
      <c r="AG803" s="3284"/>
      <c r="AH803" s="3284"/>
      <c r="AI803" s="3284"/>
      <c r="AJ803" s="3284"/>
      <c r="AK803" s="3284"/>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78" t="s">
        <v>1786</v>
      </c>
      <c r="C804" s="3278"/>
      <c r="D804" s="3278"/>
      <c r="E804" s="3278"/>
      <c r="F804" s="3278"/>
      <c r="G804" s="3278"/>
      <c r="H804" s="3278"/>
      <c r="I804" s="3278"/>
      <c r="J804" s="3278"/>
      <c r="K804" s="3278"/>
      <c r="L804" s="3278"/>
      <c r="M804" s="3278"/>
      <c r="N804" s="3278"/>
      <c r="O804" s="3278"/>
      <c r="P804" s="3278"/>
      <c r="Q804" s="3278"/>
      <c r="R804" s="3278"/>
      <c r="S804" s="3279"/>
      <c r="T804" s="3305">
        <f>AK779</f>
        <v>10</v>
      </c>
      <c r="U804" s="3305"/>
      <c r="V804" s="3305"/>
      <c r="W804" s="3305"/>
      <c r="X804" s="3305"/>
      <c r="Y804" s="3305"/>
      <c r="Z804" s="3312">
        <v>10</v>
      </c>
      <c r="AA804" s="3313"/>
      <c r="AB804" s="3313"/>
      <c r="AC804" s="3313"/>
      <c r="AD804" s="3313"/>
      <c r="AE804" s="3314"/>
      <c r="AF804" s="3284">
        <f>IF(T804&gt;Z804,Z804,T804)</f>
        <v>10</v>
      </c>
      <c r="AG804" s="3284"/>
      <c r="AH804" s="3284"/>
      <c r="AI804" s="3284"/>
      <c r="AJ804" s="3284"/>
      <c r="AK804" s="3284"/>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10" t="s">
        <v>1787</v>
      </c>
      <c r="B805" s="3278"/>
      <c r="C805" s="3278"/>
      <c r="D805" s="3278"/>
      <c r="E805" s="3278"/>
      <c r="F805" s="3278"/>
      <c r="G805" s="3278"/>
      <c r="H805" s="3278"/>
      <c r="I805" s="3278"/>
      <c r="J805" s="3278"/>
      <c r="K805" s="3278"/>
      <c r="L805" s="3278"/>
      <c r="M805" s="3278"/>
      <c r="N805" s="3278"/>
      <c r="O805" s="3278"/>
      <c r="P805" s="3278"/>
      <c r="Q805" s="3278"/>
      <c r="R805" s="3278"/>
      <c r="S805" s="3279"/>
      <c r="T805" s="3311"/>
      <c r="U805" s="3311"/>
      <c r="V805" s="3311"/>
      <c r="W805" s="3311"/>
      <c r="X805" s="3311"/>
      <c r="Y805" s="3311"/>
      <c r="Z805" s="3308" t="s">
        <v>1788</v>
      </c>
      <c r="AA805" s="3308"/>
      <c r="AB805" s="3308"/>
      <c r="AC805" s="3308"/>
      <c r="AD805" s="3308"/>
      <c r="AE805" s="3308"/>
      <c r="AF805" s="3312">
        <f>IF(T805&gt;0,T805,0)</f>
        <v>0</v>
      </c>
      <c r="AG805" s="3313"/>
      <c r="AH805" s="3313"/>
      <c r="AI805" s="3313"/>
      <c r="AJ805" s="3313"/>
      <c r="AK805" s="3314"/>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15" t="s">
        <v>1789</v>
      </c>
      <c r="B806" s="3316"/>
      <c r="C806" s="3316"/>
      <c r="D806" s="3316"/>
      <c r="E806" s="3316"/>
      <c r="F806" s="3316"/>
      <c r="G806" s="3316"/>
      <c r="H806" s="3316"/>
      <c r="I806" s="3316"/>
      <c r="J806" s="3316"/>
      <c r="K806" s="3316"/>
      <c r="L806" s="3316"/>
      <c r="M806" s="3316"/>
      <c r="N806" s="3316"/>
      <c r="O806" s="3316"/>
      <c r="P806" s="3316"/>
      <c r="Q806" s="3316"/>
      <c r="R806" s="3316"/>
      <c r="S806" s="3316"/>
      <c r="T806" s="3316"/>
      <c r="U806" s="3316"/>
      <c r="V806" s="3316"/>
      <c r="W806" s="3316"/>
      <c r="X806" s="3316"/>
      <c r="Y806" s="3316"/>
      <c r="Z806" s="3316"/>
      <c r="AA806" s="3316"/>
      <c r="AB806" s="3316"/>
      <c r="AC806" s="3316"/>
      <c r="AD806" s="3316"/>
      <c r="AE806" s="3317"/>
      <c r="AF806" s="3321">
        <f>SUM(AF789:AK804)-AF805</f>
        <v>119</v>
      </c>
      <c r="AG806" s="3322"/>
      <c r="AH806" s="3322"/>
      <c r="AI806" s="3322"/>
      <c r="AJ806" s="3322"/>
      <c r="AK806" s="3323"/>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18"/>
      <c r="B807" s="3319"/>
      <c r="C807" s="3319"/>
      <c r="D807" s="3319"/>
      <c r="E807" s="3319"/>
      <c r="F807" s="3319"/>
      <c r="G807" s="3319"/>
      <c r="H807" s="3319"/>
      <c r="I807" s="3319"/>
      <c r="J807" s="3319"/>
      <c r="K807" s="3319"/>
      <c r="L807" s="3319"/>
      <c r="M807" s="3319"/>
      <c r="N807" s="3319"/>
      <c r="O807" s="3319"/>
      <c r="P807" s="3319"/>
      <c r="Q807" s="3319"/>
      <c r="R807" s="3319"/>
      <c r="S807" s="3319"/>
      <c r="T807" s="3319"/>
      <c r="U807" s="3319"/>
      <c r="V807" s="3319"/>
      <c r="W807" s="3319"/>
      <c r="X807" s="3319"/>
      <c r="Y807" s="3319"/>
      <c r="Z807" s="3319"/>
      <c r="AA807" s="3319"/>
      <c r="AB807" s="3319"/>
      <c r="AC807" s="3319"/>
      <c r="AD807" s="3319"/>
      <c r="AE807" s="3320"/>
      <c r="AF807" s="3324"/>
      <c r="AG807" s="3325"/>
      <c r="AH807" s="3325"/>
      <c r="AI807" s="3325"/>
      <c r="AJ807" s="3325"/>
      <c r="AK807" s="3326"/>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N220:R220"/>
    <mergeCell ref="N221:R221"/>
    <mergeCell ref="N222:R222"/>
    <mergeCell ref="AP541:AR541"/>
    <mergeCell ref="AK524:AM524"/>
    <mergeCell ref="AE527:AK527"/>
    <mergeCell ref="D484:E484"/>
    <mergeCell ref="AK779:AM779"/>
    <mergeCell ref="AP543:AR543"/>
    <mergeCell ref="AP546:AR546"/>
    <mergeCell ref="AP545:AR545"/>
    <mergeCell ref="V474:X474"/>
    <mergeCell ref="V476:X476"/>
    <mergeCell ref="V481:X481"/>
    <mergeCell ref="C358:AJ360"/>
    <mergeCell ref="U362:W362"/>
    <mergeCell ref="U363:W363"/>
    <mergeCell ref="AQ364:AR364"/>
    <mergeCell ref="F366:AF369"/>
    <mergeCell ref="C370:D370"/>
    <mergeCell ref="AF370:AL370"/>
    <mergeCell ref="H764:I764"/>
    <mergeCell ref="AJ766:AK766"/>
    <mergeCell ref="E770:AD773"/>
    <mergeCell ref="AP542:AR542"/>
    <mergeCell ref="AP539:AR539"/>
    <mergeCell ref="F534:AL535"/>
    <mergeCell ref="F537:AK538"/>
    <mergeCell ref="AF540:AJ540"/>
    <mergeCell ref="AF541:AJ541"/>
    <mergeCell ref="AF542:AJ542"/>
    <mergeCell ref="C533:D533"/>
    <mergeCell ref="AB236:AG236"/>
    <mergeCell ref="B199:AB199"/>
    <mergeCell ref="T212:Y212"/>
    <mergeCell ref="B198:AB198"/>
    <mergeCell ref="B219:G219"/>
    <mergeCell ref="B220:G220"/>
    <mergeCell ref="B221:G221"/>
    <mergeCell ref="B222:G222"/>
    <mergeCell ref="AB212:AG212"/>
    <mergeCell ref="N219:R219"/>
    <mergeCell ref="AB229:AG229"/>
    <mergeCell ref="AB232:AG232"/>
    <mergeCell ref="C339:AJ341"/>
    <mergeCell ref="C342:AJ350"/>
    <mergeCell ref="I219:K219"/>
    <mergeCell ref="AB239:AG239"/>
    <mergeCell ref="AB223:AG223"/>
    <mergeCell ref="AB219:AG219"/>
    <mergeCell ref="AB220:AG220"/>
    <mergeCell ref="AB221:AG221"/>
    <mergeCell ref="AB222:AG222"/>
    <mergeCell ref="T219:Y219"/>
    <mergeCell ref="T220:Y220"/>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AK458:AM458"/>
    <mergeCell ref="AE461:AK46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373:AF377"/>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B192:AB192"/>
    <mergeCell ref="B193:AB193"/>
    <mergeCell ref="AB214:AG214"/>
    <mergeCell ref="I220:K220"/>
    <mergeCell ref="I221:K221"/>
    <mergeCell ref="I222:K222"/>
    <mergeCell ref="N212:R212"/>
    <mergeCell ref="B217:G217"/>
    <mergeCell ref="T221:Y221"/>
    <mergeCell ref="T222:Y222"/>
    <mergeCell ref="AB234:AG23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B218:G218"/>
    <mergeCell ref="B215:G215"/>
    <mergeCell ref="B216:G216"/>
    <mergeCell ref="B213:G213"/>
    <mergeCell ref="B214:G214"/>
    <mergeCell ref="I217:K217"/>
    <mergeCell ref="I218:K218"/>
    <mergeCell ref="I215:K215"/>
    <mergeCell ref="I216:K216"/>
    <mergeCell ref="I213:K213"/>
    <mergeCell ref="I214:K214"/>
    <mergeCell ref="N217:R217"/>
    <mergeCell ref="N218:R218"/>
    <mergeCell ref="N215:R215"/>
    <mergeCell ref="N216:R216"/>
    <mergeCell ref="N213:R213"/>
    <mergeCell ref="N214:R214"/>
    <mergeCell ref="T217:Y217"/>
    <mergeCell ref="T218:Y218"/>
    <mergeCell ref="T215:Y215"/>
    <mergeCell ref="T216:Y216"/>
    <mergeCell ref="T213:Y213"/>
    <mergeCell ref="T214:Y214"/>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Adriana Quiquivix</cp:lastModifiedBy>
  <cp:lastPrinted>2022-06-02T00:41:49Z</cp:lastPrinted>
  <dcterms:created xsi:type="dcterms:W3CDTF">2007-12-27T18:26:28Z</dcterms:created>
  <dcterms:modified xsi:type="dcterms:W3CDTF">2022-08-08T20:14:07Z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2022-08-08T13:03:26Z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1fbabef4-bb8e-4cb3-8080-94a2c46e6f1b</vt:lpwstr>
  </property>
  <property fmtid="{D5CDD505-2E9C-101B-9397-08002B2CF9AE}" pid="8" name="MSIP_Label_1b7ebc98-0244-4164-b471-7fa77a4aaa0b_ContentBits">
    <vt:lpwstr>0</vt:lpwstr>
  </property>
</Properties>
</file>